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Mnauel\Downloads\"/>
    </mc:Choice>
  </mc:AlternateContent>
  <xr:revisionPtr revIDLastSave="0" documentId="13_ncr:1_{11E3F21A-7AC3-4483-8FDE-14C531935423}" xr6:coauthVersionLast="45" xr6:coauthVersionMax="45" xr10:uidLastSave="{00000000-0000-0000-0000-000000000000}"/>
  <bookViews>
    <workbookView xWindow="-120" yWindow="-120" windowWidth="20730" windowHeight="11160" xr2:uid="{00000000-000D-0000-FFFF-FFFF00000000}"/>
  </bookViews>
  <sheets>
    <sheet name="TOTALES" sheetId="26" r:id="rId1"/>
    <sheet name="Apoyo Académico" sheetId="3" r:id="rId2"/>
    <sheet name="Autoevaluación y acreditación" sheetId="5" r:id="rId3"/>
    <sheet name="EFAD" sheetId="14" r:id="rId4"/>
    <sheet name="centro de E agroambientales" sheetId="9" r:id="rId5"/>
    <sheet name="desarrollo académico" sheetId="11" r:id="rId6"/>
    <sheet name="Educación Virtual y a distancia" sheetId="13" r:id="rId7"/>
    <sheet name="ambiental" sheetId="1" r:id="rId8"/>
    <sheet name="Archivo" sheetId="4" r:id="rId9"/>
    <sheet name="bienes y servicios" sheetId="6" r:id="rId10"/>
    <sheet name="calidad" sheetId="8" r:id="rId11"/>
    <sheet name="comunicaciones" sheetId="10" r:id="rId12"/>
    <sheet name="planeación" sheetId="12" r:id="rId13"/>
    <sheet name="Graduados" sheetId="16" r:id="rId14"/>
    <sheet name="interac. social" sheetId="17" r:id="rId15"/>
    <sheet name="Internacionalización" sheetId="18" r:id="rId16"/>
    <sheet name="Inclusión" sheetId="25" r:id="rId17"/>
    <sheet name="POSGRADOS" sheetId="37" r:id="rId18"/>
    <sheet name="Talento Humano" sheetId="32" r:id="rId19"/>
    <sheet name="FONDO GIRARDOT" sheetId="33" r:id="rId20"/>
    <sheet name="FONDO FACATATIVA" sheetId="34" r:id="rId21"/>
    <sheet name="FONDO CTEI " sheetId="35" r:id="rId22"/>
    <sheet name="FONDO POSGRADOS" sheetId="36" r:id="rId23"/>
    <sheet name="bienestar U." sheetId="7" r:id="rId24"/>
    <sheet name="Sistemas y T" sheetId="23" r:id="rId25"/>
    <sheet name="comunicaciones ubaté" sheetId="38" r:id="rId26"/>
    <sheet name="FONDO SOACHA" sheetId="39" r:id="rId27"/>
    <sheet name="FONDO CHIA-ZIPA" sheetId="40" r:id="rId28"/>
    <sheet name="FONDO UBATE" sheetId="42" r:id="rId29"/>
  </sheets>
  <definedNames>
    <definedName name="_xlnm._FilterDatabase" localSheetId="1" hidden="1">'Apoyo Académico'!$A$7:$EH$153</definedName>
    <definedName name="_xlnm._FilterDatabase" localSheetId="9" hidden="1">'bienes y servicios'!$A$7:$EF$34</definedName>
    <definedName name="_xlnm._FilterDatabase" localSheetId="0" hidden="1">TOTALES!$A$9:$J$38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6" i="33" l="1"/>
  <c r="P117" i="3" l="1"/>
  <c r="Q117" i="3" s="1"/>
  <c r="P14" i="3"/>
  <c r="AB355" i="23" l="1"/>
  <c r="AB313" i="23"/>
  <c r="AB348" i="23"/>
  <c r="X10" i="34"/>
  <c r="X62" i="33"/>
  <c r="X58" i="33"/>
  <c r="X55" i="33"/>
  <c r="X10" i="37" l="1"/>
  <c r="Y32" i="12"/>
  <c r="X19" i="8"/>
  <c r="AA10" i="6"/>
  <c r="AA18" i="6"/>
  <c r="AA24" i="6"/>
  <c r="AA33" i="6"/>
  <c r="X60" i="13"/>
  <c r="X34" i="13"/>
  <c r="X33" i="13"/>
  <c r="X57" i="13"/>
  <c r="X38" i="9"/>
  <c r="X27" i="9"/>
  <c r="X13" i="9"/>
  <c r="AB359" i="23"/>
  <c r="AC141" i="3"/>
  <c r="AC18" i="3"/>
  <c r="AC123" i="3" l="1"/>
  <c r="AC50" i="3"/>
  <c r="AC135" i="3"/>
  <c r="U313" i="23" l="1"/>
  <c r="W363" i="35" l="1"/>
  <c r="W303" i="35"/>
  <c r="W274" i="35"/>
  <c r="V91" i="7"/>
  <c r="V113" i="7"/>
  <c r="V413" i="7"/>
  <c r="U348" i="23"/>
  <c r="Y348" i="23"/>
  <c r="Y340" i="23"/>
  <c r="Y313" i="23"/>
  <c r="V414" i="7" l="1"/>
  <c r="W364" i="35"/>
  <c r="U12" i="42"/>
  <c r="Q10" i="34"/>
  <c r="U36" i="34"/>
  <c r="Q67" i="33"/>
  <c r="U67" i="33"/>
  <c r="U58" i="33"/>
  <c r="U50" i="33"/>
  <c r="U62" i="33"/>
  <c r="U55" i="33"/>
  <c r="U27" i="17"/>
  <c r="U36" i="17"/>
  <c r="Q36" i="17"/>
  <c r="V42" i="12"/>
  <c r="V32" i="12"/>
  <c r="V22" i="12"/>
  <c r="Q19" i="8"/>
  <c r="U19" i="8"/>
  <c r="U11" i="13"/>
  <c r="U34" i="13"/>
  <c r="U33" i="13"/>
  <c r="U60" i="13"/>
  <c r="U57" i="13"/>
  <c r="U13" i="9"/>
  <c r="U27" i="9"/>
  <c r="U38" i="9"/>
  <c r="Y359" i="23"/>
  <c r="Z141" i="3"/>
  <c r="Z92" i="3" l="1"/>
  <c r="Z123" i="3"/>
  <c r="Z135" i="3"/>
  <c r="M30" i="6" l="1"/>
  <c r="P130" i="3"/>
  <c r="P94" i="3" l="1"/>
  <c r="P93" i="3" l="1"/>
  <c r="Q127" i="3" l="1"/>
  <c r="O64" i="5" l="1"/>
  <c r="O77" i="5" s="1"/>
  <c r="L24" i="1" l="1"/>
  <c r="M25" i="6"/>
  <c r="P314" i="23"/>
  <c r="O353" i="23"/>
  <c r="O343" i="23"/>
  <c r="O339" i="23"/>
  <c r="J16" i="18"/>
  <c r="N335" i="23"/>
  <c r="Q140" i="3"/>
  <c r="K9" i="11"/>
  <c r="L9" i="11" s="1"/>
  <c r="P119" i="3"/>
  <c r="P114" i="3"/>
  <c r="K12" i="17"/>
  <c r="L12" i="17" s="1"/>
  <c r="K28" i="17"/>
  <c r="U359" i="23" l="1"/>
  <c r="M306" i="7" l="1"/>
  <c r="N362" i="35" l="1"/>
  <c r="N14" i="35"/>
  <c r="Q62" i="33" l="1"/>
  <c r="Q55" i="33"/>
  <c r="L61" i="33"/>
  <c r="L62" i="33" s="1"/>
  <c r="G59" i="33"/>
  <c r="L41" i="33"/>
  <c r="R42" i="12"/>
  <c r="R36" i="12"/>
  <c r="R32" i="12"/>
  <c r="R22" i="12"/>
  <c r="T15" i="6"/>
  <c r="O14" i="6"/>
  <c r="O30" i="6"/>
  <c r="S18" i="4"/>
  <c r="S19" i="4" s="1"/>
  <c r="Q27" i="1"/>
  <c r="Q33" i="13"/>
  <c r="Q34" i="13" s="1"/>
  <c r="Q57" i="13"/>
  <c r="Q60" i="13"/>
  <c r="Q11" i="13"/>
  <c r="Q44" i="11"/>
  <c r="Q21" i="11"/>
  <c r="Q38" i="9"/>
  <c r="Q27" i="9"/>
  <c r="V18" i="3"/>
  <c r="V50" i="3"/>
  <c r="V68" i="3"/>
  <c r="V92" i="3"/>
  <c r="V97" i="3"/>
  <c r="V120" i="3"/>
  <c r="V123" i="3"/>
  <c r="V141" i="3"/>
  <c r="V152" i="3"/>
  <c r="V145" i="3"/>
  <c r="V135" i="3"/>
  <c r="U44" i="11" l="1"/>
  <c r="U21" i="11"/>
  <c r="P358" i="23" l="1"/>
  <c r="P359" i="23" s="1"/>
  <c r="M45" i="12"/>
  <c r="M46" i="12" s="1"/>
  <c r="Q69" i="3"/>
  <c r="Q12" i="42"/>
  <c r="Q11" i="40"/>
  <c r="X11" i="40"/>
  <c r="U11" i="40"/>
  <c r="Q36" i="34"/>
  <c r="U10" i="37"/>
  <c r="T10" i="6"/>
  <c r="T18" i="6"/>
  <c r="T21" i="6"/>
  <c r="T24" i="6"/>
  <c r="T31" i="6"/>
  <c r="T33" i="6"/>
  <c r="X44" i="11"/>
  <c r="Q47" i="14"/>
  <c r="T77" i="5"/>
  <c r="T63" i="5"/>
  <c r="AB340" i="23"/>
  <c r="Y113" i="7" l="1"/>
  <c r="Y413" i="7"/>
  <c r="Y91" i="7"/>
  <c r="X12" i="42" l="1"/>
  <c r="Z274" i="35"/>
  <c r="Z303" i="35"/>
  <c r="Z363" i="35"/>
  <c r="X36" i="34"/>
  <c r="X67" i="33"/>
  <c r="X25" i="18"/>
  <c r="AA31" i="6"/>
  <c r="X21" i="11"/>
  <c r="AA77" i="5"/>
  <c r="AC152" i="3" l="1"/>
  <c r="Z152" i="3"/>
  <c r="AC145" i="3"/>
  <c r="Z145" i="3"/>
  <c r="AC120" i="3"/>
  <c r="Z120" i="3"/>
  <c r="AC97" i="3"/>
  <c r="Z97" i="3"/>
  <c r="AC92" i="3"/>
  <c r="AC68" i="3"/>
  <c r="Z68" i="3"/>
  <c r="AC13" i="3"/>
  <c r="Z13" i="3"/>
  <c r="S303" i="35"/>
  <c r="U10" i="34"/>
  <c r="Q25" i="18"/>
  <c r="U25" i="18"/>
  <c r="X29" i="10"/>
  <c r="U29" i="10"/>
  <c r="Q29" i="10"/>
  <c r="X10" i="6"/>
  <c r="X18" i="6"/>
  <c r="X21" i="6"/>
  <c r="X24" i="6"/>
  <c r="X28" i="6"/>
  <c r="X33" i="6"/>
  <c r="X31" i="6"/>
  <c r="Q13" i="9" l="1"/>
  <c r="Q39" i="9" s="1"/>
  <c r="X77" i="5"/>
  <c r="Z18" i="3"/>
  <c r="R91" i="7" l="1"/>
  <c r="O29" i="6"/>
  <c r="O31" i="6" s="1"/>
  <c r="I25" i="6"/>
  <c r="O25" i="6" s="1"/>
  <c r="O32" i="6"/>
  <c r="O33" i="6" s="1"/>
  <c r="L22" i="10"/>
  <c r="L23" i="10"/>
  <c r="L24" i="10"/>
  <c r="L25" i="10"/>
  <c r="L26" i="10"/>
  <c r="L27" i="10"/>
  <c r="L28" i="10"/>
  <c r="L21" i="10"/>
  <c r="Q143" i="3"/>
  <c r="Q144" i="3"/>
  <c r="Q142" i="3"/>
  <c r="Q145" i="3" l="1"/>
  <c r="R142" i="3" s="1"/>
  <c r="L29" i="10"/>
  <c r="Q147" i="3"/>
  <c r="Q148" i="3"/>
  <c r="Q149" i="3"/>
  <c r="Q150" i="3"/>
  <c r="Q151" i="3"/>
  <c r="Q146" i="3"/>
  <c r="Q152" i="3" l="1"/>
  <c r="R146" i="3" s="1"/>
  <c r="F8" i="3"/>
  <c r="J32" i="17" l="1"/>
  <c r="Q131" i="3"/>
  <c r="Q130" i="3" l="1"/>
  <c r="N336" i="35"/>
  <c r="N8" i="35"/>
  <c r="Q139" i="3"/>
  <c r="P128" i="3"/>
  <c r="Q104" i="3"/>
  <c r="Q105" i="3"/>
  <c r="O17" i="6" l="1"/>
  <c r="Q137" i="3"/>
  <c r="Q138" i="3"/>
  <c r="Q136" i="3"/>
  <c r="Q141" i="3" l="1"/>
  <c r="R136" i="3" s="1"/>
  <c r="V52" i="3"/>
  <c r="M11" i="5" l="1"/>
  <c r="O62" i="5"/>
  <c r="O9" i="6"/>
  <c r="K8" i="17"/>
  <c r="Q93" i="3" l="1"/>
  <c r="P96" i="3" s="1"/>
  <c r="Q96" i="3" s="1"/>
  <c r="J11" i="14"/>
  <c r="P53" i="3"/>
  <c r="Q67" i="3"/>
  <c r="P59" i="3"/>
  <c r="Q10" i="37" l="1"/>
  <c r="S274" i="35"/>
  <c r="M11" i="12" l="1"/>
  <c r="X27" i="17" l="1"/>
  <c r="X11" i="13" l="1"/>
  <c r="X61" i="13" s="1"/>
  <c r="Q20" i="16"/>
  <c r="X20" i="16"/>
  <c r="U20" i="16"/>
  <c r="AC132" i="3" l="1"/>
  <c r="Z132" i="3"/>
  <c r="V132" i="3"/>
  <c r="AC126" i="3"/>
  <c r="Z126" i="3"/>
  <c r="V126" i="3"/>
  <c r="AC107" i="3"/>
  <c r="Z107" i="3"/>
  <c r="V107" i="3"/>
  <c r="AC103" i="3"/>
  <c r="Z103" i="3"/>
  <c r="V103" i="3"/>
  <c r="AC100" i="3"/>
  <c r="Z100" i="3"/>
  <c r="V100" i="3"/>
  <c r="AC52" i="3"/>
  <c r="Z52" i="3"/>
  <c r="AC153" i="3" l="1"/>
  <c r="Q27" i="17"/>
  <c r="Q20" i="10"/>
  <c r="Q30" i="10" s="1"/>
  <c r="Q14" i="3"/>
  <c r="Q18" i="3" s="1"/>
  <c r="R14" i="3" l="1"/>
  <c r="Z50" i="3"/>
  <c r="Z153" i="3" s="1"/>
  <c r="AB357" i="23"/>
  <c r="Y357" i="23"/>
  <c r="U357" i="23"/>
  <c r="Y355" i="23"/>
  <c r="U355" i="23"/>
  <c r="AB352" i="23"/>
  <c r="Y352" i="23"/>
  <c r="U352" i="23"/>
  <c r="AB350" i="23"/>
  <c r="Y350" i="23"/>
  <c r="U350" i="23"/>
  <c r="U340" i="23"/>
  <c r="P356" i="23"/>
  <c r="P357" i="23" s="1"/>
  <c r="P353" i="23"/>
  <c r="P355" i="23" s="1"/>
  <c r="P351" i="23"/>
  <c r="P349" i="23"/>
  <c r="P350" i="23" s="1"/>
  <c r="P343" i="23"/>
  <c r="P341" i="23"/>
  <c r="P334" i="23"/>
  <c r="P335" i="23"/>
  <c r="P339" i="23"/>
  <c r="P332" i="23"/>
  <c r="P238" i="23"/>
  <c r="P172" i="23"/>
  <c r="P106" i="23"/>
  <c r="P74" i="23"/>
  <c r="P8" i="23"/>
  <c r="X14" i="42"/>
  <c r="X15" i="42" s="1"/>
  <c r="H21" i="26" s="1"/>
  <c r="U14" i="42"/>
  <c r="Q14" i="42"/>
  <c r="L13" i="42"/>
  <c r="L14" i="42" s="1"/>
  <c r="L9" i="42"/>
  <c r="X13" i="40"/>
  <c r="U13" i="40"/>
  <c r="Q13" i="40"/>
  <c r="L12" i="40"/>
  <c r="L13" i="40" s="1"/>
  <c r="L9" i="40"/>
  <c r="L8" i="40"/>
  <c r="X12" i="39"/>
  <c r="U12" i="39"/>
  <c r="Q12" i="39"/>
  <c r="X10" i="39"/>
  <c r="U10" i="39"/>
  <c r="Q10" i="39"/>
  <c r="L11" i="39"/>
  <c r="L12" i="39" s="1"/>
  <c r="L9" i="39"/>
  <c r="L8" i="39"/>
  <c r="X13" i="38"/>
  <c r="U13" i="38"/>
  <c r="Q13" i="38"/>
  <c r="Q14" i="38" s="1"/>
  <c r="D22" i="26" s="1"/>
  <c r="L9" i="38"/>
  <c r="L10" i="38"/>
  <c r="L11" i="38"/>
  <c r="L12" i="38"/>
  <c r="L8" i="38"/>
  <c r="R113" i="7"/>
  <c r="R413" i="7"/>
  <c r="M412" i="7"/>
  <c r="M408" i="7"/>
  <c r="M406" i="7"/>
  <c r="M404" i="7"/>
  <c r="M400" i="7"/>
  <c r="M397" i="7"/>
  <c r="M255" i="7"/>
  <c r="M254" i="7"/>
  <c r="M253" i="7"/>
  <c r="M252" i="7"/>
  <c r="M251" i="7"/>
  <c r="M243" i="7"/>
  <c r="M242" i="7"/>
  <c r="M239" i="7"/>
  <c r="M237" i="7"/>
  <c r="M213" i="7"/>
  <c r="M186" i="7"/>
  <c r="M162" i="7"/>
  <c r="M138" i="7"/>
  <c r="M114" i="7"/>
  <c r="M112" i="7"/>
  <c r="M111" i="7"/>
  <c r="M8" i="7"/>
  <c r="M91" i="7" s="1"/>
  <c r="L10" i="39" l="1"/>
  <c r="L11" i="40"/>
  <c r="AB360" i="23"/>
  <c r="U360" i="23"/>
  <c r="Y360" i="23"/>
  <c r="P340" i="23"/>
  <c r="U13" i="39"/>
  <c r="F23" i="26" s="1"/>
  <c r="L14" i="40"/>
  <c r="C24" i="26" s="1"/>
  <c r="Q15" i="42"/>
  <c r="D21" i="26" s="1"/>
  <c r="U15" i="42"/>
  <c r="F21" i="26" s="1"/>
  <c r="L13" i="38"/>
  <c r="M413" i="7"/>
  <c r="L13" i="39"/>
  <c r="C23" i="26" s="1"/>
  <c r="X13" i="39"/>
  <c r="H23" i="26" s="1"/>
  <c r="X14" i="40"/>
  <c r="H24" i="26" s="1"/>
  <c r="P348" i="23"/>
  <c r="Q13" i="39"/>
  <c r="D23" i="26" s="1"/>
  <c r="U14" i="40"/>
  <c r="F24" i="26" s="1"/>
  <c r="Q14" i="40"/>
  <c r="D24" i="26" s="1"/>
  <c r="Y414" i="7"/>
  <c r="R414" i="7"/>
  <c r="M92" i="7"/>
  <c r="M113" i="7" s="1"/>
  <c r="S363" i="35"/>
  <c r="E23" i="26" l="1"/>
  <c r="G23" i="26"/>
  <c r="G24" i="26"/>
  <c r="I24" i="26"/>
  <c r="E24" i="26"/>
  <c r="I23" i="26"/>
  <c r="M414" i="7"/>
  <c r="S364" i="35"/>
  <c r="Z364" i="35"/>
  <c r="N313" i="35"/>
  <c r="N357" i="35"/>
  <c r="N355" i="35"/>
  <c r="N335" i="35"/>
  <c r="N331" i="35"/>
  <c r="N306" i="35"/>
  <c r="N305" i="35"/>
  <c r="N304" i="35"/>
  <c r="N275" i="35"/>
  <c r="N10" i="35"/>
  <c r="N230" i="35"/>
  <c r="N231" i="35"/>
  <c r="N232" i="35"/>
  <c r="N234" i="35"/>
  <c r="N235" i="35"/>
  <c r="N236" i="35"/>
  <c r="N237" i="35"/>
  <c r="N239" i="35"/>
  <c r="N241" i="35"/>
  <c r="N243" i="35"/>
  <c r="N244" i="35"/>
  <c r="N252" i="35"/>
  <c r="N254" i="35"/>
  <c r="N256" i="35"/>
  <c r="N257" i="35"/>
  <c r="N258" i="35"/>
  <c r="N259" i="35"/>
  <c r="N260" i="35"/>
  <c r="N261" i="35"/>
  <c r="N263" i="35"/>
  <c r="N264" i="35"/>
  <c r="N265" i="35"/>
  <c r="N266" i="35"/>
  <c r="N267" i="35"/>
  <c r="N268" i="35"/>
  <c r="N269" i="35"/>
  <c r="N270" i="35"/>
  <c r="N271" i="35"/>
  <c r="N272" i="35"/>
  <c r="N273" i="35"/>
  <c r="X12" i="34"/>
  <c r="U12" i="34"/>
  <c r="X14" i="34"/>
  <c r="U14" i="34"/>
  <c r="X16" i="34"/>
  <c r="U16" i="34"/>
  <c r="X18" i="34"/>
  <c r="U18" i="34"/>
  <c r="X20" i="34"/>
  <c r="U20" i="34"/>
  <c r="X22" i="34"/>
  <c r="U22" i="34"/>
  <c r="X24" i="34"/>
  <c r="U24" i="34"/>
  <c r="X26" i="34"/>
  <c r="U26" i="34"/>
  <c r="X28" i="34"/>
  <c r="U28" i="34"/>
  <c r="X30" i="34"/>
  <c r="U30" i="34"/>
  <c r="X38" i="34"/>
  <c r="U38" i="34"/>
  <c r="Q38" i="34"/>
  <c r="Q30" i="34"/>
  <c r="Q28" i="34"/>
  <c r="Q26" i="34"/>
  <c r="N274" i="35" l="1"/>
  <c r="N363" i="35"/>
  <c r="U39" i="34"/>
  <c r="Q24" i="34"/>
  <c r="Q22" i="34"/>
  <c r="Q20" i="34"/>
  <c r="Q18" i="34"/>
  <c r="Q16" i="34"/>
  <c r="Q14" i="34"/>
  <c r="Q12" i="34"/>
  <c r="L37" i="34"/>
  <c r="L38" i="34" s="1"/>
  <c r="L32" i="34"/>
  <c r="L31" i="34"/>
  <c r="L29" i="34"/>
  <c r="L30" i="34" s="1"/>
  <c r="L27" i="34"/>
  <c r="L28" i="34" s="1"/>
  <c r="L25" i="34"/>
  <c r="L26" i="34" s="1"/>
  <c r="L23" i="34"/>
  <c r="L24" i="34" s="1"/>
  <c r="L21" i="34"/>
  <c r="L22" i="34" s="1"/>
  <c r="L19" i="34"/>
  <c r="L20" i="34" s="1"/>
  <c r="L17" i="34"/>
  <c r="L18" i="34" s="1"/>
  <c r="L15" i="34"/>
  <c r="L16" i="34" s="1"/>
  <c r="L13" i="34"/>
  <c r="L14" i="34" s="1"/>
  <c r="L11" i="34"/>
  <c r="L12" i="34" s="1"/>
  <c r="L8" i="34"/>
  <c r="L10" i="34" s="1"/>
  <c r="X9" i="33"/>
  <c r="U9" i="33"/>
  <c r="X11" i="33"/>
  <c r="U11" i="33"/>
  <c r="X46" i="33"/>
  <c r="X52" i="33"/>
  <c r="U52" i="33"/>
  <c r="X60" i="33"/>
  <c r="U60" i="33"/>
  <c r="X69" i="33"/>
  <c r="U69" i="33"/>
  <c r="Q69" i="33"/>
  <c r="Q60" i="33"/>
  <c r="Q58" i="33"/>
  <c r="Q52" i="33"/>
  <c r="Q50" i="33"/>
  <c r="Q46" i="33"/>
  <c r="Q11" i="33"/>
  <c r="Q9" i="33"/>
  <c r="L36" i="34" l="1"/>
  <c r="U70" i="33"/>
  <c r="Q70" i="33"/>
  <c r="Q39" i="34"/>
  <c r="L39" i="34"/>
  <c r="X39" i="34"/>
  <c r="X50" i="33"/>
  <c r="X70" i="33" s="1"/>
  <c r="L68" i="33"/>
  <c r="L69" i="33" s="1"/>
  <c r="L64" i="33"/>
  <c r="L63" i="33"/>
  <c r="L59" i="33"/>
  <c r="L60" i="33" s="1"/>
  <c r="L56" i="33"/>
  <c r="L53" i="33"/>
  <c r="L51" i="33"/>
  <c r="L52" i="33" s="1"/>
  <c r="L49" i="33"/>
  <c r="L48" i="33"/>
  <c r="L47" i="33"/>
  <c r="L45" i="33"/>
  <c r="L44" i="33"/>
  <c r="L43" i="33"/>
  <c r="L42" i="33"/>
  <c r="L39" i="33"/>
  <c r="L38" i="33"/>
  <c r="L37" i="33"/>
  <c r="L35" i="33"/>
  <c r="L33" i="33"/>
  <c r="L31" i="33"/>
  <c r="L30" i="33"/>
  <c r="L29" i="33"/>
  <c r="L27" i="33"/>
  <c r="L25" i="33"/>
  <c r="L24" i="33"/>
  <c r="L23" i="33"/>
  <c r="L22" i="33"/>
  <c r="L21" i="33"/>
  <c r="L20" i="33"/>
  <c r="L19" i="33"/>
  <c r="L18" i="33"/>
  <c r="L17" i="33"/>
  <c r="L13" i="33"/>
  <c r="L12" i="33"/>
  <c r="L10" i="33"/>
  <c r="L11" i="33" s="1"/>
  <c r="L8" i="33"/>
  <c r="L9" i="33" s="1"/>
  <c r="X12" i="37"/>
  <c r="U12" i="37"/>
  <c r="Q12" i="37"/>
  <c r="L11" i="37"/>
  <c r="L12" i="37" s="1"/>
  <c r="L8" i="37"/>
  <c r="X18" i="25"/>
  <c r="U18" i="25"/>
  <c r="Q18" i="25"/>
  <c r="L12" i="25"/>
  <c r="L17" i="25"/>
  <c r="L8" i="25"/>
  <c r="X36" i="17"/>
  <c r="L28" i="17"/>
  <c r="L35" i="17"/>
  <c r="L33" i="17"/>
  <c r="L32" i="17"/>
  <c r="L31" i="17"/>
  <c r="L30" i="17"/>
  <c r="L29" i="17"/>
  <c r="L8" i="17"/>
  <c r="Y44" i="12"/>
  <c r="V44" i="12"/>
  <c r="R44" i="12"/>
  <c r="Y42" i="12"/>
  <c r="Y36" i="12"/>
  <c r="V36" i="12"/>
  <c r="Y26" i="12"/>
  <c r="V26" i="12"/>
  <c r="R26" i="12"/>
  <c r="Y24" i="12"/>
  <c r="V24" i="12"/>
  <c r="R24" i="12"/>
  <c r="M43" i="12"/>
  <c r="M44" i="12" s="1"/>
  <c r="M41" i="12"/>
  <c r="M40" i="12"/>
  <c r="M39" i="12"/>
  <c r="M38" i="12"/>
  <c r="M37" i="12"/>
  <c r="M33" i="12"/>
  <c r="M36" i="12" s="1"/>
  <c r="M30" i="12"/>
  <c r="M29" i="12"/>
  <c r="M28" i="12"/>
  <c r="M27" i="12"/>
  <c r="M25" i="12"/>
  <c r="M26" i="12" s="1"/>
  <c r="M23" i="12"/>
  <c r="M24" i="12" s="1"/>
  <c r="M21" i="12"/>
  <c r="M20" i="12"/>
  <c r="M17" i="12"/>
  <c r="M8" i="12"/>
  <c r="AA28" i="6"/>
  <c r="T28" i="6"/>
  <c r="AA21" i="6"/>
  <c r="AA15" i="6"/>
  <c r="X15" i="6"/>
  <c r="T12" i="6"/>
  <c r="AA12" i="6"/>
  <c r="X12" i="6"/>
  <c r="O27" i="6"/>
  <c r="O28" i="6" s="1"/>
  <c r="O22" i="6"/>
  <c r="O24" i="6" s="1"/>
  <c r="O20" i="6"/>
  <c r="O19" i="6"/>
  <c r="O16" i="6"/>
  <c r="O18" i="6" s="1"/>
  <c r="O13" i="6"/>
  <c r="O15" i="6" s="1"/>
  <c r="Z18" i="4"/>
  <c r="W18" i="4"/>
  <c r="N15" i="4"/>
  <c r="N16" i="4"/>
  <c r="N17" i="4"/>
  <c r="N8" i="4"/>
  <c r="L58" i="13"/>
  <c r="L60" i="13" s="1"/>
  <c r="L35" i="13"/>
  <c r="L12" i="13"/>
  <c r="L8" i="13"/>
  <c r="U61" i="13"/>
  <c r="L37" i="9"/>
  <c r="L36" i="9"/>
  <c r="L35" i="9"/>
  <c r="L34" i="9"/>
  <c r="L33" i="9"/>
  <c r="L32" i="9"/>
  <c r="L31" i="9"/>
  <c r="L30" i="9"/>
  <c r="L29" i="9"/>
  <c r="L28" i="9"/>
  <c r="L26" i="9"/>
  <c r="L25" i="9"/>
  <c r="L24" i="9"/>
  <c r="L23" i="9"/>
  <c r="L22" i="9"/>
  <c r="L21" i="9"/>
  <c r="L20" i="9"/>
  <c r="L19" i="9"/>
  <c r="L18" i="9"/>
  <c r="L17" i="9"/>
  <c r="L16" i="9"/>
  <c r="L15" i="9"/>
  <c r="L14" i="9"/>
  <c r="L9" i="9"/>
  <c r="L11" i="9"/>
  <c r="L8" i="9"/>
  <c r="Q98" i="3"/>
  <c r="Q99" i="3"/>
  <c r="Q101" i="3"/>
  <c r="Q102" i="3"/>
  <c r="Q106" i="3"/>
  <c r="Q107" i="3" s="1"/>
  <c r="R104" i="3" s="1"/>
  <c r="Q108" i="3"/>
  <c r="Q109" i="3"/>
  <c r="Q111" i="3"/>
  <c r="Q112" i="3"/>
  <c r="Q113" i="3"/>
  <c r="Q114" i="3"/>
  <c r="Q118" i="3"/>
  <c r="Q119" i="3"/>
  <c r="Q121" i="3"/>
  <c r="Q123" i="3" s="1"/>
  <c r="R121" i="3" s="1"/>
  <c r="Q124" i="3"/>
  <c r="Q125" i="3"/>
  <c r="Q128" i="3"/>
  <c r="Q129" i="3"/>
  <c r="Q133" i="3"/>
  <c r="Q135" i="3" s="1"/>
  <c r="R133" i="3" s="1"/>
  <c r="Q95" i="3"/>
  <c r="Q94" i="3"/>
  <c r="Q92" i="3"/>
  <c r="R69" i="3" s="1"/>
  <c r="Q65" i="3"/>
  <c r="Q63" i="3"/>
  <c r="Q62" i="3"/>
  <c r="Q60" i="3"/>
  <c r="Q59" i="3"/>
  <c r="Q57" i="3"/>
  <c r="Q55" i="3"/>
  <c r="Q53" i="3"/>
  <c r="Q51" i="3"/>
  <c r="Q19" i="3"/>
  <c r="Q8" i="3"/>
  <c r="AA34" i="6" l="1"/>
  <c r="X34" i="6"/>
  <c r="M22" i="12"/>
  <c r="T34" i="6"/>
  <c r="Q97" i="3"/>
  <c r="R93" i="3" s="1"/>
  <c r="Q132" i="3"/>
  <c r="R127" i="3" s="1"/>
  <c r="Q68" i="3"/>
  <c r="R53" i="3" s="1"/>
  <c r="Q120" i="3"/>
  <c r="R108" i="3" s="1"/>
  <c r="M32" i="12"/>
  <c r="Q103" i="3"/>
  <c r="R101" i="3" s="1"/>
  <c r="Q126" i="3"/>
  <c r="R124" i="3" s="1"/>
  <c r="Q100" i="3"/>
  <c r="R98" i="3" s="1"/>
  <c r="O21" i="6"/>
  <c r="L36" i="17"/>
  <c r="N18" i="4"/>
  <c r="N19" i="4" s="1"/>
  <c r="M42" i="12"/>
  <c r="L38" i="9"/>
  <c r="L27" i="9"/>
  <c r="L67" i="33"/>
  <c r="L46" i="33"/>
  <c r="L50" i="33"/>
  <c r="J304" i="23"/>
  <c r="P304" i="23" s="1"/>
  <c r="P313" i="23" s="1"/>
  <c r="M47" i="12" l="1"/>
  <c r="Q8" i="23"/>
  <c r="N92" i="7"/>
  <c r="N114" i="7"/>
  <c r="L8" i="42" l="1"/>
  <c r="L12" i="42" s="1"/>
  <c r="L15" i="42" s="1"/>
  <c r="C21" i="26" s="1"/>
  <c r="E21" i="26" l="1"/>
  <c r="I21" i="26"/>
  <c r="G21" i="26"/>
  <c r="R15" i="42"/>
  <c r="R14" i="40"/>
  <c r="R13" i="39"/>
  <c r="M17" i="34" l="1"/>
  <c r="M15" i="34"/>
  <c r="M8" i="34"/>
  <c r="M21" i="34"/>
  <c r="M19" i="34"/>
  <c r="M51" i="33"/>
  <c r="M12" i="33" l="1"/>
  <c r="M8" i="33"/>
  <c r="M47" i="33"/>
  <c r="M56" i="33"/>
  <c r="M53" i="33"/>
  <c r="M10" i="33"/>
  <c r="Q341" i="23"/>
  <c r="N8" i="7"/>
  <c r="O8" i="35"/>
  <c r="M8" i="25"/>
  <c r="M8" i="18"/>
  <c r="M8" i="16"/>
  <c r="X14" i="38"/>
  <c r="H22" i="26" s="1"/>
  <c r="U14" i="38"/>
  <c r="F22" i="26" s="1"/>
  <c r="L14" i="38"/>
  <c r="C22" i="26" s="1"/>
  <c r="E22" i="26" s="1"/>
  <c r="P8" i="6"/>
  <c r="F8" i="6"/>
  <c r="O8" i="4"/>
  <c r="O8" i="6" l="1"/>
  <c r="O10" i="6" s="1"/>
  <c r="G22" i="26"/>
  <c r="I22" i="26"/>
  <c r="R14" i="38"/>
  <c r="N8" i="5"/>
  <c r="Q51" i="14" l="1"/>
  <c r="U51" i="14"/>
  <c r="X51" i="14"/>
  <c r="L50" i="14"/>
  <c r="L49" i="14"/>
  <c r="L48" i="14"/>
  <c r="L51" i="14" l="1"/>
  <c r="U47" i="14"/>
  <c r="U52" i="14" s="1"/>
  <c r="L55" i="33" l="1"/>
  <c r="L58" i="33"/>
  <c r="L70" i="33" s="1"/>
  <c r="X28" i="32"/>
  <c r="U28" i="32"/>
  <c r="Q28" i="32"/>
  <c r="X37" i="17"/>
  <c r="U37" i="17"/>
  <c r="Q37" i="17"/>
  <c r="Y22" i="12"/>
  <c r="Y47" i="12" s="1"/>
  <c r="V47" i="12"/>
  <c r="R47" i="12"/>
  <c r="X20" i="10"/>
  <c r="X30" i="10" s="1"/>
  <c r="U20" i="10"/>
  <c r="U30" i="10" s="1"/>
  <c r="X20" i="8"/>
  <c r="U20" i="8"/>
  <c r="Q20" i="8"/>
  <c r="X27" i="1"/>
  <c r="U27" i="1"/>
  <c r="X47" i="14"/>
  <c r="X52" i="14" s="1"/>
  <c r="Q52" i="14"/>
  <c r="Q61" i="13"/>
  <c r="AA63" i="5"/>
  <c r="X63" i="5"/>
  <c r="T78" i="5"/>
  <c r="Q50" i="3"/>
  <c r="R19" i="3" s="1"/>
  <c r="X45" i="11" l="1"/>
  <c r="AA78" i="5"/>
  <c r="X78" i="5"/>
  <c r="U45" i="11"/>
  <c r="Q45" i="11"/>
  <c r="Q349" i="23"/>
  <c r="L19" i="18"/>
  <c r="L16" i="18"/>
  <c r="L15" i="18"/>
  <c r="L8" i="18"/>
  <c r="L57" i="13"/>
  <c r="L34" i="13"/>
  <c r="L26" i="1"/>
  <c r="L8" i="1"/>
  <c r="L27" i="1" l="1"/>
  <c r="L28" i="1" s="1"/>
  <c r="L25" i="18"/>
  <c r="Q52" i="3"/>
  <c r="R51" i="3" s="1"/>
  <c r="X39" i="9"/>
  <c r="U39" i="9"/>
  <c r="M8" i="1" l="1"/>
  <c r="H16" i="26"/>
  <c r="F16" i="26"/>
  <c r="D16" i="26"/>
  <c r="X9" i="36"/>
  <c r="X10" i="36" s="1"/>
  <c r="H37" i="26" s="1"/>
  <c r="U9" i="36"/>
  <c r="U10" i="36" s="1"/>
  <c r="F37" i="26" s="1"/>
  <c r="Q9" i="36"/>
  <c r="Q10" i="36" s="1"/>
  <c r="D37" i="26" s="1"/>
  <c r="X29" i="32"/>
  <c r="H17" i="26" s="1"/>
  <c r="U29" i="32"/>
  <c r="F17" i="26" s="1"/>
  <c r="Q29" i="32"/>
  <c r="D17" i="26" s="1"/>
  <c r="X19" i="25"/>
  <c r="H33" i="26" s="1"/>
  <c r="U19" i="25"/>
  <c r="F33" i="26" s="1"/>
  <c r="Q19" i="25"/>
  <c r="D33" i="26" s="1"/>
  <c r="X26" i="18"/>
  <c r="H30" i="26" s="1"/>
  <c r="U26" i="18"/>
  <c r="F30" i="26" s="1"/>
  <c r="Q26" i="18"/>
  <c r="D30" i="26" s="1"/>
  <c r="H29" i="26"/>
  <c r="F29" i="26"/>
  <c r="D29" i="26"/>
  <c r="X21" i="16"/>
  <c r="H28" i="26" s="1"/>
  <c r="U21" i="16"/>
  <c r="F28" i="26" s="1"/>
  <c r="Q21" i="16"/>
  <c r="D28" i="26" s="1"/>
  <c r="F15" i="26"/>
  <c r="D15" i="26"/>
  <c r="H15" i="26"/>
  <c r="H14" i="26"/>
  <c r="F14" i="26"/>
  <c r="D14" i="26"/>
  <c r="H13" i="26"/>
  <c r="F13" i="26"/>
  <c r="D13" i="26"/>
  <c r="H12" i="26"/>
  <c r="F12" i="26"/>
  <c r="D12" i="26"/>
  <c r="Z19" i="4"/>
  <c r="H11" i="26" s="1"/>
  <c r="W19" i="4"/>
  <c r="F11" i="26" s="1"/>
  <c r="D11" i="26"/>
  <c r="X28" i="1"/>
  <c r="H10" i="26" s="1"/>
  <c r="U28" i="1"/>
  <c r="F10" i="26" s="1"/>
  <c r="Q28" i="1"/>
  <c r="D10" i="26" s="1"/>
  <c r="H27" i="26"/>
  <c r="F27" i="26"/>
  <c r="D27" i="26"/>
  <c r="X13" i="37" l="1"/>
  <c r="H32" i="26" s="1"/>
  <c r="H20" i="26"/>
  <c r="F20" i="26"/>
  <c r="D20" i="26"/>
  <c r="D36" i="26"/>
  <c r="F19" i="26"/>
  <c r="H19" i="26"/>
  <c r="H36" i="26"/>
  <c r="F36" i="26"/>
  <c r="D19" i="26"/>
  <c r="D25" i="26"/>
  <c r="H18" i="26"/>
  <c r="F18" i="26"/>
  <c r="D18" i="26"/>
  <c r="F25" i="26" l="1"/>
  <c r="H25" i="26"/>
  <c r="D26" i="26"/>
  <c r="F26" i="26"/>
  <c r="H26" i="26"/>
  <c r="F34" i="26"/>
  <c r="D34" i="26" l="1"/>
  <c r="H34" i="26"/>
  <c r="H31" i="26"/>
  <c r="F31" i="26"/>
  <c r="D31" i="26"/>
  <c r="H35" i="26"/>
  <c r="H38" i="26" l="1"/>
  <c r="F35" i="26"/>
  <c r="L11" i="13"/>
  <c r="L61" i="13" s="1"/>
  <c r="L10" i="37"/>
  <c r="L13" i="37" l="1"/>
  <c r="C26" i="26"/>
  <c r="L8" i="36"/>
  <c r="L9" i="36" s="1"/>
  <c r="L10" i="36" s="1"/>
  <c r="C37" i="26" s="1"/>
  <c r="N303" i="35"/>
  <c r="N364" i="35" s="1"/>
  <c r="L27" i="32"/>
  <c r="L8" i="32"/>
  <c r="L28" i="32" l="1"/>
  <c r="L29" i="32" s="1"/>
  <c r="C17" i="26" s="1"/>
  <c r="G26" i="26"/>
  <c r="I26" i="26"/>
  <c r="C32" i="26"/>
  <c r="C20" i="26"/>
  <c r="R61" i="13"/>
  <c r="R10" i="36"/>
  <c r="P352" i="23"/>
  <c r="L9" i="25"/>
  <c r="L18" i="25" s="1"/>
  <c r="L26" i="17"/>
  <c r="L25" i="17"/>
  <c r="L23" i="17"/>
  <c r="L11" i="17"/>
  <c r="L10" i="17"/>
  <c r="L9" i="17"/>
  <c r="L19" i="16"/>
  <c r="L17" i="16"/>
  <c r="L15" i="16"/>
  <c r="L14" i="16"/>
  <c r="L11" i="16"/>
  <c r="L8" i="16"/>
  <c r="L46" i="14"/>
  <c r="L45" i="14"/>
  <c r="L11" i="14"/>
  <c r="L10" i="14"/>
  <c r="L8" i="14"/>
  <c r="L34" i="11"/>
  <c r="L22" i="11"/>
  <c r="L8" i="11"/>
  <c r="L19" i="10"/>
  <c r="L8" i="10"/>
  <c r="L13" i="9"/>
  <c r="L39" i="9" s="1"/>
  <c r="L10" i="8"/>
  <c r="L8" i="8"/>
  <c r="L19" i="8" s="1"/>
  <c r="L20" i="8" s="1"/>
  <c r="O11" i="5"/>
  <c r="O59" i="5"/>
  <c r="O60" i="5"/>
  <c r="O9" i="5"/>
  <c r="O8" i="5"/>
  <c r="Q13" i="3"/>
  <c r="L27" i="17" l="1"/>
  <c r="R29" i="32"/>
  <c r="Q351" i="23"/>
  <c r="P360" i="23"/>
  <c r="L20" i="10"/>
  <c r="R8" i="3"/>
  <c r="Q153" i="3"/>
  <c r="C35" i="26" s="1"/>
  <c r="O63" i="5"/>
  <c r="O78" i="5" s="1"/>
  <c r="O80" i="5" s="1"/>
  <c r="L44" i="11"/>
  <c r="L20" i="16"/>
  <c r="L21" i="16" s="1"/>
  <c r="L21" i="11"/>
  <c r="R70" i="33"/>
  <c r="T19" i="4"/>
  <c r="L19" i="25"/>
  <c r="C31" i="26"/>
  <c r="L47" i="14"/>
  <c r="L52" i="14" s="1"/>
  <c r="C36" i="26"/>
  <c r="L26" i="18"/>
  <c r="C13" i="26"/>
  <c r="T364" i="35"/>
  <c r="C19" i="26"/>
  <c r="E19" i="26" s="1"/>
  <c r="R39" i="34"/>
  <c r="C10" i="26"/>
  <c r="I10" i="26" s="1"/>
  <c r="L37" i="17" l="1"/>
  <c r="C29" i="26" s="1"/>
  <c r="L30" i="10"/>
  <c r="R30" i="10" s="1"/>
  <c r="M8" i="10"/>
  <c r="L45" i="11"/>
  <c r="C25" i="26" s="1"/>
  <c r="E25" i="26" s="1"/>
  <c r="C11" i="26"/>
  <c r="C33" i="26"/>
  <c r="G33" i="26" s="1"/>
  <c r="R19" i="25"/>
  <c r="U78" i="5"/>
  <c r="C14" i="26"/>
  <c r="C15" i="26"/>
  <c r="C30" i="26"/>
  <c r="I30" i="26" s="1"/>
  <c r="R26" i="18"/>
  <c r="R20" i="8"/>
  <c r="M8" i="8"/>
  <c r="C28" i="26"/>
  <c r="R21" i="16"/>
  <c r="C27" i="26"/>
  <c r="R52" i="14"/>
  <c r="S47" i="12"/>
  <c r="G19" i="26"/>
  <c r="I19" i="26"/>
  <c r="I20" i="26"/>
  <c r="E20" i="26"/>
  <c r="G20" i="26"/>
  <c r="R39" i="9"/>
  <c r="C18" i="26"/>
  <c r="S414" i="7"/>
  <c r="R37" i="17" l="1"/>
  <c r="R45" i="11"/>
  <c r="G25" i="26"/>
  <c r="I25" i="26"/>
  <c r="C34" i="26"/>
  <c r="I34" i="26" s="1"/>
  <c r="V360" i="23"/>
  <c r="C16" i="26"/>
  <c r="I32" i="26"/>
  <c r="G29" i="26"/>
  <c r="E33" i="26"/>
  <c r="E36" i="26"/>
  <c r="G28" i="26"/>
  <c r="I15" i="26"/>
  <c r="E18" i="26"/>
  <c r="G17" i="26"/>
  <c r="G10" i="26"/>
  <c r="G18" i="26"/>
  <c r="G13" i="26"/>
  <c r="I33" i="26"/>
  <c r="I36" i="26"/>
  <c r="I18" i="26"/>
  <c r="G36" i="26"/>
  <c r="G11" i="26"/>
  <c r="G14" i="26"/>
  <c r="I27" i="26"/>
  <c r="G16" i="26" l="1"/>
  <c r="E11" i="26"/>
  <c r="E26" i="26"/>
  <c r="I29" i="26"/>
  <c r="E29" i="26"/>
  <c r="E34" i="26"/>
  <c r="G34" i="26"/>
  <c r="E13" i="26"/>
  <c r="I28" i="26"/>
  <c r="E15" i="26"/>
  <c r="E28" i="26"/>
  <c r="E16" i="26"/>
  <c r="G15" i="26"/>
  <c r="I11" i="26"/>
  <c r="I17" i="26"/>
  <c r="E17" i="26"/>
  <c r="I16" i="26"/>
  <c r="I13" i="26"/>
  <c r="G37" i="26"/>
  <c r="E37" i="26"/>
  <c r="I37" i="26"/>
  <c r="I14" i="26"/>
  <c r="E14" i="26"/>
  <c r="E27" i="26"/>
  <c r="G27" i="26"/>
  <c r="E31" i="26" l="1"/>
  <c r="G31" i="26"/>
  <c r="I31" i="26"/>
  <c r="E30" i="26" l="1"/>
  <c r="G30" i="26"/>
  <c r="I35" i="26"/>
  <c r="G35" i="26"/>
  <c r="R28" i="1" l="1"/>
  <c r="E10" i="26"/>
  <c r="Q13" i="37" l="1"/>
  <c r="R13" i="37" s="1"/>
  <c r="D32" i="26" l="1"/>
  <c r="U13" i="37"/>
  <c r="F32" i="26" s="1"/>
  <c r="E32" i="26" l="1"/>
  <c r="G32" i="26"/>
  <c r="F38" i="26"/>
  <c r="O11" i="6" l="1"/>
  <c r="O12" i="6" l="1"/>
  <c r="O34" i="6" s="1"/>
  <c r="C12" i="26" l="1"/>
  <c r="E12" i="26" s="1"/>
  <c r="U34" i="6"/>
  <c r="I12" i="26" l="1"/>
  <c r="C38" i="26"/>
  <c r="G38" i="26" s="1"/>
  <c r="G12" i="26"/>
  <c r="I38" i="26"/>
  <c r="V13" i="3"/>
  <c r="V153" i="3" s="1"/>
  <c r="W153" i="3" l="1"/>
  <c r="D35" i="26"/>
  <c r="E35" i="26" l="1"/>
  <c r="D38" i="26"/>
  <c r="E38" i="26" s="1"/>
</calcChain>
</file>

<file path=xl/sharedStrings.xml><?xml version="1.0" encoding="utf-8"?>
<sst xmlns="http://schemas.openxmlformats.org/spreadsheetml/2006/main" count="5589" uniqueCount="2889">
  <si>
    <t xml:space="preserve">No. DE PROYECTO </t>
  </si>
  <si>
    <t>NOMBRE DEL PROYECTO</t>
  </si>
  <si>
    <t>UNIDAD ADMINISTRATIVA RESPONSABLE</t>
  </si>
  <si>
    <t>VALOR TOTAL POR CUENTA</t>
  </si>
  <si>
    <t xml:space="preserve">VALOR PROYECTO </t>
  </si>
  <si>
    <t>ARCHIVO Y CORRESPONDENCIA</t>
  </si>
  <si>
    <t>AUTOEVALUACIÓN Y ACREDITACIÓN</t>
  </si>
  <si>
    <t>Sistema Integrado de Gestión - Universidad de Cundinamarca</t>
  </si>
  <si>
    <t>CALIDAD</t>
  </si>
  <si>
    <t>CENTRO DE ESTUDIOS AGROAMBIENTALES</t>
  </si>
  <si>
    <t>COMUNICACIONES</t>
  </si>
  <si>
    <t>Fortalecimiento de la identidad del graduado de la Ucundinamarca</t>
  </si>
  <si>
    <t xml:space="preserve">GRADUADOS </t>
  </si>
  <si>
    <t>INTERACCIÓN SOCIAL UNIVERSITARIA</t>
  </si>
  <si>
    <t xml:space="preserve">INTERNACIONALIZACIÓN </t>
  </si>
  <si>
    <t>101</t>
  </si>
  <si>
    <t>SISTEMAS Y TECNOLOGÍA</t>
  </si>
  <si>
    <t>Desarrollo y Capacitacion de Personal Administrativo</t>
  </si>
  <si>
    <t xml:space="preserve">TALENTO HUMANO </t>
  </si>
  <si>
    <t>102</t>
  </si>
  <si>
    <t>PRODUCTOS METÁLICOS ELABORADOS (EXCEPTO MAQUINARIA Y EQUIPO)</t>
  </si>
  <si>
    <t>n. de certificación BP</t>
  </si>
  <si>
    <t>n. de cdp</t>
  </si>
  <si>
    <t>fecha cdp</t>
  </si>
  <si>
    <t>valor CDP</t>
  </si>
  <si>
    <t>RP numero</t>
  </si>
  <si>
    <t>fecha RP</t>
  </si>
  <si>
    <t>valor rp</t>
  </si>
  <si>
    <t>concepto descripción a contratar/ destino de la inversión</t>
  </si>
  <si>
    <t>TOTAL</t>
  </si>
  <si>
    <t>CUENTA PRESUPUESTAL /RUBRO</t>
  </si>
  <si>
    <t>valor $$</t>
  </si>
  <si>
    <t>49</t>
  </si>
  <si>
    <t>13</t>
  </si>
  <si>
    <t>11</t>
  </si>
  <si>
    <t>48</t>
  </si>
  <si>
    <t>58</t>
  </si>
  <si>
    <t>93</t>
  </si>
  <si>
    <t>16</t>
  </si>
  <si>
    <t>56</t>
  </si>
  <si>
    <t>84</t>
  </si>
  <si>
    <t>92</t>
  </si>
  <si>
    <t>95</t>
  </si>
  <si>
    <t>98</t>
  </si>
  <si>
    <t>99</t>
  </si>
  <si>
    <t>100</t>
  </si>
  <si>
    <t>36</t>
  </si>
  <si>
    <t>37</t>
  </si>
  <si>
    <t>39</t>
  </si>
  <si>
    <t>40</t>
  </si>
  <si>
    <t>43</t>
  </si>
  <si>
    <t>46</t>
  </si>
  <si>
    <t>17</t>
  </si>
  <si>
    <t>59</t>
  </si>
  <si>
    <t>15</t>
  </si>
  <si>
    <t>68</t>
  </si>
  <si>
    <t>69</t>
  </si>
  <si>
    <t>70</t>
  </si>
  <si>
    <t>62</t>
  </si>
  <si>
    <t>63</t>
  </si>
  <si>
    <t>51</t>
  </si>
  <si>
    <t>57</t>
  </si>
  <si>
    <t>PORCENTAJE DE AVANCE</t>
  </si>
  <si>
    <t>82</t>
  </si>
  <si>
    <t>83</t>
  </si>
  <si>
    <t>Fecha BP</t>
  </si>
  <si>
    <t>DEPENDENCIA</t>
  </si>
  <si>
    <t>VALOR TOTAL ASIGNADO</t>
  </si>
  <si>
    <t>VALOR EJECUTADO BANCO DE PROYECTOS</t>
  </si>
  <si>
    <t>VALOR EN CDPS</t>
  </si>
  <si>
    <t>PORCENTAJE DE AVANCE EN CDPS</t>
  </si>
  <si>
    <t>PORCENTAJE DE AVANCE EN RPS</t>
  </si>
  <si>
    <t>UNIDAD DE APOYO ACADÉMICO</t>
  </si>
  <si>
    <t>BIENES Y SERVICIOS</t>
  </si>
  <si>
    <t>DESARROLLO ACADÉMICO</t>
  </si>
  <si>
    <t>EDUCACIÓN VIRTUAL Y A DISTANCIA</t>
  </si>
  <si>
    <t xml:space="preserve">ESCUELA DE FORMACIÓN Y APRENDIZAJE DOCENTE EFAD </t>
  </si>
  <si>
    <t>POSGRADOS</t>
  </si>
  <si>
    <t>TOTALES</t>
  </si>
  <si>
    <t>VALOR EN RPS</t>
  </si>
  <si>
    <t>SECCIONAL GIRARDOT</t>
  </si>
  <si>
    <t>GIRARDOT</t>
  </si>
  <si>
    <t>PLANEACIÓN INSTITUCIONAL</t>
  </si>
  <si>
    <t xml:space="preserve">SISTEMA GESTIÓN AMBIENTAL </t>
  </si>
  <si>
    <t>SISTEMA GESTION CALIDAD</t>
  </si>
  <si>
    <t>MACROPROCESO ESTRATÉGICO</t>
  </si>
  <si>
    <t>CÓDIGO: EPIr054</t>
  </si>
  <si>
    <t xml:space="preserve">PROCESO GESTIÓN PLANEACIÓN INSTITUCIONAL </t>
  </si>
  <si>
    <t>VERSIÓN: 1</t>
  </si>
  <si>
    <t xml:space="preserve">SEGUIMIENTO PROYECTOS DE INVERSIÓN </t>
  </si>
  <si>
    <t>VIGENCIA: 2021-09-14</t>
  </si>
  <si>
    <t>PÁGINA: 1 de 1</t>
  </si>
  <si>
    <t>13.</t>
  </si>
  <si>
    <t>PRPOAI-195</t>
  </si>
  <si>
    <t>Proyecto de implementación y certificación del Sistema de Gestión Ambiental  ISO 14001:2015_UCundinamarca en equilibrio con la naturaleza_Fase 4</t>
  </si>
  <si>
    <t>AMBIENTAL</t>
  </si>
  <si>
    <t>ASIGNACIÓN INICIAL ACUERDO No. 026 DE 2021</t>
  </si>
  <si>
    <t>ACUERDO N. 001 - RB ADICIÓN PFI-PFC2021</t>
  </si>
  <si>
    <t>CREDITOS</t>
  </si>
  <si>
    <t>CONTRACREDITOS</t>
  </si>
  <si>
    <t>OTROS SERVICIOS PROFESIONALES, CIENTÍFICOS Y TÉCNICOS - SERVICIOS DE CONSULTORÍA EN ADMINISTRACIÓN Y SERVICIOS DE GESTIÓN; SERVICIOS DE TECNOLOGÍA DE LA INFORMACIÓN</t>
  </si>
  <si>
    <t>SERVICIOS DE ALCANTARILLADO, RECOLECCIÓN, TRATAMIENTO Y DISPOSICIÓN DE DESECHOS Y OTROS SERVICIOS DE SANEAMIENTO AMBIENTAL</t>
  </si>
  <si>
    <t>DISTINTAS A MEMBRESIAS</t>
  </si>
  <si>
    <t>RUBRO</t>
  </si>
  <si>
    <t>PRPOAI-146</t>
  </si>
  <si>
    <t>Adquisición  de publicaciones seriadas para las bibliotecas de la Universidad de Cundinamarca en su Sede, seccionales y extensiones.</t>
  </si>
  <si>
    <t>SERVICIOS DE TELECOMUNICACIONES, TRANSMISIÓN Y SUMINISTRO DE INFORMACIÓN</t>
  </si>
  <si>
    <t>PRPOAI-148</t>
  </si>
  <si>
    <t>Adquisición sistemas de gestión para las bibliotecas de la Universidad de Cundinamarca vigencia 2022</t>
  </si>
  <si>
    <t>PRPOAI-154</t>
  </si>
  <si>
    <t>Suscripción de licencias de software académico para la Universidad de Cundinamarca.</t>
  </si>
  <si>
    <t>EQUIPO Y APARATOS DE RADIO, TELEVISIÓN Y COMUNICACIONES</t>
  </si>
  <si>
    <t>Proteger los documentos de la Universidad de Cundinamarca desde su inicio hasta su disposición final.</t>
  </si>
  <si>
    <t>SERVICIOS DE SOPORTE</t>
  </si>
  <si>
    <t>PRPOAI-193</t>
  </si>
  <si>
    <t>Fortalecimiento del proceso Autoevaluación y Acreditación en cumplimiento de las metas y líneamientos institucionales</t>
  </si>
  <si>
    <t>OTROS BIENES TRANSPORTABLES N.C.P.(no clasificados en otra parte)</t>
  </si>
  <si>
    <t>ALOJAMIENTO; SERVICIOS DE SUMINISTROS DE COMIDAS Y BEBIDAS</t>
  </si>
  <si>
    <t xml:space="preserve">OTROS SERVICIOS PROFESIONALES, CIENTÍFICOS Y TÉCNICOS - SERVICIOS DE DISEÑO Y DESARROLLO DE LA TECNOLOGÍA DE LA INFORMACIÓN (TI) </t>
  </si>
  <si>
    <t>SERVICIOS DE FABRICACIÓN DE INSUMOS FÍSICOS QUE SON PROPIEDAD DE OTROS</t>
  </si>
  <si>
    <t>SERVICIOS DE ESPARCIMIENTO, CULTURALES Y DEPORTIVOS</t>
  </si>
  <si>
    <t>PRPOAI-224</t>
  </si>
  <si>
    <t>Construcción de la Alameda (conexión peatonal, muro de cerramiento, kiosco) costado norte de la Universidad de Cundinamarca sede Fusagasuga.</t>
  </si>
  <si>
    <t>SERVICIOS DE CONSTRUCCIÓN</t>
  </si>
  <si>
    <t>PRPOAI-194</t>
  </si>
  <si>
    <t>Programa espeacial de becas y apoyos para los estudiantes de pregrado con el fin de fomentar la permanencia estudiantil.</t>
  </si>
  <si>
    <t>BIENESTAR UNIVERSITARIO</t>
  </si>
  <si>
    <t>47</t>
  </si>
  <si>
    <t>BENEFICIOS EDUCATIVOS A LA COMUNIDAD UNIVERSITARIA</t>
  </si>
  <si>
    <t>PRPOAI-196</t>
  </si>
  <si>
    <t>Estrategias para la optimización de la retención estudiantil en estudiantes de pregrado, incluye programas socioeconomicos, inducción, consejerias entre otros.</t>
  </si>
  <si>
    <t>APOYOS SOCIOECONOMICOS A ESTUDIANTES</t>
  </si>
  <si>
    <t>PRPOAI-200</t>
  </si>
  <si>
    <t xml:space="preserve">SUELDO BÁSICO PERSONAL ADMINISTRATIVO OCASIONAL  </t>
  </si>
  <si>
    <t xml:space="preserve">AUXILIO DE TRANSPORTE PERSONAL ADMINISTRATIVO OCASIONAL  </t>
  </si>
  <si>
    <t xml:space="preserve">PRIMA DE SERVICIO PERSONAL ADMINISTRATIVO OCASIONAL  </t>
  </si>
  <si>
    <t xml:space="preserve">AUXILIO DE CESANTÍAS  PERSONAL ADMINISTRATIVO OCASIONAL  </t>
  </si>
  <si>
    <t xml:space="preserve">VACACIONES PERSONAL ADMINISTRATIVO OCASIONAL  </t>
  </si>
  <si>
    <t>PASTA O PULPA, PAPEL Y PRODUCTOS DE PAPEL; IMPRESOS Y ARTÍCULOS RELACIONADOS</t>
  </si>
  <si>
    <t>OTROS PRODUCTOS QUÍMICOS; FIBRAS ARTIFICIALES (O FIBRAS INDUSTRIALES HECHAS POR EL HOMBRE)</t>
  </si>
  <si>
    <t>SERVICIOS DE TRANSPORTE DE PASAJEROS</t>
  </si>
  <si>
    <t>SERVICIOS POSTALES Y DE MENSAJERÍA</t>
  </si>
  <si>
    <t xml:space="preserve">SERVICIOS INMOBILIARIOS </t>
  </si>
  <si>
    <t>SERVICIOS DE ARRENDAMIENTO O ALQUILER SIN OPERARIO</t>
  </si>
  <si>
    <t>SERVICIOS DE EDUCACIÓN</t>
  </si>
  <si>
    <t>SERVICIOS DE VENTA AL POR MAYOR</t>
  </si>
  <si>
    <t>SERVICIOS DE VENTA AL POR MENOR</t>
  </si>
  <si>
    <t>PRPOAI-179</t>
  </si>
  <si>
    <t>PRPOAI-190</t>
  </si>
  <si>
    <t>Mantenimiento de Buenas Prácticas en los sistemas agropecuarios de Unidad Agroambiental La Esperanza de la Universidad de Cundinamarca.</t>
  </si>
  <si>
    <t>MAQUINARIA PARA USOS ESPECIALES</t>
  </si>
  <si>
    <t>OTROS SERVICIOS PROFESIONALES, CIENTÍFICOS Y TÉCNICOS - SERVICIOS DE ENSAYO Y ANÁLISIS TÉCNICOS</t>
  </si>
  <si>
    <t>OTROS SERVICIOS PROFESIONALES, CIENTÍFICOS Y TÉCNICOS - SERVICIOS VETERINARIOS</t>
  </si>
  <si>
    <t>PRPOAI-217</t>
  </si>
  <si>
    <t>Implementación de la unidad de marketing digital para ofertar los servicios de los fondos de la Universidad de Cundinamarca.</t>
  </si>
  <si>
    <t>44</t>
  </si>
  <si>
    <t xml:space="preserve">OTROS SERVICIOS PROFESIONALES, CIENTÍFICOS Y TÉCNICOS - SERVICIOS DE CONSULTORÍA PRESTADOS A LAS EMPRESAS </t>
  </si>
  <si>
    <t>PRPOAI-176</t>
  </si>
  <si>
    <t>Aseguramiento de la Calidad del Aprendizaje</t>
  </si>
  <si>
    <t>94</t>
  </si>
  <si>
    <t>PRPOAI-177</t>
  </si>
  <si>
    <t>Fomación y Desarrollo Personal Docente</t>
  </si>
  <si>
    <t xml:space="preserve"> BENEFICIOS EDUCATIVOS A LA COMUNIDAD UNIVERSITARIA</t>
  </si>
  <si>
    <t>PRPOAI-219</t>
  </si>
  <si>
    <t>Implementación de acciones de MIPG, transparencia, antisoborno, plan de desarrollo físico y planeación en la Universidad de Cundinamarca.</t>
  </si>
  <si>
    <t>MAQUINARIA DE OFICINA, CONTABILIDAD E INFORMÁTICA</t>
  </si>
  <si>
    <t xml:space="preserve">OTROS SERVICIOS PROFESIONALES, CIENTÍFICOS Y TÉCNICOS - SERVICIOS DE INGENIERÍA </t>
  </si>
  <si>
    <t>PRPOAI-201</t>
  </si>
  <si>
    <t>Escuela de Formación y Aprendizaje Docente</t>
  </si>
  <si>
    <t>ESCUELA DE FORMACIÓN Y APRENDIZAJE</t>
  </si>
  <si>
    <t>PRPOAI-211</t>
  </si>
  <si>
    <t>GRADUADOS</t>
  </si>
  <si>
    <t>PRPOAI-153</t>
  </si>
  <si>
    <t>Interacción Social Universitaria</t>
  </si>
  <si>
    <t>INTERACCIÓN UNIVERSITARIA</t>
  </si>
  <si>
    <t>PRPOAI-216</t>
  </si>
  <si>
    <t>Fomento del frente estratégico: Dialogando con el Mundo "Internacionalización"</t>
  </si>
  <si>
    <t>INTERNACIONALIZACIÓN</t>
  </si>
  <si>
    <t>SERVICIOS PRESTADOS POR ORGANIZACIONES Y ORGANISMOS EXTRATERRITORIALES</t>
  </si>
  <si>
    <t>PRPOAI-173</t>
  </si>
  <si>
    <t>Fortalecimiento de la Educación Inclusiva, la diversidad y la equidad en la Universidad de Cundinamarca.</t>
  </si>
  <si>
    <t>INCLUSIÓN</t>
  </si>
  <si>
    <t>PRPOAI-204</t>
  </si>
  <si>
    <t>Apoyo profesional especializado para el Gobierno y Gestion de TI, el soporte externo a la plataforma institucional y la implementacion de politicas publicas de la Universidad de Cundinamarca.</t>
  </si>
  <si>
    <t>VIÁTICOS DE LOS FUNCIONARIOS EN COMISIÓN</t>
  </si>
  <si>
    <t>PRPOAI-228</t>
  </si>
  <si>
    <t>Implementar un sistema de gestión de seguridad de la información - norma ISO 27001 alineado con el modelo de seguridad y privacidad y el cumplimiento de la ley 1581 de 2012 de tratamiento de datos.</t>
  </si>
  <si>
    <t>85</t>
  </si>
  <si>
    <t>PRPOAI-207</t>
  </si>
  <si>
    <t>TALENTO HUMANO</t>
  </si>
  <si>
    <t>PRPOAI-182</t>
  </si>
  <si>
    <t>Adquisición de pantallas interactivas par el laboratorio de aguas de la Universidad Cundinamarca, seccional Girardot.</t>
  </si>
  <si>
    <t>MAQUINARIA DE OFICINA, CONTABILIDAD E INFORMÁTICA - ADQUISICIÓN DE PANTALLAS INTERACTIVAS PAR EL LABORATORIO DE AGUAS DE LA UNIVERSIDAD CUNDINAMARCA, SECCIONAL GIRARDOT</t>
  </si>
  <si>
    <t xml:space="preserve">MAQUINARIA DE OFICINA, CONTABILIDAD E INFORMÁTICA - ADQUISICION DE EQUIPOS DE COMPUTO PORTATILES PARA LA BIBLIOTECA DE LA UNIVERSIDAD DE CUNDINAMARCA SECCIONAL GIRARDOT III FASE </t>
  </si>
  <si>
    <t>OTROS SERVICIOS PROFESIONALES, CIENTÍFICOS Y TÉCNICOS - SERVICIOS DE CONSULTORÍA PRESTADOS A LAS EMPRESAS - FORTALECIMIENTO Y VISIBILIDAD DE LA INVESTIGACION  SECCIONAL GIRARDOT</t>
  </si>
  <si>
    <t>OTROS SERVICIOS PROFESIONALES, CIENTÍFICOS Y TÉCNICOS - OTROS SERVICIOS PROFESIONALES Y TÉCNICOS N.C.P. - FORTALECIMIENTO Y VISIBILIDAD DE LA INVESTIGACION  SECCIONAL GIRARDOT</t>
  </si>
  <si>
    <t>Adquisición de equipos de cómputo portátiles para la biblioteca de la universidad de Cundinamarca seccional Girardot III fase.</t>
  </si>
  <si>
    <t>Fortalecimiento y visibilidad de la investigación seccional Girardot</t>
  </si>
  <si>
    <t>Adecuación locativa, adquisición y dotación de suministros para laboratorio de hidráulica, mecánica d o suelo - aire y laboratorio de química y biología del programa de ingeniería ambiental de la Universidad Cundinamarca, seccional Girardot II fase</t>
  </si>
  <si>
    <t>MUEBLES, INSTRUMENTOS MUSICALES, ARTÍCULOS DE DEPORTE Y ANTIGÜEDADES - ADECUACIÓN LOCATIVA, ADQUISICIÓN Y DOTACIÓN DE SUMINISTROS PARA LABORATORIO DE HIDRÁULICA,  MECÁNICA DE FLUIDOS Y RECURSO SUELO - AIRE Y LABORATORIO DE QUIMICA Y BIOLOIGA DEL PROGRAMA DE INGENIERÍA AMBIENTAL DE LA UNIVERSIDAD CUNDINAMARCA, SECCIONAL GIRARDOT II FASE</t>
  </si>
  <si>
    <t>MAQUINARIA PARA USO GENERAL - ADECUACIÓN LOCATIVA, ADQUISICIÓN Y DOTACIÓN DE SUMINISTROS PARA LABORATORIO DE HIDRÁULICA,  MECÁNICA DE FLUIDOS Y RECURSO SUELO - AIRE Y LABORATORIO DE QUIMICA Y BIOLOIGA DEL PROGRAMA DE INGENIERÍA AMBIENTAL DE LA UNIVERSIDAD CUNDINAMARCA, SECCIONAL GIRARDOT II FASE</t>
  </si>
  <si>
    <t>SERVICIOS DE CONSTRUCCIÓN - ADECUACIÓN LOCATIVA, ADQUISICIÓN Y DOTACIÓN DE SUMINISTROS PARA LABORATORIO DE HIDRÁULICA,  MECÁNICA DE FLUIDOS Y RECURSO SUELO - AIRE Y LABORATORIO DE QUIMICA Y BIOLOIGA DEL PROGRAMA DE INGENIERÍA AMBIENTAL DE LA UNIVERSIDAD CUNDINAMARCA, SECCIONAL GIRARDOT II FASE</t>
  </si>
  <si>
    <t>Adquisición de equipos de computo para eL fortalecimiento de los recursos informáticos de la seccional Girardot III FASE</t>
  </si>
  <si>
    <t>Estrategias de apoyo socio económicos para la optimización de la retención estudiantil en estudiantes de pregrado</t>
  </si>
  <si>
    <t>Adquisición de lockers para el bloque académico de la Universidad de Cundinamarca seccional Girardot</t>
  </si>
  <si>
    <t>MAQUINARIA DE OFICINA, CONTABILIDAD E INFORMÁTICA - ADQUISICION DE EQUIPOS DE COMPUTO PARA EL fortalecimiento de LOS recursos informaticos de la seccional girardot III FASE</t>
  </si>
  <si>
    <t xml:space="preserve"> BENEFICIOS EDUCATIVOS A LA COMUNIDAD UNIVERSITARIA - ESTRATEGIAS DE APOYO SOCIO ECONOMICOS PARA LA OPTIMIZACION DE LA RETENCION ESTUDIANTIL EN ESTUDIANTES DE PREGRADO</t>
  </si>
  <si>
    <t xml:space="preserve">MUEBLES, INSTRUMENTOS MUSICALES, ARTÍCULOS DE DEPORTE Y ANTIGÜEDADES - Adquisicion de lockers para el bloque académico de la Universidad de Cundinamarca seccional Girardot </t>
  </si>
  <si>
    <t>104</t>
  </si>
  <si>
    <t>Adquisición de un escritorio y un archivador para la oficina del área de laboratorios de ciencias agropecuarias y ambientales - extensión Facatativá</t>
  </si>
  <si>
    <t>Adquisición de mobiliario para almacenamiento de insumos de papelería en la extensión Facatativá para la vigencia 2022</t>
  </si>
  <si>
    <t>Adecuación del terreno para la vía carreteable que conduce al parqueadero y suministro e instalación de portón en la entrada principal de la unidad agroambiental el vergel de la extensión Facatativá</t>
  </si>
  <si>
    <t>Adquisición de equipos tecnológicos para el fortalecimiento del área administrativa del sistema de gestión ambiental de la extensión Facatativá</t>
  </si>
  <si>
    <t>Evaluación de la calidad de agua del sistema de embalses de Facatativá y la tendencia a la eutrofización mediante métodos fisicoquímicos y biológicos</t>
  </si>
  <si>
    <t>Compra de un televisor con fines publicitarios exclusivos de biblioteca</t>
  </si>
  <si>
    <t>Estrategias de apoyo socio económicos para la optimización de la retención estudiantil en estudiantes de pregrado Extensión Facatativá</t>
  </si>
  <si>
    <t>EXTENSIÓN FACATIVÁ</t>
  </si>
  <si>
    <t>MUEBLES, INSTRUMENTOS MUSICALES, ARTÍCULOS DE DEPORTE Y ANTIGÜEDADES - Adquisición de un escritorio y un archivador para la oficina del área de laboratorios de ciencias agropecuarias y ambientales - extensión Facatativá</t>
  </si>
  <si>
    <t>MUEBLES, INSTRUMENTOS MUSICALES, ARTÍCULOS DE DEPORTE Y ANTIGÜEDADES - Adquisición de mobiliario para almacenamiento de insumos de papelería en la extensión Facatativá para la vigencia 2022</t>
  </si>
  <si>
    <t>SERVICIOS DE CONSTRUCCIÓN - Adecuación del terreno para la vía carreteable que conduce al parqueadero y suministro e instalación de portón en la entrada principal de la unidad agroambiental el vergel de la extensión Facatativá</t>
  </si>
  <si>
    <t>MAQUINARIA DE OFICINA, CONTABILIDAD E INFORMÁTICA - Adquisición de equipos tecnológicos para el fortalecimiento del área administrativa del sistema de gestión ambiental de la extensión Facatativá</t>
  </si>
  <si>
    <t>OTROS SERVICIOS PROFESIONALES, CIENTÍFICOS Y TÉCNICOS - SERVICIOS DE ENSAYO Y ANÁLISIS TÉCNICOS - Evaluación de la calidad de agua del sistema de embalses de Facatativá y la tendencia a la eutrofización mediante métodos fisicoquímicos y biológicos</t>
  </si>
  <si>
    <t>EQUIPO Y APARATOS DE RADIO, TELEVISIÓN Y COMUNICACIONES - Compra de un televisor con fines publicitarios exclusivos de biblioteca</t>
  </si>
  <si>
    <t xml:space="preserve"> BENEFICIOS EDUCATIVOS A LA COMUNIDAD UNIVERSITARIA - Estrategias de apoyo socio económicos para la optimización de la retención estudiantil en estudiantes de pregrado Extensión Facatativá</t>
  </si>
  <si>
    <t>PRPOAI-188</t>
  </si>
  <si>
    <t>Gestión de convocatorias internas, proyectos de investigación, planes de trabajo semilleros de investigación y convenios</t>
  </si>
  <si>
    <t>INVESTIGACIÓN</t>
  </si>
  <si>
    <t>PRODUCTOS DE LA PROPIEDAD INTELECTUAL</t>
  </si>
  <si>
    <t>OTROS SERVICIOS PROFESIONALES, CIENTÍFICOS Y TÉCNICOS - OTROS SERVICIOS PROFESIONALES Y TÉCNICOS NCP</t>
  </si>
  <si>
    <t>OTROS SERVICIOS PROFESIONALES, CIENTÍFICOS Y TÉCNICOS - SERVICIOS DE PUBLICIDAD Y EL SUMINISTRO DE ESPACIO O TIEMPO PUBLICITARIOS</t>
  </si>
  <si>
    <t xml:space="preserve">OTROS SERVICIOS DE FABRICACIÓN; SERVICIOS DE EDICIÓN, IMPRESIÓN Y REPRODUCCIÓN; SERVICIOS DE RECUPERACIÓN DE MATERIALES </t>
  </si>
  <si>
    <t>53</t>
  </si>
  <si>
    <t>79</t>
  </si>
  <si>
    <t>PRPOAI-186</t>
  </si>
  <si>
    <t>Servicios profesionales para el cumplimiento de los objetivos y metas del proceso Ciencia, Tecnología e Innovación</t>
  </si>
  <si>
    <t>OTROS SERVICIOS PROFESIONALES, CIENTÍFICOS Y TÉCNICOS - SERVICIOS DE CONSULTORÍA EN ADMINISTRACIÓN Y SERVICIOS DE GESTIÓN</t>
  </si>
  <si>
    <t>PRPOAI-187</t>
  </si>
  <si>
    <t>Transferencia de resultados, fortalecimiento y visibilidad a los procesos de investigación</t>
  </si>
  <si>
    <t>MEMBRESIAS, AFILIACIONES Y CUOTAS DE SOSTENIMIENTO</t>
  </si>
  <si>
    <t>QUÍMICOS BÁSICOS</t>
  </si>
  <si>
    <t>PRPOAI-234</t>
  </si>
  <si>
    <t>Exoneraciones de matrícula como apoyo económico de matrícula de estudiantes de posgrado con el fin de fomentar la permanencia estudiantil.</t>
  </si>
  <si>
    <t>103</t>
  </si>
  <si>
    <t>DOTACIÓN DE EQUIPOS E INSUMOS PARA LABORATORIO DE HIDRÁULICA,  MECÁNICA DE FLUIDOS Y RECURSO SUELO - AIRE DEL PROGRAMA DE INGENIERÍA AMBIENTAL DE LA UNIVERSIDAD CUNDINAMARCA, SECCIONAL GIRARDOT, FASES III Y IV</t>
  </si>
  <si>
    <t>MUEBLES, INSTRUMENTOS MUSICALES, ARTÍCULOS DE DEPORTE Y ANTIGÜEDADES</t>
  </si>
  <si>
    <t>MAQUINARIA PARA USO GENERAL</t>
  </si>
  <si>
    <t>APARATOS MÉDICOS, INSTRUMENTOS ÓPTICOS Y DE PRECISIÓN, RELOJES</t>
  </si>
  <si>
    <t>VIDRIO Y PRODUCTOS DE VIDRIO Y OTROS PRODUCTOS NO METÁLICOS N.C.P.</t>
  </si>
  <si>
    <t xml:space="preserve">II Fase - Diseño pedagógico y tecnológico para la creación de especializaciones y maestrías de posgrado en modalidad virtual </t>
  </si>
  <si>
    <t xml:space="preserve">Crear e implementar los Centros de Formación docente extensión Chía y Soacha </t>
  </si>
  <si>
    <t>II Fase - Modernización de la infraestructura tecnológica de la red de cableado estructurado, red Wifi, voz y datos de la Extensión Soacha</t>
  </si>
  <si>
    <t>SERVICIOS DE MANTENIMIENTO, REPARACIÓN E INSTALACIÓN (EXCEPTO SERVICIOS DE CONSTRUCCIÓN)</t>
  </si>
  <si>
    <t xml:space="preserve">II Fase - Diseño pedagógico y tecnológico de los campos de aprendizaje disciplinar de los programas académicos </t>
  </si>
  <si>
    <t>suscripción diario el espectador para las bibliotecas de la universidad de cundinamarca en su sede, seccionales y extensiones</t>
  </si>
  <si>
    <t>suscripción diario el tiempo y revista portafolio para las bibliotecas de la universidad de cundinamarca</t>
  </si>
  <si>
    <t>servicio de licencia derechos de autor para el servicio de reprografía qué ofrece la biblioteca central de la universidad de cundinamarca</t>
  </si>
  <si>
    <t>actualización licencia adobe* creative cloud para la universidad de cundinamarca.</t>
  </si>
  <si>
    <t>adquirir la licencia de interherd para la universidad de cundinamarca</t>
  </si>
  <si>
    <t>actualizacion de la licencia biotk para el programa de psicologia de la universidad de cundinamarca.</t>
  </si>
  <si>
    <t>adquisición de las licencias reason, logic pro x y finale para el programa de música de la universidad de cundinamarca de la extensión zipaquirá.</t>
  </si>
  <si>
    <t>209</t>
  </si>
  <si>
    <t>214</t>
  </si>
  <si>
    <t>prestar servicios profesionales en la direccion de autoevaluacion y acreditacion gestionando las actividades de caracter estrategico de aseguramiento de la calidad academica mediante la elaboración y consolidacion de los diferentes documentos asociados a los procesos de la direccion atendiendo las consideraciones del sistema de gestion de la calidad y normatividad del ministerio de educacion nacional</t>
  </si>
  <si>
    <t>prestar servicios profesionales para gestionar la construccion de documentos estrategicos, asesoria y acompañ;amiento en los procesos de obtencion, renovacion y/o modificacion de registro calificado que adelanta la direccion de autoevaluacion de la ucundinamarca en los respectivos lugares de desarrollo</t>
  </si>
  <si>
    <t>prestar servicios profesionales en la direccion de autoevaluacion y acreditacion apoyando la construccion y verificacion de condiciones de calidad en el marco de los procesos de acreditacion de programas academicos vigencia 2022</t>
  </si>
  <si>
    <t>apertura primer fondo renovable vigencia 2022 adscrito a la direccion de autoevaluacion y acreditacion</t>
  </si>
  <si>
    <t>prestar servicios profesionales en la direccion de autoevaluacion y acreditacion gestionando y acompañ;ando procesos de registro calificado atendiendo las consideraciones del decreto 1330 de 2019 y resoluciones reglamentarias</t>
  </si>
  <si>
    <t xml:space="preserve">prestar servicios profesionales en la direccion de autoevaluacion y acreditacion brindando coordinacion y gestion administrativa en el marco de los procesos de aseguramiento de la calidad a traves del desarrollo de procesos estrategicos establecidos en la direccion. </t>
  </si>
  <si>
    <t>prestar servicios profesionales desarrollando gestión y soporte academico en los procesos de autoevaluación institucional y de programas, en coherencia con la normatividad vigente y lineamientos institucionales</t>
  </si>
  <si>
    <t>prestar servicios profesionales en la direccion de autoevaluacion y acreditacion como asesora en procesos de autoevaluación y aseguramiento de la calidad académica en el marco de las disposiciones normativas del ministerio de educación nacional y normatividad institucional vigente</t>
  </si>
  <si>
    <t>prestación de servicios profesionales en la dirección de autoevaluación y acreditación apoyando el desarrollo de los procesos de autoevaluación de programas académicos de pregrado y posgrado, en el marco del acuerdo 02 de 2020 del cesu y lineamientos institucionales</t>
  </si>
  <si>
    <t>prestar servicios profesiones en la dirección de autoevaluación y acreditación y la dirección de posgrados, para elaborar el documento maestro (nueve condiciones de calidad definidas por el decreto 1330 de 2019 y la resolución 21795 de 2020), de un programa de psicología, modalidad presencial; incluyendo el proceso de sustentación ante órganos colegiados.</t>
  </si>
  <si>
    <t>prestar servicios profesionales para desarrollar estudios y medicion del valor agregado, analitica de procesos de autoevaluacion de los programas academicos por cada unidad regional y programa académico de la universidad de cundinamarca</t>
  </si>
  <si>
    <t>prestar servicios profesionales en la direccion de autoevaluacion y acreditacion apoyando la construccion y verificacion de condiciones de calidad en el proceso de obtencion y renovacion de registro calificado de programas academicos vigencia 2022.</t>
  </si>
  <si>
    <t>prestar servicios profesionales en la direccion de autoevaluacion y acreditacion brindando asesoria en la construccion de instrumentos y documentos asociados a los procesos de registro calificado, acompañ;amiento a programas académicos que se encuentran en obtención y renovación de registro calificado y sistematización de verificación de condiciones de calidad en el marco del decreto 1330 de 2019</t>
  </si>
  <si>
    <t>prestar servicios profesionales en la direccion de autoevaluacion y acreditacion para implementar estrategias de seguimiento, verificación y soporte a los procesos de obtencion y renovacion de registro calificado de programas academicos y el cumplimiento de las condiciones de calidad en el marco de la resolución 15224 y 21795 de 2020</t>
  </si>
  <si>
    <t>prestar servicios profesionales en la direccion de autoevaluacion y acreditacion para apoyar la construccion y verificación de condiciones de calidad de los documentos maestros con miras a la obtencion de registros calificados de programas academicos</t>
  </si>
  <si>
    <t>prestar servicios profesionales en la dirección de autoevaluación y acreditación apoyando la consolidación, verificación y actualización de documentos asociados al proceso de aseguramiento de la calidad académica; apoyando la gestión administrativa de la dirección</t>
  </si>
  <si>
    <t>prestar servicios profesiones en la dirección de autoevaluación y acreditación y la dirección de posgrados, para elaborar el documento maestro (nueve condiciones de calidad definidas por el decreto 1330 de 2019 y la resolución 21795 de 2020), de un programa de especialización en gestión del riesgo de desastres, modalidad virtual; incluyendo el proceso de sustentación ante órganos colegiados.</t>
  </si>
  <si>
    <t>29</t>
  </si>
  <si>
    <t>30</t>
  </si>
  <si>
    <t>33</t>
  </si>
  <si>
    <t>34</t>
  </si>
  <si>
    <t>41</t>
  </si>
  <si>
    <t>42</t>
  </si>
  <si>
    <t>211</t>
  </si>
  <si>
    <t>contratar el servicio de plan complementario de alimentación para los estudiantes de la universidad de cundinamarca, seccional ubaté. para el primer_x000D_
periodo académico 2022</t>
  </si>
  <si>
    <t>conectividad móvil de los estudiantes de la universidad de cundinamarca</t>
  </si>
  <si>
    <t xml:space="preserve">contratar el servicio de plan día de alimentación para los estudiantes de la universidad de cundinamarca, sede fusagasugá, para el primer periodo académico 2022_x000D_
</t>
  </si>
  <si>
    <t>contratar el servicio de hogar universitario para los estudiantes de la universidad de  cundinamarca, seccional ubate. para el primer periodo académico 2022.</t>
  </si>
  <si>
    <t xml:space="preserve">contratar el servicio de restaurante universitario para los estudiantes de la universidad de cundinamarca, seccional ubaté. para el primer periodo académico 2022._x000D_
</t>
  </si>
  <si>
    <t>contratar el servicio de restaurante universitario para los estudiantes de la universidad de cundinamarca, extensión facatativá. para el primer periodo académico 2022</t>
  </si>
  <si>
    <t>contratar el servicio de hogar universitario para los estudiantes de la universidad de cundinamarca, seccional girardot para el primer periodo académico_x000D_
2022.</t>
  </si>
  <si>
    <t>contratar el servicio de plan día de alimentación para los estudiantes de la universidad de cundinamarca, seccional girardot para el primer periodo académico 2022.</t>
  </si>
  <si>
    <t>contratar el servicio de restaurante universitario para los estudiantes de la universidad de cundinamarca, sede fusagasugá para el primer_x000D_
periodo académico 2022.</t>
  </si>
  <si>
    <t>contratar el servicio de restaurante universitario para los estudiantes de la universidad de cundinamarca, extensión zipaquirá para el primer periodo académico 2022</t>
  </si>
  <si>
    <t>contratar el servicio de restaurante   universitario para los estudiantes de la universidad de  cundinamarca, seccional girardot para el primer periodo académico 2022.</t>
  </si>
  <si>
    <t>contratar el servicio de plan complementario de alimentación para los estudiantes de la universidad de cundinamarca, extensión chía. para el primer periodo académico 2022</t>
  </si>
  <si>
    <t>contratar el servicio de restaurante universitario para los estudiantes de la universidad de cundinamarca, extensión soacha. para el primer periodo académico 2022</t>
  </si>
  <si>
    <t>contratar el servicio de hogar universitario para los estudiantes de la universidad de cundinamarca, sede fusagasugá para el primer periodo académico 2022.</t>
  </si>
  <si>
    <t>contratar el servicio de plan día de alimentación para los estudiantes de la universidad de cundinamarca, extensión facatativá. para el primer periodo académico 2022</t>
  </si>
  <si>
    <t>182</t>
  </si>
  <si>
    <t>183</t>
  </si>
  <si>
    <t>184</t>
  </si>
  <si>
    <t>185</t>
  </si>
  <si>
    <t>186</t>
  </si>
  <si>
    <t>187</t>
  </si>
  <si>
    <t>188</t>
  </si>
  <si>
    <t>189</t>
  </si>
  <si>
    <t>190</t>
  </si>
  <si>
    <t>191</t>
  </si>
  <si>
    <t>192</t>
  </si>
  <si>
    <t>193</t>
  </si>
  <si>
    <t>194</t>
  </si>
  <si>
    <t>195</t>
  </si>
  <si>
    <t>196</t>
  </si>
  <si>
    <t>197</t>
  </si>
  <si>
    <t>2022-01-27 22:59:24.0</t>
  </si>
  <si>
    <t>2022-01-27 23:01:28.0</t>
  </si>
  <si>
    <t>2022-01-27 23:02:13.0</t>
  </si>
  <si>
    <t>2022-01-27 00:00:00.0</t>
  </si>
  <si>
    <t>2022-01-27 23:03:40.0</t>
  </si>
  <si>
    <t>2022-01-27 23:04:11.0</t>
  </si>
  <si>
    <t>2022-01-27 23:04:32.0</t>
  </si>
  <si>
    <t>2022-01-27 23:05:02.0</t>
  </si>
  <si>
    <t>2022-01-27 23:06:10.0</t>
  </si>
  <si>
    <t>2022-01-27 23:06:32.0</t>
  </si>
  <si>
    <t>2022-01-27 23:06:58.0</t>
  </si>
  <si>
    <t>2022-01-27 23:07:53.0</t>
  </si>
  <si>
    <t>2022-01-28 09:23:56.0</t>
  </si>
  <si>
    <t>2022-01-28 00:00:00.0</t>
  </si>
  <si>
    <t>auxilio de transporte personal administrativo ocasional para bienestar universitario en el primer periodo académico de 2022</t>
  </si>
  <si>
    <t>prima de servicio personal administrativo ocasional para bienestar universitario en el primer periodo académico de 2022</t>
  </si>
  <si>
    <t>auxilio de cesantías personal administrativo ocasional bienestar universitario para el primer periodo académico de 2022</t>
  </si>
  <si>
    <t>vacaciones personal administrativo ocasional bienestar universitario para el primer periodo académico de 2022</t>
  </si>
  <si>
    <t>sueldo básico personal administrativo ocasional de bienestar universitario para el primer periodo académico de 2022</t>
  </si>
  <si>
    <t>prestar servicios como profesional de apoyo social de la universidad de cundinamarca, sede fusagasugá.</t>
  </si>
  <si>
    <t>prestar servicios como instructor de karate do para estudiantes de la comunidad universitaria de la universidad de cundinamarca sede fusagasuga</t>
  </si>
  <si>
    <t>prestar servicios profesionales para el fortalecimiento de hábitos de vida saludable y mejoramiento de la calidad de vida en la comunidad de la universidad de cundinamarca seccional girardot.</t>
  </si>
  <si>
    <t>prestar servicios profesionales y brindar orientación en el marco de formación integral y permanencia en la universidad de cundinamarca seccional girardot.</t>
  </si>
  <si>
    <t>prestar servicios como orientador deportivo para la comunidad universitaria de la universidad de cundinamarca seccional girardot.</t>
  </si>
  <si>
    <t>prestar servicios como instructor de ultimate para estudiantes de la universidad de cundinamarca, sede fusagasuga y extension soacha</t>
  </si>
  <si>
    <t>prestar servicios como instructor de teatro para la comunidad universitaria de la universidad de cundinamarca sede fusagasugá.</t>
  </si>
  <si>
    <t>prestar servicios como instructor de música para la comunidad universitaria de la universidad de cundinamarca seccional girardot.</t>
  </si>
  <si>
    <t xml:space="preserve">prestar servicios como instructor de teatro para la comunidad universitaria de la universidad de cundinamarca extensión facatativá._x000D_
</t>
  </si>
  <si>
    <t>prestar servicios como instructor de música para la comunidad universitaria de la universidad de cundinamarca extensión facatativá.</t>
  </si>
  <si>
    <t>prestar servicios como instructor de danzas para la comunidad universitaria de la universidad de cundinamarca seccional ubaté.</t>
  </si>
  <si>
    <t xml:space="preserve">prestar servicios como instructor de música para la comunidad universitaria de la universidad de cundinamarca seccional ubaté._x000D_
</t>
  </si>
  <si>
    <t xml:space="preserve">prestar servicios como instructor de música para la comunidad universitaria de la universidad de cundinamarca extensión chía._x000D_
</t>
  </si>
  <si>
    <t>prestar servicios como instructor de danzas para la comunidad universitaria de la universidad de cundinamarca extensión facatativá.</t>
  </si>
  <si>
    <t>prestar servicios como orientador deportivo para la comunidad universitaria de la universidad de cundinamarca extension zipaquira y extensión chía</t>
  </si>
  <si>
    <t>prestar servicios como instructor de orquesta para la comunidad universitaria de la universidad de cundinamarca sede fusagasugá.</t>
  </si>
  <si>
    <t>prestar servicios como instructor de porras para estudiantes de la universidad de cundinamarca sede fusagasuga y extension soacha</t>
  </si>
  <si>
    <t>prestar servicios como instructor de taekwondo para estudiantes de la universidad de cundinamarca sede fusagasuga y extension soacha</t>
  </si>
  <si>
    <t>prestar servicios como orientador deportivo para la comunidad universitaria de la universidad de cundinamarca extensión facatativá</t>
  </si>
  <si>
    <t>prestar servicios como instructor de tenis de mesa para la comunidad universitaria de la universidad de cundinamarca, sede fusagasuga y extension soacha</t>
  </si>
  <si>
    <t>prestar servicios como instructor de tenis de campo para la comunidad universitaria de la universidad de cundinamarca, sede fusagasuga y extension soacha</t>
  </si>
  <si>
    <t xml:space="preserve">prestar servicios como instructor de música para la comunidad universitaria de la universidad de cundinamarca extensión soacha._x000D_
</t>
  </si>
  <si>
    <t>prestar servicios como instructor de teatro para la comunidad universitaria de la universidad de cundinamarca seccional ubaté y extensión zipaquirá.</t>
  </si>
  <si>
    <t xml:space="preserve">prestar servicios como instructor de rugby masculino y femenino para estudiantes de la universidad de cundinamarca, sede fusagasuga y extension soacha_x000D_
</t>
  </si>
  <si>
    <t>prestar servicios como instructor de tango y salsa para la comunidad universitaria de la universidad de cundinamarca sede fusagasugá.</t>
  </si>
  <si>
    <t xml:space="preserve">prestar servicios como instructor de baloncesto para estudiantes, docentes y administrativos de la universidad de cundinamarca sede fusagasuga y extension soacha._x000D_
</t>
  </si>
  <si>
    <t>prestar servicios como instructor de atletismo para la comunidad universitaria de la universidad de cundinamarca sede fusagasuga</t>
  </si>
  <si>
    <t>prestar servicios como instructor de danza urbana de la universidad de cundinamarca sede fusagasugá.</t>
  </si>
  <si>
    <t xml:space="preserve">prestar servicios como instructor de futbol masculino para la comunidad universitaria de la universidad de cundinamarca sede fusagasuga y extension soacha_x000D_
</t>
  </si>
  <si>
    <t xml:space="preserve">prestar servicios como instructor de voleibol para la comunidad universitaria de la universidad de cundinamarca sede fusagasuga y extension soacha._x000D_
</t>
  </si>
  <si>
    <t>prestar servicios como instructor de danzas para la comunidad universitaria de la universidad de cundinamarca extensión chía.</t>
  </si>
  <si>
    <t>prestar servicios como instructor de futbol femenino para estudiantes de la universidad de cundinamarca, extension soacha y sede fusagasuga</t>
  </si>
  <si>
    <t>prestar servicios como instructor de danzas para la comunidad universitaria de la universidad de cundinamarca seccional girardot.</t>
  </si>
  <si>
    <t xml:space="preserve">prestar servicios como instructor de teatro para la comunidad universitaria de la universidad de cundinamarca extensión soacha._x000D_
</t>
  </si>
  <si>
    <t>prestar servicios como profesional de programas de aprendizaje de hábitos de vida saludable y mejoramiento de la calidad de vida, en especial lo relacionado con temas osteo musculares, a la comunidad universitaria de la universidad de cundinamarca - extensión zipaquirá</t>
  </si>
  <si>
    <t>prestar servicios profesionales y brindar orientación en el marco de formación integral y permanencia en la universidad de cundinamarca seccional ubaté</t>
  </si>
  <si>
    <t>prestar servicios como orientador deportivo para la comunidad universitaria de la universidad de cundinamarca seccional ubate</t>
  </si>
  <si>
    <t>prestar servicios como orientador deportivo para estudiantes, docentes y administrativos de la universidad de cundinamarca extension soacha</t>
  </si>
  <si>
    <t xml:space="preserve">prestar servicios de apoyo para el fortalecimiento de hábitos de vida saludable y mejoramiento de la calidad de vida en la comunidad de la universidad de cundinamarca sede fusagasugá._x000D_
</t>
  </si>
  <si>
    <t>prestar servicios de apoyo en el desarrollo de los 4 ejes estratégicos en la universidad de cundinamarca, seccional girardot</t>
  </si>
  <si>
    <t>prestar servicios de apoyo para el fortalecimiento de hábitos de vida saludable y mejoramiento de la calidad de vida en la comunidad de la universidad de cundinamarca seccional ubaté.</t>
  </si>
  <si>
    <t>prestar servicios de apoyo para el fortalecimiento de hábitos de vida saludable y mejoramiento de la calidad de vida en la comunidad de la universidad de cundinamarca extensión facatativá.</t>
  </si>
  <si>
    <t xml:space="preserve">prestar servicios profesionales para el fortalecimiento de hábitos de vida saludable y mejoramiento de la calidad de vida en la comunidad de la universidad de cundinamarca extensión soacha._x000D_
</t>
  </si>
  <si>
    <t xml:space="preserve">prestar servicios como instructor de artes plásticas para la comunidad universitaria de la universidad de cundinamarca sede fusagasugá._x000D_
</t>
  </si>
  <si>
    <t>prestar servicios como instructor de teatro para la comunidad universitaria de la universidad de cundinamarca seccional girardot.</t>
  </si>
  <si>
    <t xml:space="preserve">prestar servicios como instructor de futbol sala masculino y femenino para la comunidad universitaria de la universidad de cundinamarca sede fusagasuga y extension soacha._x000D_
</t>
  </si>
  <si>
    <t>prestar servicios como instructor de orquesta para la comunidad universitaria de la universidad de cundinamarca seccional girardot.</t>
  </si>
  <si>
    <t xml:space="preserve">prestar servicios como instructor de artes musicales para la comunidad universitaria de la universidad de cundinamarca sede fusagasugá._x000D_
</t>
  </si>
  <si>
    <t>prestar servicios como instructor de danzas para la comunidad universitaria de la universidad de cundinamarca sede fusagasugá y extensión soacha.</t>
  </si>
  <si>
    <t>prestar servicios profesionales para el fortalecimiento de hábitos de vida saludable y mejoramiento de la calidad de vida en la comunidad de la universidad de cundinamarca_x000D_
seccional ubaté</t>
  </si>
  <si>
    <t xml:space="preserve">prestar servicios profesionales y brindar orientación en el marco de formación integral y permanencia en la universidad de cundinamarca extensión facatativá._x000D_
</t>
  </si>
  <si>
    <t>adquisición de pruebas psicotécnicas para realizar proceso de selección de decanos en la universidad de cundinamarca</t>
  </si>
  <si>
    <t xml:space="preserve">prestar servicios profesionales y brindar orientación en el marco de formación integral y permanencia en la universidad de cundinamarca extensión soacha._x000D_
</t>
  </si>
  <si>
    <t>prestar servicios como profesional de programas de aprendizaje de hábitos de vida saludable y mejoramiento de la calidad de vida, en especial lo relacionado con temas osteo musculares, a la comunidad universitaria de la universidad de cundinamarca extensión soacha.</t>
  </si>
  <si>
    <t>prestar servicios profesionales para el fortalecimiento de hábitos de vida saludable y mejoramiento de la calidad de vida en la comunidad de la universidad de cundinamarca extensión chía.</t>
  </si>
  <si>
    <t>prestar servicios en bienestar universitario como profesional de programas de aprendizaje de hábitos de vida saludable y mejoramiento de la calidad de vida, en lo relacionado con temas osteo musculares, a la comunidad universitaria de la universidad de cundinamarca.</t>
  </si>
  <si>
    <t>prestar servicio de apoyo para el fortalecimiento de hábitos de vida saludable y mejoramiento de la calidad de vida en la comunidad de la universidad de cundinamarca extensión chía.</t>
  </si>
  <si>
    <t>prestar servicios profesionales para el fortalecimiento de hábitos de vida saludable y mejoramiento de la calidad de vida en la comunidad de la universidad de cundinamarca extensión facatativá.</t>
  </si>
  <si>
    <t>prestar servicios en bienestar universitario como profesional de programas de aprendizaje de hábitos de vida saludable y mejoramiento de la calidad de vida, en lo relacionado con temas osteo musculares y acompañ;amiento ascun a la comunidad universitaria de la universidad de cundinamarca.</t>
  </si>
  <si>
    <t>prestar servicios en la dirección de bienestar universitario como profesional de éxito académico.</t>
  </si>
  <si>
    <t>prestar servicios profesionales y brindar orientación en el marco de formación integral y permanencia en la universidad de cundinamarca extensiones chía y zipaquirá.</t>
  </si>
  <si>
    <t>prestar servicios profesionales para el fortalecimiento de hábitos de vida saludable y mejoramiento de la calidad de vida en la comunidad de la universidad de cundinamarca extensión zipaquirá.</t>
  </si>
  <si>
    <t>pago cuota anual de sostenimiento asociación colombiana de universidades a ascun 2022.</t>
  </si>
  <si>
    <t>2022-01-06 23:24:56.0</t>
  </si>
  <si>
    <t>2022-01-06 23:23:35.0</t>
  </si>
  <si>
    <t>2022-02-09 14:35:46.0</t>
  </si>
  <si>
    <t>72</t>
  </si>
  <si>
    <t>74</t>
  </si>
  <si>
    <t>75</t>
  </si>
  <si>
    <t>106</t>
  </si>
  <si>
    <t>107</t>
  </si>
  <si>
    <t>110</t>
  </si>
  <si>
    <t>111</t>
  </si>
  <si>
    <t>112</t>
  </si>
  <si>
    <t>113</t>
  </si>
  <si>
    <t>114</t>
  </si>
  <si>
    <t>130</t>
  </si>
  <si>
    <t>133</t>
  </si>
  <si>
    <t>135</t>
  </si>
  <si>
    <t>141</t>
  </si>
  <si>
    <t>143</t>
  </si>
  <si>
    <t>144</t>
  </si>
  <si>
    <t>149</t>
  </si>
  <si>
    <t>150</t>
  </si>
  <si>
    <t>2022-01-18 17:31:59.0</t>
  </si>
  <si>
    <t>2022-01-18 17:39:54.0</t>
  </si>
  <si>
    <t>2022-01-18 17:51:58.0</t>
  </si>
  <si>
    <t>2022-01-18 19:05:22.0</t>
  </si>
  <si>
    <t>2022-01-18 19:07:04.0</t>
  </si>
  <si>
    <t>2022-01-18 19:16:20.0</t>
  </si>
  <si>
    <t>2022-01-18 19:17:06.0</t>
  </si>
  <si>
    <t>2022-01-18 19:18:27.0</t>
  </si>
  <si>
    <t>2022-01-18 19:19:31.0</t>
  </si>
  <si>
    <t>2022-01-18 19:20:38.0</t>
  </si>
  <si>
    <t>2022-01-20 16:28:28.0</t>
  </si>
  <si>
    <t>2022-01-24 16:11:51.0</t>
  </si>
  <si>
    <t>2022-01-24 19:24:29.0</t>
  </si>
  <si>
    <t>2022-01-25 22:59:39.0</t>
  </si>
  <si>
    <t>2022-01-25 23:00:03.0</t>
  </si>
  <si>
    <t>2022-01-25 23:00:24.0</t>
  </si>
  <si>
    <t>2022-01-25 23:00:43.0</t>
  </si>
  <si>
    <t>2022-01-25 23:01:02.0</t>
  </si>
  <si>
    <t>2022-01-25 23:02:31.0</t>
  </si>
  <si>
    <t>2022-01-25 23:03:27.0</t>
  </si>
  <si>
    <t>2022-01-25 23:04:08.0</t>
  </si>
  <si>
    <t>2022-01-25 23:04:35.0</t>
  </si>
  <si>
    <t>2022-01-06 23:24:16.0</t>
  </si>
  <si>
    <t>73</t>
  </si>
  <si>
    <t>76</t>
  </si>
  <si>
    <t>77</t>
  </si>
  <si>
    <t>78</t>
  </si>
  <si>
    <t>80</t>
  </si>
  <si>
    <t>81</t>
  </si>
  <si>
    <t>86</t>
  </si>
  <si>
    <t>87</t>
  </si>
  <si>
    <t>88</t>
  </si>
  <si>
    <t>89</t>
  </si>
  <si>
    <t>90</t>
  </si>
  <si>
    <t>91</t>
  </si>
  <si>
    <t>96</t>
  </si>
  <si>
    <t>97</t>
  </si>
  <si>
    <t>105</t>
  </si>
  <si>
    <t>108</t>
  </si>
  <si>
    <t>109</t>
  </si>
  <si>
    <t>115</t>
  </si>
  <si>
    <t>116</t>
  </si>
  <si>
    <t>117</t>
  </si>
  <si>
    <t>118</t>
  </si>
  <si>
    <t>119</t>
  </si>
  <si>
    <t>121</t>
  </si>
  <si>
    <t>134</t>
  </si>
  <si>
    <t>2022-01-18 17:36:57.0</t>
  </si>
  <si>
    <t>2022-01-18 17:57:15.0</t>
  </si>
  <si>
    <t>2022-01-18 17:59:37.0</t>
  </si>
  <si>
    <t>2022-01-18 18:04:04.0</t>
  </si>
  <si>
    <t>2022-01-18 18:13:20.0</t>
  </si>
  <si>
    <t>2022-01-18 18:14:02.0</t>
  </si>
  <si>
    <t>2022-01-18 18:16:11.0</t>
  </si>
  <si>
    <t>2022-01-18 18:17:10.0</t>
  </si>
  <si>
    <t>2022-01-18 18:18:25.0</t>
  </si>
  <si>
    <t>2022-01-18 18:20:24.0</t>
  </si>
  <si>
    <t>2022-01-18 18:25:01.0</t>
  </si>
  <si>
    <t>2022-01-18 18:28:53.0</t>
  </si>
  <si>
    <t>2022-01-18 18:36:43.0</t>
  </si>
  <si>
    <t>2022-01-18 18:37:53.0</t>
  </si>
  <si>
    <t>2022-01-18 18:38:46.0</t>
  </si>
  <si>
    <t>2022-01-18 18:39:50.0</t>
  </si>
  <si>
    <t>2022-01-18 18:40:29.0</t>
  </si>
  <si>
    <t>2022-01-18 18:42:17.0</t>
  </si>
  <si>
    <t>2022-01-18 18:43:10.0</t>
  </si>
  <si>
    <t>2022-01-18 18:45:05.0</t>
  </si>
  <si>
    <t>2022-01-18 18:46:25.0</t>
  </si>
  <si>
    <t>2022-01-18 18:47:50.0</t>
  </si>
  <si>
    <t>2022-01-18 18:53:01.0</t>
  </si>
  <si>
    <t>2022-01-18 18:54:05.0</t>
  </si>
  <si>
    <t>2022-01-18 18:55:07.0</t>
  </si>
  <si>
    <t>2022-01-18 18:56:59.0</t>
  </si>
  <si>
    <t>2022-01-18 18:58:25.0</t>
  </si>
  <si>
    <t>2022-01-18 18:59:29.0</t>
  </si>
  <si>
    <t>2022-01-18 19:00:42.0</t>
  </si>
  <si>
    <t>2022-01-18 19:01:43.0</t>
  </si>
  <si>
    <t>2022-01-18 19:02:31.0</t>
  </si>
  <si>
    <t>2022-01-18 19:08:52.0</t>
  </si>
  <si>
    <t>2022-01-18 19:09:42.0</t>
  </si>
  <si>
    <t>2022-01-18 19:21:56.0</t>
  </si>
  <si>
    <t>2022-01-18 19:23:43.0</t>
  </si>
  <si>
    <t>2022-01-18 19:25:15.0</t>
  </si>
  <si>
    <t>2022-01-18 19:35:14.0</t>
  </si>
  <si>
    <t>2022-01-18 19:36:30.0</t>
  </si>
  <si>
    <t>2022-01-19 17:59:33.0</t>
  </si>
  <si>
    <t>2022-01-24 16:30:37.0</t>
  </si>
  <si>
    <t>2022-01-06 23:26:08.0</t>
  </si>
  <si>
    <t>2022-01-06 23:25:27.0</t>
  </si>
  <si>
    <t>apoyar la formación posgradual de docentes vinculados a la_x000D_
universidad de cundinamarca, atendiendo lo establecido en la_x000D_
resolución n.083 de 2011 y resolución 235 de 2012, para la vigencia 2022.</t>
  </si>
  <si>
    <t>2022-02-08 16:31:02.0</t>
  </si>
  <si>
    <t>prestar servicios profesionales en la escuela de formacion y aprendizaje docente elaborando la sistematizacion de experiencias pedagogicas asociadas a la implementacion de los circuitos de formacion, evaluacion e innovacion realizados a traves del proceso de cualificacion a profesores</t>
  </si>
  <si>
    <t>prestar servicios profesionales en la escuela de formacion y aprendizaje docente acompañ;ando la gestión administrativa para el despliegue de los circuitos de formacion mediante la puesta en marcha de herramientas digitales que contribuyan a la mejora respecto al desarrollo profesoral y servicios ofertados por la efad en el marco del medit.</t>
  </si>
  <si>
    <t>prestar servicios profesionales en la escuela de formacion y aprendizaje docente gestionando los recursos educativos digitales requeridos para el diseñ;o e implementación de los circuitos de formacion y procesos de aseguramiento de la calidad del aprendizaje</t>
  </si>
  <si>
    <t>prestar servicios profesionales en la escuela de formacion y_x000D_
aprendizaje docente para desarrollar contenidos de tipo grafico_x000D_
(imagen - video) y recursos educativos digitales, que soporten las_x000D_
estrategias ejecutadas dentro de los circuitos de formacion,_x000D_
evaluacion e innovacion y otras actividades adelantadas en el_x000D_
area</t>
  </si>
  <si>
    <t>prestar servicios profesionales en la escuela de formacion y_x000D_
aprendizaje docente gestionando, sistematizando analiticas_x000D_
academicas y acompañ;amiento a profesores en el marco de los_x000D_
circuitos de formación, innovación y evaluación con metodologías_x000D_
y estrategias para implementar el campo multidimensional de_x000D_
aprendizaje.</t>
  </si>
  <si>
    <t>prestar servicios profesionales en la escuela de formacion y_x000D_
aprendizaje docente apoyando la implementacion de la mesa de_x000D_
ayuda para asesorar a los profesores y monitores adscritos a la_x000D_
escuela de formacion docente, en el diseñ;o e implementacion de_x000D_
los planes de aprendizaje digital elaborados en el marco de los_x000D_
circuitos de formacion</t>
  </si>
  <si>
    <t>prestar servicios profesionales en la escuela de formacion y_x000D_
aprendizaje docente gestionando los servicios de web master_x000D_
para sistematizar las experiencias derivadas de la implementacion_x000D_
de los circuitos de formacion dirigidos a profesores de la_x000D_
universidad de cundinamarca</t>
  </si>
  <si>
    <t>prestar servicios profesionales para realizar la correccion de_x000D_
estilo y verificacion de aspectos tecnicos de documentos_x000D_
estrategicos en el marco de los procesos misionales que adelanta_x000D_
la efad y procesos de aseguramiento de la calidad académica y del_x000D_
aprendizaje</t>
  </si>
  <si>
    <t>prestar servicios profesionales en la escuela de formacion y_x000D_
aprendizaje docente apoyando el diseñ;o e implementacion de los_x000D_
campos de aprendizaje disciplinar de los programas resignificados_x000D_
curricularmente</t>
  </si>
  <si>
    <t>prestar servicios profesionales en la escuela de formacion y_x000D_
aprendizaje docente apoyando el diseñ;o, implementacion y gestión_x000D_
de los campos de aprendizaje disciplinar de los programas_x000D_
resignificados curricularmente.</t>
  </si>
  <si>
    <t>prestar servicios profesionales en la escuela de formacion y_x000D_
aprendizaje docente apoyando el diseñ;o, implementacion y gestión_x000D_
de los campos de aprendizaje de los programas resignificados_x000D_
curricularmente.</t>
  </si>
  <si>
    <t>prestar servicios profesionales en la escuela de formacion y_x000D_
aprendizaje docente de la ucundinamarca para implementar piezas_x000D_
graficas, micrositio, videotutoriales y recursos educativos_x000D_
digitales requeridos en el desarrollo de los circuitos de_x000D_
evaluacion, formacion e innovacion</t>
  </si>
  <si>
    <t>prestar servicios profesionales en la escuela de formacion y_x000D_
aprendizaje docente de la ucundinamarca para implementar piezas_x000D_
graficas, micrositio, videotutoriales y recursos educativos_x000D_
digitales requeridos en el desarrollo de los circuitos de_x000D_
evaluacion, formacion e innovacion requeridos en el campo_x000D_
multidimensional de aprendizaje</t>
  </si>
  <si>
    <t>prestar servicios profesionales en la escuela de formacion y_x000D_
aprendizaje docente apoyando la sistematizacion de datos y_x000D_
analitica academica, en el marco de los procesos realizados en los_x000D_
circuitos de formacion, aprendizaje e innovacion desarrollados_x000D_
por la escuela de formacion docente de la universidad de_x000D_
cundinamarca</t>
  </si>
  <si>
    <t>prestar servicios profesionales en la escuela de formacion y_x000D_
aprendizaje docente acompañ;ando a los profesores de la_x000D_
universidad de cundinamarca en el diseñ;o, implementacion y_x000D_
gestión de los campos de aprendizaje disciplinar de los programas_x000D_
resignificados curricularmente.</t>
  </si>
  <si>
    <t xml:space="preserve">prestar servicios profesionales en la escuela de formacion y aprendizaje docente para gestionar el acompañ;amiento, construccion y retroalimentacion en el diseñ;o de campos de aprendizaje derivados de los procesos de resignificacion curricular de programas academicos de la universidad de cundinamarca_x000D_
</t>
  </si>
  <si>
    <t xml:space="preserve">prestar servicios profesionales para coordinar la implementación del campo muntidimensional de aprendizaje en el marco de los procesos de resignificación curricular de la universidad de cundinamarca_x000D_
</t>
  </si>
  <si>
    <t>32</t>
  </si>
  <si>
    <t>50</t>
  </si>
  <si>
    <t>52</t>
  </si>
  <si>
    <t>55</t>
  </si>
  <si>
    <t>174</t>
  </si>
  <si>
    <t>175</t>
  </si>
  <si>
    <t>2022-01-11 12:55:11.0</t>
  </si>
  <si>
    <t>2022-01-13 16:25:59.0</t>
  </si>
  <si>
    <t>2022-01-14 11:51:50.0</t>
  </si>
  <si>
    <t>2022-01-14 11:53:54.0</t>
  </si>
  <si>
    <t>2022-01-14 11:57:14.0</t>
  </si>
  <si>
    <t>2022-01-14 11:58:42.0</t>
  </si>
  <si>
    <t>2022-01-14 12:01:40.0</t>
  </si>
  <si>
    <t>2022-01-14 12:02:18.0</t>
  </si>
  <si>
    <t>2022-01-14 12:02:58.0</t>
  </si>
  <si>
    <t>2022-01-14 12:03:18.0</t>
  </si>
  <si>
    <t>2022-01-14 12:06:33.0</t>
  </si>
  <si>
    <t>2022-01-14 12:09:24.0</t>
  </si>
  <si>
    <t>2022-01-14 12:09:47.0</t>
  </si>
  <si>
    <t>2022-01-14 12:11:28.0</t>
  </si>
  <si>
    <t>2022-01-14 12:13:28.0</t>
  </si>
  <si>
    <t>2022-01-17 10:24:46.0</t>
  </si>
  <si>
    <t>2022-01-26 16:00:12.0</t>
  </si>
  <si>
    <t>2022-01-26 16:00:33.0</t>
  </si>
  <si>
    <t>prestar servicios profesionales de ingeniera ambiental para asesorar y realizar gestión de actividades de alistamiento para certificación de las normas del sistema de gestión ambiental de la universidad de cundinamarca.</t>
  </si>
  <si>
    <t>prestar servicios profesionales para apoyar las actividades de alistamiento para la certificación de las normas relacionadas con el sistema de gestión ambiental de la universidad de cundinamarca en el nodo centro, extensión soacha y oficinas bogotá.</t>
  </si>
  <si>
    <t>prestar servicios profesionales para apoyar las actividades de alistamiento para la certificación de las normas relacionadas con el sistema de gestión ambiental de la universidad de cundinamarca en el nodo sur, sede fusagasugá.</t>
  </si>
  <si>
    <t>prestar servicios profesionales para apoyar las actividades de alistamiento para la certificación de las normas relacionadas con el sistema de gestión ambiental de la universidad de cundinamarca en el nodo sur, seccional girardot.</t>
  </si>
  <si>
    <t>prestar servicios profesionales para apoyar las actividades de alistamiento para la certificación de las normas relacionadas con el sistema de gestión ambiental de la universidad de cundinamarca en el nodo norte, extensión chía y extensión zipaquirá.</t>
  </si>
  <si>
    <t>prestar servicios profesionales para apoyar las actividades de alistamiento para la certificación de las normas relacionadas con el sistema de gestión ambiental de la universidad de cundinamarca en el nodo norte, seccional ubaté.</t>
  </si>
  <si>
    <t>24</t>
  </si>
  <si>
    <t>120</t>
  </si>
  <si>
    <t>122</t>
  </si>
  <si>
    <t>124</t>
  </si>
  <si>
    <t>125</t>
  </si>
  <si>
    <t>127</t>
  </si>
  <si>
    <t>2022-01-12 10:40:22.0</t>
  </si>
  <si>
    <t>2022-01-18 19:43:26.0</t>
  </si>
  <si>
    <t>2022-01-19 18:20:15.0</t>
  </si>
  <si>
    <t>2022-01-19 18:21:04.0</t>
  </si>
  <si>
    <t>2022-01-20 12:17:49.0</t>
  </si>
  <si>
    <t>2022-01-20 12:19:09.0</t>
  </si>
  <si>
    <t>prestar servicios de apoyo para realizar la digitalización y soporte de los trámites procesos y procedimientos administrativos de la universidad de cundinamarca.</t>
  </si>
  <si>
    <t>prestar servicios profesionales de ingeniero industrial para asesorar y realizar gestión de las actividades de alistamiento para la certificación de los sistemas integrados de gestión de la calidad de la universidad de cundinamarca</t>
  </si>
  <si>
    <t>prestar servicios profesionales para apoyar el mantenimiento del sistema de gestión de la calidad y las actividades de alistamiento para la certificación de las normas relacionadas con el sistema de gestión de la calidad de la universidad de cundinamarca.</t>
  </si>
  <si>
    <t>prestar servicios profesionales de economista para apoyar el mantenimiento del sistema de gestión de la calidad y las actividades de alistamiento para la certificación de las normas relacionadas con el sistema de gestión de la calidad de la universidad de cundinamarca.</t>
  </si>
  <si>
    <t>25</t>
  </si>
  <si>
    <t>26</t>
  </si>
  <si>
    <t>126</t>
  </si>
  <si>
    <t>131</t>
  </si>
  <si>
    <t>2022-01-12 10:40:54.0</t>
  </si>
  <si>
    <t>2022-01-12 10:41:18.0</t>
  </si>
  <si>
    <t>2022-01-20 12:18:33.0</t>
  </si>
  <si>
    <t>2022-01-21 10:21:46.0</t>
  </si>
  <si>
    <t>caja menor sistemas de gestión de calidad</t>
  </si>
  <si>
    <t>2022-02-11 10:47:41.0</t>
  </si>
  <si>
    <t xml:space="preserve">prestar servicios como diseñ;ador gráfico digital para los canales online y de venta que establezca la unidad de marketing de la universidad de cundinamarca._x000D_
</t>
  </si>
  <si>
    <t xml:space="preserve">prestar servicios como content manager para administrar las redes sociales ,y los canales online y de venta institucional, de la universidad de cundinamarca._x000D_
</t>
  </si>
  <si>
    <t>prestar servicios profesionales como analista para la unidad de marketing digital.</t>
  </si>
  <si>
    <t xml:space="preserve">prestar servicios profesionales en marketing digital para la unidad de mercadeo de la universidad de cundinamarca_x000D_
</t>
  </si>
  <si>
    <t>prestar servicios como desarrollador web para la unidad de marketing digital de la universidad de cundinamarca.</t>
  </si>
  <si>
    <t>2022-01-18 17:26:08.0</t>
  </si>
  <si>
    <t>2022-01-18 17:26:35.0</t>
  </si>
  <si>
    <t>2022-01-18 17:28:37.0</t>
  </si>
  <si>
    <t>2022-01-18 17:29:22.0</t>
  </si>
  <si>
    <t>2022-01-20 16:28:08.0</t>
  </si>
  <si>
    <t>71</t>
  </si>
  <si>
    <t>129</t>
  </si>
  <si>
    <t>prestar servicios profesionales para la estructuración e implementación del sistema de gestión antisoborno acorde con los lineamientos de la norma técnica ntc iso 37001. y su articulación a los demás sistemas de gestión por medio del modelo mipg</t>
  </si>
  <si>
    <t>prestar servicios de consultoría para diseñ;ar, estructurar, revisar y conceptuar sobre proyectos de inversión universitaria y proyectos de regalías, bajo metodología mml y mga.</t>
  </si>
  <si>
    <t>prestar servicios profesionales para el cierre de planes de mejoramiento concernientes al modelo integrado de planeación y gestión mipg y a las acciones de política reportadas en el formulario furag y prestar apoyo al reporte de avances a la gestión furag. (gestionar la 7ma dimensión control interno, delimitación del alcance de la segunda línea de defensa en esta dimensión del modelo mipg).</t>
  </si>
  <si>
    <t>28</t>
  </si>
  <si>
    <t>128</t>
  </si>
  <si>
    <t>132</t>
  </si>
  <si>
    <t>2022-01-13 08:03:50.0</t>
  </si>
  <si>
    <t>2022-01-20 16:27:47.0</t>
  </si>
  <si>
    <t>2022-01-21 10:22:44.0</t>
  </si>
  <si>
    <t xml:space="preserve">prestar servicios como ingeniero de sistemas para el mejoramiento de la calidad de datos de la universidad de cundinamarca y apoyo técnico del aplicativo de banco de proyectos._x000D_
</t>
  </si>
  <si>
    <t>renovación del servicio de soporte, actualización y mantenimiento de la suite visión empresarial módulo bcs</t>
  </si>
  <si>
    <t>19</t>
  </si>
  <si>
    <t>202</t>
  </si>
  <si>
    <t>2022-01-11 16:49:27.0</t>
  </si>
  <si>
    <t>2022-01-31 17:19:56.0</t>
  </si>
  <si>
    <t>adquisición de elementos para el apoyo logístico para la realización de los diferentes eventos presenciales y virtuales en los que participa y organiza la oficina de graduados o requeridos para su correcto funcionamiento, a nivel interno, en sedes, seccionales y extensiones o a nivel externo</t>
  </si>
  <si>
    <t>2022-02-15 10:58:46.0</t>
  </si>
  <si>
    <t>prestar servicios profesionales en la dirección de interacción_x000D_
social universitaria gestionando la suscripción, sistematización y_x000D_
analítica de resultados derivados de convenios académicos</t>
  </si>
  <si>
    <t>prestacion de servicios profesionales en la direccion de_x000D_
interacción social universitaria para gestionar el desarrollo de_x000D_
procesos de educacion continuada, proyectos sociales y fondo_x000D_
academico de la universidad de cundinamarca</t>
  </si>
  <si>
    <t>prestar servicios profesionales en la dirección de interacción social universitaria, apoyando el desarrollo misional y operativo de las áreas de la dirección de interacción social universitaria</t>
  </si>
  <si>
    <t>prestacion de servicios profesionales para gestionar los_x000D_
procesos asociados al area de responsabilidad social_x000D_
universitaria en coherencia con la politica de interaccion social y_x000D_
sus acciones estrategicas</t>
  </si>
  <si>
    <t>prestar servicios profesionales para la gestion de voluntariado,_x000D_
prácticas y pasantías en el marco de la política de interacción_x000D_
social universitaria</t>
  </si>
  <si>
    <t>prestacion de servicios profesionales en la direccion de_x000D_
interaccion social universitaria para apoyar el diseñ;o de_x000D_
recursos educativos digitales, piezas publicitarias y entornos_x000D_
virtuales para la difusion de los procesos de interaccion social</t>
  </si>
  <si>
    <t>prestar servicios profesionales en la dirección de interacción_x000D_
social universitaria, apoyando el desarrollo de los lineamientos_x000D_
de responsabilidad social universitaria en coherencia con el medit_x000D_
y políticas institucionales</t>
  </si>
  <si>
    <t>prestar servicios profesionales en la dirección de interacción social_x000D_
universitaria apoyando la sistematización y digitalización de los_x000D_
procesos de interacción social universitaria en coherencia con el_x000D_
sistema de gestión de la calidad y política de interacción social.</t>
  </si>
  <si>
    <t>prestar servicios profesionales para la gestion del laboratorio_x000D_
de innovacion social en coherencia con la politica de_x000D_
interaccion social universitaria</t>
  </si>
  <si>
    <t>prestar servicios profesionales para gestionar lo relacionado_x000D_
con el procedimiento de educacion continuada en coherencia con_x000D_
la politica isu</t>
  </si>
  <si>
    <t>18</t>
  </si>
  <si>
    <t>20</t>
  </si>
  <si>
    <t>21</t>
  </si>
  <si>
    <t>22</t>
  </si>
  <si>
    <t>136</t>
  </si>
  <si>
    <t>152</t>
  </si>
  <si>
    <t>165</t>
  </si>
  <si>
    <t>2022-01-11 12:49:33.0</t>
  </si>
  <si>
    <t>2022-01-11 12:52:19.0</t>
  </si>
  <si>
    <t>2022-01-11 12:54:24.0</t>
  </si>
  <si>
    <t>2022-01-11 12:57:58.0</t>
  </si>
  <si>
    <t>2022-01-11 16:59:27.0</t>
  </si>
  <si>
    <t>2022-01-11 17:01:47.0</t>
  </si>
  <si>
    <t>2022-01-11 17:02:08.0</t>
  </si>
  <si>
    <t>2022-01-25 12:37:26.0</t>
  </si>
  <si>
    <t>2022-01-26 10:40:08.0</t>
  </si>
  <si>
    <t>2022-01-26 15:28:26.0</t>
  </si>
  <si>
    <t>prestar servicios como profesional para apoyar al líder de la oficina de relaciones internacionales en el desarrollo de las políticas del eje estratégico dialogando con el mundo, que requiera la universidad de cundinamarca con el fin de asegurar la calidad educativa de la misma.</t>
  </si>
  <si>
    <t>prestar servicios como profesional en lenguas modernas para liderar el fortalecimiento de la internacionalización en los programas y el desarrollo de las políticas del eje estratégico dialogando con el mundo, que requiera la universidad de cundinamarca con el fin de asegurar la calidad educativa de la misma.</t>
  </si>
  <si>
    <t>servicio de alimentación, hospedaje y transporte para docentes y estudiantes internacionales.</t>
  </si>
  <si>
    <t>140</t>
  </si>
  <si>
    <t>160</t>
  </si>
  <si>
    <t>2022-01-25 22:45:33.0</t>
  </si>
  <si>
    <t>2022-01-26 11:44:44.0</t>
  </si>
  <si>
    <t>2022-02-23 10:04:11.0</t>
  </si>
  <si>
    <t>prestar servicios profesionales para liderar el proceso de articulación e implementación de la política de educación superior inclusiva declarada en la universidad de cundinamarca con cada una de las áreas misionales y administrativas.</t>
  </si>
  <si>
    <t>prestar servicios profesionales para apoyar la implementación del plan de acción de educación superior inclusiva en articulación con las áreas y dependencias.</t>
  </si>
  <si>
    <t>151</t>
  </si>
  <si>
    <t>204</t>
  </si>
  <si>
    <t>2022-01-26 10:09:40.0</t>
  </si>
  <si>
    <t>2022-02-08 16:31:40.0</t>
  </si>
  <si>
    <t>auxilio de cesantiaspersonal administrativo ocasional - contratacion del personal de la direccion de sistemas y tecnologia</t>
  </si>
  <si>
    <t>2022-01-06 16:45:25.0</t>
  </si>
  <si>
    <t>auxilio de transporte personal administrativo ocasional - contratacion  del personal de la direccion de sistemas y tecnologia</t>
  </si>
  <si>
    <t>2022-01-06 16:34:40.0</t>
  </si>
  <si>
    <t xml:space="preserve">_x000D_
prestar servicios en el seguimiento a los procesos de seguridad informatica y gestion de servicios en nube, en la direccion de sistemas y tecnologia de la universidad de cundinamarca </t>
  </si>
  <si>
    <t xml:space="preserve">prestar servicios en el desarrollo de los procedimientos de calidad de datos, analisis de datos y presentacion de informacion para la toma de decision de los diferentes procesos universitarios. </t>
  </si>
  <si>
    <t xml:space="preserve">prestar servicios en la apropiacion e implementación de las tecnologias emergentes para la mejora de los procesos universitarios conforme al campo multidimensional de aprendizaje en coherencia con el modelo educativo digital transmoderno </t>
  </si>
  <si>
    <t>137</t>
  </si>
  <si>
    <t>138</t>
  </si>
  <si>
    <t>181</t>
  </si>
  <si>
    <t>2022-01-25 22:43:28.0</t>
  </si>
  <si>
    <t>2022-01-25 22:43:59.0</t>
  </si>
  <si>
    <t>2022-01-27 22:54:07.0</t>
  </si>
  <si>
    <t>prima de servicio personal administrativo ocasional - contratacion  del personal de la direccion de sistemas y tecnologia</t>
  </si>
  <si>
    <t>2022-01-06 16:36:22.0</t>
  </si>
  <si>
    <t>sueldo basico personal administrativo ocasional - contratacion  del personal de la direccion de sistemas y tecnologia</t>
  </si>
  <si>
    <t>2022-01-06 16:34:01.0</t>
  </si>
  <si>
    <t xml:space="preserve">vacaciones personal administrativo ocasional - contratacion del personal de la direccion de sistemas y tecnologia </t>
  </si>
  <si>
    <t>2022-01-06 17:33:05.0</t>
  </si>
  <si>
    <t>pago contra factura por concepto de renovación aportes patrimoniales actividades ecr, uso de codigo de barras</t>
  </si>
  <si>
    <t>2022-01-25 22:44:24.0</t>
  </si>
  <si>
    <t>adquisición de insumos para la impresora de carnetización de la universidad de cundinamarca.</t>
  </si>
  <si>
    <t>2022-02-09 12:25:57.0</t>
  </si>
  <si>
    <t xml:space="preserve">_x000D_
prestar servicios como ingeniera de seguridad de la informacion, generando estrategias para el cierre de brechas en la implementacion del sistemas de gestion de seguridad de la informacion - sgsi. </t>
  </si>
  <si>
    <t>2022-01-26 17:23:20.0</t>
  </si>
  <si>
    <t>2022-01-17 10:25:14.0</t>
  </si>
  <si>
    <t>asignación exoneraciones de matrícula por recursos económicos ipa 2022</t>
  </si>
  <si>
    <t>2022-01-17 17:58:49.0</t>
  </si>
  <si>
    <t>publicación del artículo titulado: adickeya solani, pectobacterium atrosepticum and pseudomonas asplenii: causal agents of bacterial soft rot in cyclamen plants (cyclamen persicum mill.) in colombiaa del grupo de investigación prosafis, en la revista indexada canadian journal of plant pathology.</t>
  </si>
  <si>
    <t>206</t>
  </si>
  <si>
    <t>2022-02-09 12:26:20.0</t>
  </si>
  <si>
    <t xml:space="preserve">publicación del artículo titulado: caracterización del turismo en la provincia del sumapaz- colombia, del grupo de investigación arado, en la revista indexada conocimiento global.  </t>
  </si>
  <si>
    <t>2022-02-18 12:18:01.0</t>
  </si>
  <si>
    <t>prestar servicios profesionales para brindar apoyo y acompañ;amiento en la gestion del proceso de ciencia, tecnología e innovación, cumplimiento de metas, objetivos y gestion de recursos sgr y entidades externas</t>
  </si>
  <si>
    <t>prestar servicios profesionales como corrector ortográfico, gramatical y revisión de estilo de libros derivados de proyectos de investigación y demás productos de ciencia, tecnología e innovación de los grupos de investigación de la universidad de cundinamarca</t>
  </si>
  <si>
    <t>prestar servicios profesionales para brindar apoyo y acompañ;amiento en todos los procesos derivados de redes de investigacion en las que participa la udec (nacionales e internacionales), asi como en los procesos relacionados a los cai, cadi y cac de la universidad de cundinamarca</t>
  </si>
  <si>
    <t>prestar servicios profesionales para el manejo del portal web dirección de investigación de la universidad de cundinamarca, apoyo en los sistemas de gestión, planes de mejoramiento, informes y reportes del proceso ciencia, tecnología e innovación entre otras actividades de fortalecimiento a la investigación</t>
  </si>
  <si>
    <t>prestar servicios profesionales para el apoyo, asesoría y acompañ;amiento de las actividades del procedimiento proyectos de investigación (convocatorias externas) contribuyendo en las fases de gestión de los proyectos entre otras actividades de fortalecimiento a la investigación</t>
  </si>
  <si>
    <t>prestar servicios profesionales para brindar apoyo en el area de metrologia y contribuir en realizar la verificacion de las mediciones, unidades de medida y de los equipos utilizados en el desarrollo de proyectos de investigación y emitir conceptos relacionados de proyectos de investigación presentadosobligaciones</t>
  </si>
  <si>
    <t>prestar servicios profesionales para brindar acompañ;amiento en las acciones y actividades relacionadas con carrera academica, acompañ;amiento y_x000D_
seguimiento en procesos de cualificación y producción docente, ingreso y reingreso a carrera, evaluación docente, comisiones de estudio, promoción y reconocimiento docente, participar en procesos externos de la red de seguimiento y mejoramiento de las prácticas de carrera docente y su producción académica, generación de reportes sobre docentes, sus actividades y producción académica solicitados por el solicitados por el ministerio de educación nacional, minciencias e icfes, y, demas acciones y actividades similares, afines y/o relacionadas con personal docente y su carrera académico investigativa</t>
  </si>
  <si>
    <t>prestar servicios profesionales de apoyo, asesoría y acompañ;amiento en actividades relacionadas con el procedimiento semilleros de investigación e investigación formativa y proceso de capacitaciones, entre otras actividades de fortalecimiento a la investigación</t>
  </si>
  <si>
    <t>prestar servicios para brindar apoyo, asesoría y acompañ;amiento en la ejecución contable-financiera de los proyectos de investigación internos, de convocatorias externas, y, del sgr y similares</t>
  </si>
  <si>
    <t>prestar los servicios profesionales para el manejo y administración del sello editorial de la universidad de cundinamarca, el sistema de publicaciones y revistas de la universidad, entre otras actividades de fortalecimiento a la investigación.</t>
  </si>
  <si>
    <t>prestar los servicios para brindar apoyo y acompañ;amiento en el diseñ;o, diagramación y maquetación al interior de la editorial de la universidad de cundinamarca</t>
  </si>
  <si>
    <t>prestar servicios profesionales como diseñ;ador industrial para brindar apoyo y acompañ;amiento en el procedimiento editorial contribuyendo en las diferentes publicaciones y proyección de imagen del proceso de ciencia, tecnología e innovación, entre otras actividades de fortalecimiento a la investigación</t>
  </si>
  <si>
    <t>prestar servicios profesionales para el apoyo, asesoría y acompañ;amiento de las actividades del procedimiento proyectos de investigación internos y conjuntos contribuyendo en las fases de gestión de los proyectos entre otras actividades de fortalecimiento a la investigación</t>
  </si>
  <si>
    <t>prestar servicios profesionales para el apoyo, asesoría y acompañ;amiento de las actividades del procedimiento grupos de investigación a fin de contribuir al reconocimiento, categorización y mejoramiento de categoría, entre otras actividades de fortalecimiento a la investigación</t>
  </si>
  <si>
    <t>prestar servicios profesionales para brindar apoyo y acompañ;amiento desde el area jurídica para contribuir en el desarrollo y ejecucion de programas y proyectos de investigacion y de apoyo en actualización normativa</t>
  </si>
  <si>
    <t>153</t>
  </si>
  <si>
    <t>154</t>
  </si>
  <si>
    <t>161</t>
  </si>
  <si>
    <t>162</t>
  </si>
  <si>
    <t>163</t>
  </si>
  <si>
    <t>164</t>
  </si>
  <si>
    <t>166</t>
  </si>
  <si>
    <t>167</t>
  </si>
  <si>
    <t>168</t>
  </si>
  <si>
    <t>169</t>
  </si>
  <si>
    <t>170</t>
  </si>
  <si>
    <t>171</t>
  </si>
  <si>
    <t>172</t>
  </si>
  <si>
    <t>173</t>
  </si>
  <si>
    <t>180</t>
  </si>
  <si>
    <t>2022-01-26 10:40:48.0</t>
  </si>
  <si>
    <t>2022-01-26 10:41:18.0</t>
  </si>
  <si>
    <t>2022-01-26 11:45:21.0</t>
  </si>
  <si>
    <t>2022-01-26 11:46:32.0</t>
  </si>
  <si>
    <t>2022-01-26 11:49:31.0</t>
  </si>
  <si>
    <t>2022-01-26 11:49:59.0</t>
  </si>
  <si>
    <t>2022-01-26 15:29:04.0</t>
  </si>
  <si>
    <t>2022-01-26 15:29:33.0</t>
  </si>
  <si>
    <t>2022-01-26 15:29:57.0</t>
  </si>
  <si>
    <t>2022-01-26 15:30:19.0</t>
  </si>
  <si>
    <t>2022-01-26 15:30:39.0</t>
  </si>
  <si>
    <t>2022-01-26 15:30:58.0</t>
  </si>
  <si>
    <t>2022-01-26 15:31:17.0</t>
  </si>
  <si>
    <t>2022-01-26 15:31:41.0</t>
  </si>
  <si>
    <t>2022-01-27 22:53:36.0</t>
  </si>
  <si>
    <t>membresia para hacer parte del nodo bogota cundinamarca de la red colombiana de semilleros de investigacion (redcolsi) para la vigencia 2021.</t>
  </si>
  <si>
    <t>2022-02-18 12:21:55.0</t>
  </si>
  <si>
    <t>prestar los servicios profesionales para brindar apoyo, asesoria y acompañ;amiento en la formulación, estructuración y demas fases de la gestión de proyectos de investigación con financiación externa</t>
  </si>
  <si>
    <t>prestar los servicios profesionales para el manejo y administración de las publicaciones cientificas seriadas y periodicas de acuerdo con los criterios de calidad cientifica, editorial, visibilidad e impacto.</t>
  </si>
  <si>
    <t>prestar los servicios profesionales para brindar apoyo, asesoria y acompañ;amiento en la formulación, estructuración y demas fases de la gestión de proyectos de investigación con financiación externa.</t>
  </si>
  <si>
    <t>prestar los servicios profesionales para brindar apoyo, asesoria y acompañ;amiento en la formulación, estructuración de los centros de investigacion de la universidad de cundinamarca, asi como contribuir en la formulacion y estructuracion y demas fases de la gestión de proyectos de investigación con financiación externa</t>
  </si>
  <si>
    <t>155</t>
  </si>
  <si>
    <t>156</t>
  </si>
  <si>
    <t>157</t>
  </si>
  <si>
    <t>158</t>
  </si>
  <si>
    <t>159</t>
  </si>
  <si>
    <t>2022-01-26 10:41:43.0</t>
  </si>
  <si>
    <t>2022-01-26 10:42:01.0</t>
  </si>
  <si>
    <t>2022-01-26 10:42:21.0</t>
  </si>
  <si>
    <t>2022-01-26 10:42:43.0</t>
  </si>
  <si>
    <t>2022-01-26 10:43:32.0</t>
  </si>
  <si>
    <t>contratar el servicio de hogar universitario para los estudiantes de la universidad de cundinamarca, extensión facatativa. para el primer
periodo académico 2022.</t>
  </si>
  <si>
    <t>04-02-2022</t>
  </si>
  <si>
    <t>01-02-2022</t>
  </si>
  <si>
    <t>10-02-2022</t>
  </si>
  <si>
    <t>'4020201040431-1</t>
  </si>
  <si>
    <t>'4020202080331-5</t>
  </si>
  <si>
    <t>'4020202080331-6</t>
  </si>
  <si>
    <t>'4020202080312-2</t>
  </si>
  <si>
    <t>'4020202090212-1</t>
  </si>
  <si>
    <t>'4030801010112-1</t>
  </si>
  <si>
    <t>'4020201030823-1</t>
  </si>
  <si>
    <t>'4020202060323-1</t>
  </si>
  <si>
    <t>'4020202080823-1</t>
  </si>
  <si>
    <t>'4020202090623-1</t>
  </si>
  <si>
    <t>'4020202090433-1</t>
  </si>
  <si>
    <t>'4030202010133-1</t>
  </si>
  <si>
    <t>'4020202080513-1</t>
  </si>
  <si>
    <t>'4020202080313-1</t>
  </si>
  <si>
    <t>4020202050417-1</t>
  </si>
  <si>
    <t>'4020202060432-1</t>
  </si>
  <si>
    <t>'4020202080332-1</t>
  </si>
  <si>
    <t>'4020202080330-2</t>
  </si>
  <si>
    <t>'4020101040518-1</t>
  </si>
  <si>
    <t>'4020202060319-1</t>
  </si>
  <si>
    <t>'4020202080319-1</t>
  </si>
  <si>
    <t>'4020202080519-1</t>
  </si>
  <si>
    <t>'4020202090219-1</t>
  </si>
  <si>
    <t>'4020202090619-1</t>
  </si>
  <si>
    <t>'4020201030822-1</t>
  </si>
  <si>
    <t>'4020201040522-1</t>
  </si>
  <si>
    <t>'4020202060322-1</t>
  </si>
  <si>
    <t>'4020202060422-1</t>
  </si>
  <si>
    <t>'4020202080822-1</t>
  </si>
  <si>
    <t>'4020202090622-1</t>
  </si>
  <si>
    <t>'4050101030222-1</t>
  </si>
  <si>
    <t>'4020202090920-1</t>
  </si>
  <si>
    <t>'4020201030839-1</t>
  </si>
  <si>
    <t>'4020202090239-1</t>
  </si>
  <si>
    <t>'4020202090210-1</t>
  </si>
  <si>
    <t>'4030801010108-1</t>
  </si>
  <si>
    <t>4020101060226-1</t>
  </si>
  <si>
    <t>4030201010126-1</t>
  </si>
  <si>
    <t>4050102080326-1</t>
  </si>
  <si>
    <t>4050102080326-2</t>
  </si>
  <si>
    <t>4050101040726-1</t>
  </si>
  <si>
    <t>4050101030426-1</t>
  </si>
  <si>
    <t>4050102060326-1</t>
  </si>
  <si>
    <t>4050102080326-3</t>
  </si>
  <si>
    <t>4050102080426-1</t>
  </si>
  <si>
    <t>4050102080526-1</t>
  </si>
  <si>
    <t>4050102080926-1</t>
  </si>
  <si>
    <t>4050102090226-1</t>
  </si>
  <si>
    <t>4050102090626-1</t>
  </si>
  <si>
    <t>'4020101030807-1</t>
  </si>
  <si>
    <t>'4020101040307-1</t>
  </si>
  <si>
    <t>'4020101040407-1</t>
  </si>
  <si>
    <t>'4020101040507-1</t>
  </si>
  <si>
    <t>'4020101040807-1</t>
  </si>
  <si>
    <t>'4020201030407-1</t>
  </si>
  <si>
    <t>'4020201030707-1</t>
  </si>
  <si>
    <t>'4020201040207-1</t>
  </si>
  <si>
    <t>4020202080407-1</t>
  </si>
  <si>
    <t>4020202080311-1</t>
  </si>
  <si>
    <t>'4020101030811-1</t>
  </si>
  <si>
    <t>'4020101040511-1</t>
  </si>
  <si>
    <t>'4020201030811-1</t>
  </si>
  <si>
    <t>'4020202050411-1</t>
  </si>
  <si>
    <t>'4020202060311-1</t>
  </si>
  <si>
    <t>'4020202080311-3</t>
  </si>
  <si>
    <t>'4020202080811-1</t>
  </si>
  <si>
    <t>'4020202090611-1</t>
  </si>
  <si>
    <t>'4010201010614-1</t>
  </si>
  <si>
    <t>'4010202030114-1</t>
  </si>
  <si>
    <t>'4010203010114-1</t>
  </si>
  <si>
    <t>'4020201030214-1</t>
  </si>
  <si>
    <t>'4020201030514-1</t>
  </si>
  <si>
    <t>'4020201030814-1</t>
  </si>
  <si>
    <t>'4020202060314-1</t>
  </si>
  <si>
    <t>'4020202060414-1</t>
  </si>
  <si>
    <t>'4020202060814-1</t>
  </si>
  <si>
    <t>'4020202070214-1</t>
  </si>
  <si>
    <t>'4020202070314-1</t>
  </si>
  <si>
    <t>4020202080314-1</t>
  </si>
  <si>
    <t>4020202090214-1</t>
  </si>
  <si>
    <t>'4020202090614-1</t>
  </si>
  <si>
    <t>'4030202010114-1</t>
  </si>
  <si>
    <t>4031201010114-1</t>
  </si>
  <si>
    <t>'4030801010114-1</t>
  </si>
  <si>
    <t>'4050102060114-1</t>
  </si>
  <si>
    <t>'4050102060214-1</t>
  </si>
  <si>
    <t>4020202080323-1</t>
  </si>
  <si>
    <t>4020202080333-1</t>
  </si>
  <si>
    <t>4020202080330-1</t>
  </si>
  <si>
    <t>4020202080318-1</t>
  </si>
  <si>
    <t>4020202080318-3</t>
  </si>
  <si>
    <t>4020201030819-1</t>
  </si>
  <si>
    <t>4020202080322-1</t>
  </si>
  <si>
    <t>4020202080320-1</t>
  </si>
  <si>
    <t>4020202080339-1</t>
  </si>
  <si>
    <t>4020202090208-1</t>
  </si>
  <si>
    <t>FACATATIVÁ</t>
  </si>
  <si>
    <t>FONDO CTEI</t>
  </si>
  <si>
    <t>FONDO INSTITUTO DE POSGRADOS</t>
  </si>
  <si>
    <t>4010201010114-1</t>
  </si>
  <si>
    <t>13-01-2022</t>
  </si>
  <si>
    <t>14-01-2022</t>
  </si>
  <si>
    <t>17-01-2022</t>
  </si>
  <si>
    <t>20-01-2022</t>
  </si>
  <si>
    <t>28-01-2022</t>
  </si>
  <si>
    <t>4010201010514-1</t>
  </si>
  <si>
    <t>26-01-2022</t>
  </si>
  <si>
    <t>27-01-2022</t>
  </si>
  <si>
    <t>4010201010116-1</t>
  </si>
  <si>
    <t>'4010201010516-1</t>
  </si>
  <si>
    <t>'4010201010616-1</t>
  </si>
  <si>
    <t>'4010202030116-1</t>
  </si>
  <si>
    <t>'4010203010116-1</t>
  </si>
  <si>
    <t>'4020201040716-1</t>
  </si>
  <si>
    <t>'4020202100116-1</t>
  </si>
  <si>
    <t>'4020202080716-1</t>
  </si>
  <si>
    <t>4020202080316-3</t>
  </si>
  <si>
    <t>4020201040516-1</t>
  </si>
  <si>
    <t>14-02-2022</t>
  </si>
  <si>
    <t>ACUERDO N. 005 - RECURSOS NACIÓN</t>
  </si>
  <si>
    <t>Interventoría a estudios y diseños técnicos necesarios para construir la segunda fase de la nueva sede de la extensión Zipaquirá de la Universidad de Cundinamarca</t>
  </si>
  <si>
    <t>4020202080317-4</t>
  </si>
  <si>
    <t>Ucundinamarca Virtual</t>
  </si>
  <si>
    <t>4020202080321-1</t>
  </si>
  <si>
    <t>4030801010120-1</t>
  </si>
  <si>
    <t>4031201010120-1</t>
  </si>
  <si>
    <t>4020202080318-7</t>
  </si>
  <si>
    <t>4020101040516-1</t>
  </si>
  <si>
    <t>Servicio de desarrollo a la medida para la implementación digital de los procesos y procedimientos académicos referentes al reglamento estudiantil en su ultima versión.</t>
  </si>
  <si>
    <t>OTROS SERVICIOS PROFESIONALES, CIENTÍFICOS Y TÉCNICOS - SERVICIOS DE DISEÑO Y DESARROLLO DE LA TECNOLOGÍA DE LA INFORMACIÓN (TI)</t>
  </si>
  <si>
    <t>Modernización de mobiliario y recursos educativos de espacios académicos para atender las actividades misionales en el marco de los procesos de aseguramiento de calidad académica.</t>
  </si>
  <si>
    <t>4020101030807-1</t>
  </si>
  <si>
    <t xml:space="preserve">ANULADO </t>
  </si>
  <si>
    <t>ANULADO</t>
  </si>
  <si>
    <t>adquisición obras jurídicas en hojas sustituibles e internet para la universidad de cundinamarca</t>
  </si>
  <si>
    <t>221</t>
  </si>
  <si>
    <t>ampliacion del software para modelos de análisis cualitativo de grandes cuerpos de datos textuales, gráficos y de vídeo que utilizan los programas academicos de la universidad de cundinmarca.</t>
  </si>
  <si>
    <t>259</t>
  </si>
  <si>
    <t>249</t>
  </si>
  <si>
    <t>prestación de servicios profesionales en la dirección de autoevaluación y acreditación desarrollando estudio de factibilidad de programas de educación en las distintas provincias donde hace presencia la universidad de cundinamarca</t>
  </si>
  <si>
    <t>realización de video institucional para difundir el ejercicio de autoevaluación de programas académicos e institucional, en el marco de los procesos de aseguramiento de la calidad académica que implementa la universidad de cundinamarca.</t>
  </si>
  <si>
    <t>adquisición de elementos de identificación para el equipo de la escuela de formación y aprendizaje docente efad, y de la dirección de autoevaluación y acreditación, en el marco de los procesos de implementación de los circuitos de formación, evaluación e innovación como parte del modelo educativo digital transmoderno medit, de registro calificado y acreditación en alta calidad, de la universidad de cundinamarca.</t>
  </si>
  <si>
    <t>prestar servicios profesiones en la dirección de autoevaluación y acreditación y la dirección de posgrados, para elaborar el documento maestro (nueve condiciones de calidad definidas por el decreto 1330 de 2019 y la resolución 21795 de 2020), de un programa de especialización en emprendimiento e innovación, modalidad virtual; incluyendo el proceso de sustentación ante órganos colegiados.</t>
  </si>
  <si>
    <t>prestar servicios profesiones en la dirección de autoevaluación y acreditación y la facultad de ciencias agropecuarias, para elaborar el documento maestro (nueve condiciones de calidad definidas por el decreto 1330 de 2019 y la resolución 21795 de 2020), del programa ingeniería geomática, modalidad presencial, a ofertar en la universidad de cundinamarca, sede soacha; incluyendo el proceso de sustentación ante órganos colegiados.</t>
  </si>
  <si>
    <t>prestar servicios profesiones en la dirección de autoevaluación y acreditación y la dirección de posgrados, para elaborar el documento maestro (nueve condiciones de calidad definidas por el decreto 1330 de 2019 y la resolución 21795 de 2020), de un programa de especialización en gestión del conocimiento e investigación, modalidad virtual; incluyendo el proceso de sustentación ante órganos colegiados.</t>
  </si>
  <si>
    <t>244</t>
  </si>
  <si>
    <t>246</t>
  </si>
  <si>
    <t>235</t>
  </si>
  <si>
    <t>diseñar los planes de aprendizaje digital para los campos de aprendizaje disciplinar de los programas de posgrado de la vigencia 2022-i.</t>
  </si>
  <si>
    <t>prestar sus servicios profesionales en el soporte tecnológico y pedagógico de los proyectos educativos llevados a cabo en el marco del medit de los  campos de aprendizaje disciplinares por la oficina de educación virtual y a distancia de la universidad de cundinamarca.</t>
  </si>
  <si>
    <t xml:space="preserve">prestar servicios en el soporte y generación de datos y analíticas de la plataforma lms institucional, vinculación de chatbot como fortalecimiento en el soporte tecnológico institucional para garantizar la efectiva implementación de los campos de aprendizaje disciplinares de los programas académicos de la universidad de cundinamarca. </t>
  </si>
  <si>
    <t xml:space="preserve">prestar servicios profesionales para diseñ;ar la línea gráfica de los proyectos asignados, así como el diseñ;o del material gráfico, desarrollo y soporte del backend y frontend y montaje en moodle de los recursos educativos digitales que conformen los proyectos educativos a campos de aprendizaje disciplinares - llevados a cabo en el marco del medit por la oficina de educación virtual y a distancia de la universidad de cundinamarca. </t>
  </si>
  <si>
    <t xml:space="preserve">prestar servicios profesionales en la configuración de la infraestructura  y  puesta  a  punto necesaria que permita el correcto funcionamiento del gestor de aprendizaje moodle de la universidad de cundinamarca para garantizar la efectiva implementación de los campos de aprendizaje disciplinares.  </t>
  </si>
  <si>
    <t xml:space="preserve">prestar servicios profesionales para la realización, revisión y actualización de las producciones audiovisuales que conformen los proyectos educativos de los campos de aprendizaje disciplinares, llevados a cabo en el marco del medit por la oficina de educación virtual y a distancia de la universidad de cundinamarca. </t>
  </si>
  <si>
    <t xml:space="preserve">prestar sus servicios profesionales en la coordinación y verificación del cumplimiento del proceso de producción de cursos y recursos educativos, así como el apoyo en la edición de videos de los campos de aprendizaje disciplinares llevados a cabo en el marco del medit por la oficina de educación virtual y a distancia de la universidad de cundinamarca. </t>
  </si>
  <si>
    <t>prestar servicios profesionales en la administración del entorno de moodle de los campos de aprendizaje disciplinares enmarcados en el medit de la universidad de cundinamarca.</t>
  </si>
  <si>
    <t xml:space="preserve">prestar sus servicios profesionales para realizar el acompañ;amiento de los aspectos técnicos, operativos y organizacionales a la comunidad en general en el  uso de la plataforma de gestión de aprendizaje a moodle a de los campos de aprendizaje disciplinares de los programas académicos de la universidad de cundinamarca. </t>
  </si>
  <si>
    <t>prestar sus servicios profesionales como diseñ;ador instruccional para la digitalización de campos de aprendizaje disciplinares de los programas académicos de universidad de cundinamarca.</t>
  </si>
  <si>
    <t xml:space="preserve">prestar sus servicios profesionales como diseñ;ador instruccional para la creación de experiencias de aprendizaje y la creación de recursos educativos digitales de los _x000D_
campos de aprendizajes disciplinares de los programas académicos de la universidad de cundinamarca. </t>
  </si>
  <si>
    <t xml:space="preserve">	_x000D_
prestar sus servicios profesionales para el diseñ;o de recursos educativos, así como el diseñ;o instruccional de los campos de aprendizaje disciplinares de los programas académicos de la universidad de cundinamarca. </t>
  </si>
  <si>
    <t xml:space="preserve">prestar sus servicios profesionales en la realización del diseñ;o pedagógico e instruccional propio de los proyectos educativos llevados a cabo en el marco del medit _x000D_
-campos de aprendizaje disciplinares- por la oficina de educación virtual y a distancia de la universidad de cundinamarca. </t>
  </si>
  <si>
    <t>prestar servicios profesionales para desarrollar y brindar soporte del backend y frontend de los recursos educativos digitales que conformen los campos de aprendizaje disciplinares a cadis allevados a cabo en el marco del medit por la oficina de educación virtual y a distancia de la universidad de cundinamarca, así como garantizar su gestión tecnológica</t>
  </si>
  <si>
    <t xml:space="preserve">prestar servicios profesionales para realizar el acompañ;amiento a profesores líderes en la configuración tecnológica de sus campos de aprendizaje disciplinares a cadis a de la _x000D_
universidad de cundinamarca. </t>
  </si>
  <si>
    <t>227</t>
  </si>
  <si>
    <t>229</t>
  </si>
  <si>
    <t>230</t>
  </si>
  <si>
    <t>231</t>
  </si>
  <si>
    <t>232</t>
  </si>
  <si>
    <t>233</t>
  </si>
  <si>
    <t>234</t>
  </si>
  <si>
    <t>243</t>
  </si>
  <si>
    <t>250</t>
  </si>
  <si>
    <t>251</t>
  </si>
  <si>
    <t>237</t>
  </si>
  <si>
    <t>238</t>
  </si>
  <si>
    <t>239</t>
  </si>
  <si>
    <t>247</t>
  </si>
  <si>
    <t>253</t>
  </si>
  <si>
    <t>servicios de apoyo logísticos y alimentación para desarrollo e implementación del concurso y encuentro de experiencias de innovación educativa docente y circuitos de formación en el marco del modelo educativo digital transmoderno de la universidad de cundinamarca.</t>
  </si>
  <si>
    <t>2022-03-16 09:15:09.0</t>
  </si>
  <si>
    <t>2022-03-31 17:11:44.0</t>
  </si>
  <si>
    <t>adquisición de bienes necesarios para el proceso de sensibilizacion difusión y socialización de los procesos de formacion docente derivados de la implementación de los circuitos de formacion innovacion y evaluacion declarados en la escuela de formación y aprendizaje docente de la universidad de cundinamarca</t>
  </si>
  <si>
    <t>2022-04-05 08:50:29.0</t>
  </si>
  <si>
    <t xml:space="preserve">prestar servicios profesionales en la escuela de formacion y aprendizaje docente apoyando el diseno e implementacion de los campos de aprendizaje disciplinar de los programas resignificados curricularmente_x000D_
</t>
  </si>
  <si>
    <t xml:space="preserve">prestar servicios profesionales en la escuela de formacion y aprendizaje docente de la ucundinamarca para implementar piezas graficas, micrositio, videotutoriales y recursos educativos digitales requeridos en el desarrollo de los circuitos de evaluacion, formacion e innovacion requeridos en el campo multidimensional de aprendizaje_x000D_
</t>
  </si>
  <si>
    <t>prestar servicios profesionales en la escuela de formacion y aprendizaje docente gestionando los servicios de web master para sistematizar las experiencias derivadas de la implementacion de los circuitos de formacion dirigidos a profesores de la universidad de cundinamarca</t>
  </si>
  <si>
    <t>prestar servicios profesionales en la escuela de formacion yaprendizaje docente para gestionar el acompaãamiento,construccion y retroalimentacion en el diseão de campos deaprendizaje derivados de los procesos de resignificacioncurricular de programas academicos de la universidad decundinamarca</t>
  </si>
  <si>
    <t>2022-03-16 15:29:47.0</t>
  </si>
  <si>
    <t>2022-03-16 15:30:27.0</t>
  </si>
  <si>
    <t>2022-03-24 10:15:43.0</t>
  </si>
  <si>
    <t>2022-03-24 00:00:00.0</t>
  </si>
  <si>
    <t>prestar el servicio de recolección, transporte y disposición de residuos peligrosos 2022 con cubrimiento institucional en la sede, seccionales extensiones, unidades agroambientales y centro académico deportivo -cad.</t>
  </si>
  <si>
    <t>264</t>
  </si>
  <si>
    <t>2022-04-08 14:11:12.0</t>
  </si>
  <si>
    <t xml:space="preserve">PRPOAI-237
</t>
  </si>
  <si>
    <t>PRPOAI-215</t>
  </si>
  <si>
    <t>PRPOAI-235</t>
  </si>
  <si>
    <t>PRPOAI-238</t>
  </si>
  <si>
    <t>servicio de catering para la reunión de homenaje a graduandos del ipa 2022 de la universidad de cundinamarca</t>
  </si>
  <si>
    <t>223</t>
  </si>
  <si>
    <t>2022-02-28 16:58:20.0</t>
  </si>
  <si>
    <t>participación de personal de planta de la universidad de cundinamarca en la formación para implementar la norma 3000-1 modelo empresa familiarmente responsable en el sector educativo</t>
  </si>
  <si>
    <t>226</t>
  </si>
  <si>
    <t>2022-03-08 18:07:01.0</t>
  </si>
  <si>
    <t>adquisición de elementos de identificación para el equipo de la dirección isu</t>
  </si>
  <si>
    <t>252</t>
  </si>
  <si>
    <t>2022-03-31 17:11:14.0</t>
  </si>
  <si>
    <t>prestar servicios como personal académico para orientar el diplomado: diversidad como propósito educativo de vicerrectoría_x000D_
académica</t>
  </si>
  <si>
    <t>prestar servicio como personal académico para orientar diplomado educación inclusiva, diversidad y estrategias pedagógicas de vicerrectoría académica</t>
  </si>
  <si>
    <t>263</t>
  </si>
  <si>
    <t>265</t>
  </si>
  <si>
    <t>2022-04-08 14:08:55.0</t>
  </si>
  <si>
    <t>2022-04-08 17:50:45.0</t>
  </si>
  <si>
    <t>PRPOAI-180</t>
  </si>
  <si>
    <t>PRPOAI-63</t>
  </si>
  <si>
    <t>PRPOAI-181</t>
  </si>
  <si>
    <t>PRPOAI-226</t>
  </si>
  <si>
    <t>PRPOAI-209</t>
  </si>
  <si>
    <t>PRPOAI-155</t>
  </si>
  <si>
    <t>PRPOAI-161</t>
  </si>
  <si>
    <t>PRPOAI-116</t>
  </si>
  <si>
    <t>PRPOAI-121</t>
  </si>
  <si>
    <t>PRPOAI-208</t>
  </si>
  <si>
    <t>PRPOAI-168</t>
  </si>
  <si>
    <t>PRPOAI-156</t>
  </si>
  <si>
    <t xml:space="preserve">adquisicion de un escritorio y un archivador para la oficina de los laboratorios de ciencias agropecuarias y ambientales de la extensión facatativá._x000D_
</t>
  </si>
  <si>
    <t>ARTÍCULOS TEXTILES (EXCEPTO PRENDAS DE VESTIR)</t>
  </si>
  <si>
    <t>TEJIDO DE PUNTO O GANCHILLO; PRENDAS DE VESTIR</t>
  </si>
  <si>
    <t>PRODUCTOS DE CAUCHO Y PLÁSTICO</t>
  </si>
  <si>
    <t>MUEBLES; OTROS BIENES TRANSPORTABLES N.C.P.</t>
  </si>
  <si>
    <t>SERVICIOS DE INVESTIGACIÓN Y DESARROLLO</t>
  </si>
  <si>
    <t xml:space="preserve">OTROS SERVICIOS PROFESIONALES, CIENTÍFICOS Y TÉCNICOS - SERVICIOS CIENTÍFICOS Y OTROS SERVICIOS TÉCNICOS </t>
  </si>
  <si>
    <t>iii convocatoria interna - periodo 2022- 1 - ucundinamarca generación siglo 21-conformación del banco de proyectos elegibles y establecer la planeación y dedicación de los profesores a la función sustantiva de ciencia tecnología e innovación, con el fin de obtener productos académicos en el marco de los indicadores minciencias a fin de fortalecer los grupos de investigación mediante la financiación de proyectos de ctei translocales de alto impacto para el departamento de cundinamarca</t>
  </si>
  <si>
    <t>isbn para publicaciones no periódicas (libros, cartillas, boletines divulgativos, entre otros) producidas a través de la editorial de la universidad de cundinamarca</t>
  </si>
  <si>
    <t>224</t>
  </si>
  <si>
    <t>2022-03-04 13:26:54.0</t>
  </si>
  <si>
    <t>apoyo económico para la participación universitaria en los juegos fisuamérica games</t>
  </si>
  <si>
    <t>apoyo económico a estudiantes e instructores para la participación de los grupos deportivos de estudiantes en los ascun regionales.</t>
  </si>
  <si>
    <t>262</t>
  </si>
  <si>
    <t>266</t>
  </si>
  <si>
    <t>2022-04-08 14:05:13.0</t>
  </si>
  <si>
    <t>2022-04-08 17:51:15.0</t>
  </si>
  <si>
    <t>taller de conmemoración de la labor docente ucundinamarca.</t>
  </si>
  <si>
    <t>261</t>
  </si>
  <si>
    <t>prestar servicios en el proceso de monitoreo y mantenimiento de la base de datos oracle en la direccion de sistemas de la universidad de cundinamarca</t>
  </si>
  <si>
    <t>236</t>
  </si>
  <si>
    <t>2022-03-15 09:13:22.0</t>
  </si>
  <si>
    <t>PRPOAI-231</t>
  </si>
  <si>
    <t>Suscripción del servicio de licenciamiento tipo campus de las herramientas ofimaticas, sistemas operativos, servicio de Exchange (correo institucional) y herramientas colaborativas para la universidad de cundinamarca</t>
  </si>
  <si>
    <t>257</t>
  </si>
  <si>
    <t>2022-04-05 09:24:24.0</t>
  </si>
  <si>
    <t>01-03-2022</t>
  </si>
  <si>
    <t>24-02-2022</t>
  </si>
  <si>
    <t>06-04-2022</t>
  </si>
  <si>
    <t>18-02-2022</t>
  </si>
  <si>
    <t>15-03-2022</t>
  </si>
  <si>
    <t>29-03-2022</t>
  </si>
  <si>
    <t>18-03-2022</t>
  </si>
  <si>
    <t>25-03-2022</t>
  </si>
  <si>
    <t>23-03-2022</t>
  </si>
  <si>
    <t>31-03-2022</t>
  </si>
  <si>
    <t>02-03-2022</t>
  </si>
  <si>
    <t>4020101030802-1</t>
  </si>
  <si>
    <t>4020101030802-2</t>
  </si>
  <si>
    <t>4020101040302-1</t>
  </si>
  <si>
    <t>4020101040502-1</t>
  </si>
  <si>
    <t>4020101040502-2</t>
  </si>
  <si>
    <t>4020101040502-3</t>
  </si>
  <si>
    <t>4020202050402-1</t>
  </si>
  <si>
    <t>4020202080302-1</t>
  </si>
  <si>
    <t>4020202080302-2</t>
  </si>
  <si>
    <t>4030801010102-1</t>
  </si>
  <si>
    <t>4020101030804-1</t>
  </si>
  <si>
    <t>4020101030804-2</t>
  </si>
  <si>
    <t>4020101040504-1</t>
  </si>
  <si>
    <t>4020101040704-1</t>
  </si>
  <si>
    <t>4020202050404-1</t>
  </si>
  <si>
    <t>4020202080304-1</t>
  </si>
  <si>
    <t>4030801010104-1</t>
  </si>
  <si>
    <t>25-02-2022</t>
  </si>
  <si>
    <t>11-03-2022</t>
  </si>
  <si>
    <t>4050102080126-1</t>
  </si>
  <si>
    <t>4050101020726-1</t>
  </si>
  <si>
    <t>4050101020826-1</t>
  </si>
  <si>
    <t>4050101030226-1</t>
  </si>
  <si>
    <t>4050101030626-1</t>
  </si>
  <si>
    <t>4050101030826-1</t>
  </si>
  <si>
    <t>4050101040526-1</t>
  </si>
  <si>
    <t>4050102060426-1</t>
  </si>
  <si>
    <t>40501020703-26-1</t>
  </si>
  <si>
    <t>4050102080326-4</t>
  </si>
  <si>
    <t>4030801010110-1</t>
  </si>
  <si>
    <t>03-02-2022</t>
  </si>
  <si>
    <t>28-02-2022</t>
  </si>
  <si>
    <t>04-04-2022</t>
  </si>
  <si>
    <t>09-03-2022</t>
  </si>
  <si>
    <t>01-04-2022</t>
  </si>
  <si>
    <t>05-04-2022</t>
  </si>
  <si>
    <t>08-04-2022</t>
  </si>
  <si>
    <t>17-03-2022</t>
  </si>
  <si>
    <t>PRPOAI-215 FOMENTO</t>
  </si>
  <si>
    <t>PRPOAI-220 FOMENTO</t>
  </si>
  <si>
    <t>PRPOAI-233 FOMENTO</t>
  </si>
  <si>
    <t>PRPOAI-221 FOMENTO</t>
  </si>
  <si>
    <t>PRPOAI-79 FOMENTO</t>
  </si>
  <si>
    <t xml:space="preserve">PRPOAI-147
</t>
  </si>
  <si>
    <t>Adquisición recursos electrónicos y bases de datos para las bibliotecas de la Universidad de Cundinamarca en su Sede, Seccionales y Extensiones vigencia 2022</t>
  </si>
  <si>
    <t>UNIDAD DE APOYO ACADEMICO</t>
  </si>
  <si>
    <t xml:space="preserve">PRPOAI-72
</t>
  </si>
  <si>
    <t>Adecuación locativa y dotación de mobiliario e insumos para laboratorio biotecnología y genética facultad de ciencias agropecuarias, sede Fusagasugá.</t>
  </si>
  <si>
    <t>Unidad de Apoyo Académico - Facultad de Ciencias Agropecuarias</t>
  </si>
  <si>
    <t xml:space="preserve">PRPOAI-90
</t>
  </si>
  <si>
    <t>Laboratorio de logística industrial</t>
  </si>
  <si>
    <t>Unidad de Apoyo Académico - Facultad De Ingeniería</t>
  </si>
  <si>
    <t xml:space="preserve">PRPOAI-95
</t>
  </si>
  <si>
    <t>Fábrica de software - virtualización</t>
  </si>
  <si>
    <t xml:space="preserve">PRPOAI-140
</t>
  </si>
  <si>
    <t>Adecuaciones locativas y adquisición mobiliario para el Laboratorio de Microbiología, Sede Fusagasugá</t>
  </si>
  <si>
    <t>Unidad de Apoyo Académico - Facultad De Ciencias Agropecuarias</t>
  </si>
  <si>
    <t xml:space="preserve">PRPOAI-232
</t>
  </si>
  <si>
    <t>Creación, puesta en marcha y funcionamiento del Centro de Desarrollo Tecnológico de la Facultad de Ingeniería de la Universidad de Cundinamarca</t>
  </si>
  <si>
    <t>Unidad de Apoyo Académico - Facultad De Ingeniería - Programa Ingeniería Electrónica</t>
  </si>
  <si>
    <t>PRPOAI-249</t>
  </si>
  <si>
    <t>ADQUISICIÓN DE EQUIPOS DE CÓMPUTO PARA SEDES, EXTENSIONES Y SECCIONALES DE LA UNIVERSIDAD DE CUNDINAMARCA</t>
  </si>
  <si>
    <t>PRPOAI-256</t>
  </si>
  <si>
    <t>Actualización equipos de cómputo y renovación de equipos tecnológicos e insumos necesarios en los laboratorios del programa de Ingeniería Electrónica de la Universidad de Cundinamarca.</t>
  </si>
  <si>
    <t>Unidad de Apoyo Académico - Facultad de Ingeniería</t>
  </si>
  <si>
    <t>PRPOAI-257</t>
  </si>
  <si>
    <t>Implementación del laboratorio para desarrollo de software y la virtualización para el programa de ingeniería de sistemas y computación en la  sede Fusagasugá</t>
  </si>
  <si>
    <t>PRPOAI-269</t>
  </si>
  <si>
    <t>Renovación elementos educativos, electrónicos y de audio del Auditorio extensión Chía de la Universidad de Cundinamarca</t>
  </si>
  <si>
    <t>Unidad de Apoyo Académico - Extensión Chía</t>
  </si>
  <si>
    <t>PRPOAI-261</t>
  </si>
  <si>
    <t>ENCUENTRO ORGANIZACIONES Y PRODUCTORES DE CAFES ESPECIALES - CUNDINAMARCA</t>
  </si>
  <si>
    <t>FESTIVAL Y CONGRESO INTERNACIONAL EQUINO, UNIVERSIDAD DE CUNDINAMARCA</t>
  </si>
  <si>
    <t>Centro de Estudios Agroambiental - Facultad de Ciencias Agropecuarias</t>
  </si>
  <si>
    <t>PRPOAI-260</t>
  </si>
  <si>
    <t>POAI DISENO PEDAGOGICO Y TECNOLOGICO DE LOS CAMPOS DE APRENDIZAJE DISCIPLINAR DE LOS PROGRAMAS ACADEMICOS</t>
  </si>
  <si>
    <t>PRPOAI-265</t>
  </si>
  <si>
    <t>Bienes y Servicios - Extensión Soacha</t>
  </si>
  <si>
    <t>Consultoría para los diseños arquitectónicos, estudios técnicos necesarios y obtención de licencias de construcción y/o permisos requeridos para construir el muro de cerramiento fase 2 y 3 , áreas de vigilancia y alumbrado al aire libre en el lote de terreno de propiedad de la universidad de cundinamarca, ubicado junto a la cárcel modelo en la ciudad de bogotá</t>
  </si>
  <si>
    <t>PRPOAI-135</t>
  </si>
  <si>
    <t>PRPOAI-262</t>
  </si>
  <si>
    <t>SUMINISTRO E INSTALACIÓN DE MOBILIARIO Y DIVISIONES DE OFICINA PARA LA PRIMERA FASE DE LA NUEVA EDIFICACIÓN DE LA EXTENSIÓN ZIPAQUIRÁ DE LA UNIVERSIDAD DE CUNDINAMARCA</t>
  </si>
  <si>
    <t>PRPOAI-263</t>
  </si>
  <si>
    <t>ADECUACION FISICA Y DOTACION DE MOBILIARIO PARA LA SALA DE DOCENTES EN LA EXTENSION FACATATIVA Y SECCIONAL GIRARDOT</t>
  </si>
  <si>
    <t>PRPOAI-264</t>
  </si>
  <si>
    <t>CONSULTORIA  PARA EL LEVANTAMIENTO,  DISEÑOS ELECTRICOS Y LUMÍNICOS Y  DE ENERGIA SOLAR FOTOVOLTAICA EN LA SECCIONAL GIRARDOT Y EXTENSION FACATATIVA QUE PERMITAN EL DESARROLLO DE CAMPUS SOSTENIBLE EN LA UNIVERSIDAD DE CUNDINAMARCA.</t>
  </si>
  <si>
    <t>PRPOAI-241</t>
  </si>
  <si>
    <t>Implementación de la red de difusión universitaria de la universidad de Cundinamarca de la seccional Ubaté - emisora</t>
  </si>
  <si>
    <t>COMUNICACIONES - UBATÉ</t>
  </si>
  <si>
    <t>PRPOAI-124</t>
  </si>
  <si>
    <t>CONTRATAR EL DISEÑO, SUMINISTRO E INSTALACIÓN DE LA SEÑALIZACIÓN CON PARÁMETROS DE ACCESIBILIDAD UNIVERSAL DE LOS ESPACIOS INTERNOS EN PRO DE LA EDUCACIÓN INCLUSIVA, CONDICIONES DE CALIDAD Y SEGURIDAD Y SALUD EN EL TRABAJO. FASE 2</t>
  </si>
  <si>
    <t>PRPOAI-253</t>
  </si>
  <si>
    <t>Realizar el estudio y análisis de tasa de permanencia, tasa de deserción y tasa de graduación y creación de estrategias.</t>
  </si>
  <si>
    <t>PRPOAI-254</t>
  </si>
  <si>
    <t>Implementación del sistema de gestión antisoborno, rendición de cuentas e informes de gestión en el marco del MEDIT en la UdeC</t>
  </si>
  <si>
    <t>PRPOAI-266</t>
  </si>
  <si>
    <t>Consultoría para el diseño urbanístico para la sede Fusagasugá, d ela Universidad de Cundinamarca</t>
  </si>
  <si>
    <t>FOMENTO 2019</t>
  </si>
  <si>
    <t>IMPLEMENTACIÓN DE UN CENTRO DE INNOVACIÓN TECNOLÓGICA</t>
  </si>
  <si>
    <t>PLANEACIÓN INSTITUCIONAL - EXTENSIÓN FACATATIVÁ</t>
  </si>
  <si>
    <t>DOTACION DEL CENTRO DE INVESTIGACION ORLANDO FALS Y MAPOTECA ERNESTO GUHL</t>
  </si>
  <si>
    <t>PLANEACIÓN INSTITUCIONAL - FACULTAD DE EDUCACIÓN</t>
  </si>
  <si>
    <t>PRPOAI-251</t>
  </si>
  <si>
    <t>Transformación e impactos de la Interacción Social Universitaria en la Universidad de Cundinamarca.</t>
  </si>
  <si>
    <t>I FASE - DISENO PEDAGOGICO Y TECNOLOGICO PARA LA CREACION DE ESPECIALIZACIONES Y MAESTRIAS DE POSGRADO EN MODALIDAD VIRTUAL</t>
  </si>
  <si>
    <t>PRPOAI-243</t>
  </si>
  <si>
    <t>Desarrollar procesos de sistematización de procedimientos y herramientas alineadas al modelo educativo digital transmoderno - medit</t>
  </si>
  <si>
    <t>MEJORAMIENTO DE LA RED WIFI DE LA INFRAESTRUCTURA TECNOLOGICA DE LA EXTENSION CHIA</t>
  </si>
  <si>
    <t>MANTENIMIENTO DE CUBIERTA Y TECHO DE LA RAMPA UBICADA EN EL BLOQUE A EXTENSION FACATATIVÁ</t>
  </si>
  <si>
    <t>MANTENIMIENTO Y ADECUACIÓN DEL TERRENO PARA EL INGRESO DE LA EXTENSIÓN FACATATIVÁ.</t>
  </si>
  <si>
    <t>ADQUISICIÓN DE ELEMENTOS DE PAPELERÍA PARA LA CONSERVACIÓN DEL ARCHIVO DOCUMENTAL EXTENSIÓN FACATATIVÁ PARA LA VIGENCIA 2022</t>
  </si>
  <si>
    <t>ADECUACIÓN DE ESPACIOS FISICOS PARA LAS OFICINAS ADMINISTRATIVAS DE LA EXTENSIÓN FACATATIVA</t>
  </si>
  <si>
    <t>Estrategias para la optimización de la retención estudiantil en estudiantes de pregrado, incluye programas socioeconomicos, inducción, consejerias entre otros</t>
  </si>
  <si>
    <t>PRPOAI-196 BU FUSA</t>
  </si>
  <si>
    <t>FOMENTO DE LOS HABITOS, ESTILOS DE VIDA SALUDABLES, APROVECHAMIENTO DEL TIEMPO LIBRE Y FORTALECIMIENTO DE LAS APTITUDES Y ACTITUDES DE LA COMUNIDAD UNIVERSITARIA</t>
  </si>
  <si>
    <t>PRPOAI-200 BU FUSA</t>
  </si>
  <si>
    <t>EXTENSIÓN SOACHA</t>
  </si>
  <si>
    <t>EXTENSIÓN CHIA-ZIPAQUIRÁ</t>
  </si>
  <si>
    <t>SECCIONAL UBATÉ</t>
  </si>
  <si>
    <t>ACUERDO N. 006 - RB ESTAMPILLA</t>
  </si>
  <si>
    <t xml:space="preserve">ACUERDO N. 008 - RB </t>
  </si>
  <si>
    <t>ACUERDO N. 009 - RB PFI - PFC</t>
  </si>
  <si>
    <t>ACUERDO N. 010 - RVIG ANTERIORES</t>
  </si>
  <si>
    <t>MAQUINARIA Y APARATOS ELÉCTRICOS</t>
  </si>
  <si>
    <t>4020101040607-1</t>
  </si>
  <si>
    <t>4020201040707-1</t>
  </si>
  <si>
    <t>4020201030507-1</t>
  </si>
  <si>
    <t>4020201030607-1</t>
  </si>
  <si>
    <t>4020201030707-1</t>
  </si>
  <si>
    <t>4020202050407-1</t>
  </si>
  <si>
    <t>4020202060307-1</t>
  </si>
  <si>
    <t>4020202060407-1</t>
  </si>
  <si>
    <t>4020202080307-1</t>
  </si>
  <si>
    <t>4020202080507-1</t>
  </si>
  <si>
    <t>4020202080907-1</t>
  </si>
  <si>
    <t>PIEDRA, ARENA Y ARCILLA</t>
  </si>
  <si>
    <t>4020201010531-1</t>
  </si>
  <si>
    <t>PRODUCTOS DE MOLINERÍA, ALMIDONES Y PRODUCTOS DERIVADOS DEL ALMIDÓN; OTROS PRODUCTOS ALIMENTICIOS</t>
  </si>
  <si>
    <t>4020201020331-1</t>
  </si>
  <si>
    <t>4020201020731-1</t>
  </si>
  <si>
    <t>4020201030231-1</t>
  </si>
  <si>
    <t>4020201030831-1</t>
  </si>
  <si>
    <t>4020201040531-1</t>
  </si>
  <si>
    <t>4020201040631-1</t>
  </si>
  <si>
    <t>4020202060331-1</t>
  </si>
  <si>
    <t>4020202060431-1</t>
  </si>
  <si>
    <t>4020202070331-1</t>
  </si>
  <si>
    <t>4020202080331-1</t>
  </si>
  <si>
    <t>4020202080331-5</t>
  </si>
  <si>
    <t>4020202080931-1</t>
  </si>
  <si>
    <t>4020202090631-1</t>
  </si>
  <si>
    <t>4030202010131-1</t>
  </si>
  <si>
    <t>4020202080321-3</t>
  </si>
  <si>
    <t>4020202060813-1</t>
  </si>
  <si>
    <t>4020101040513-1</t>
  </si>
  <si>
    <t>OTROS SERVICIOS PROFESIONALES, CIENTÍFICOS Y TÉCNICOS - SERVICIOS DE ARQUITECTURA, SERVICIOS DE PLANEACIÓN URBANA Y ORDENACIÓN DEL TERRITORIO; SERVICIOS DE ARQUITECTURA PAISAJISTA</t>
  </si>
  <si>
    <t>4020202050417-2</t>
  </si>
  <si>
    <t>4020202080317-8</t>
  </si>
  <si>
    <t>4020101030817-1</t>
  </si>
  <si>
    <t>4020201030817-1</t>
  </si>
  <si>
    <t>PRODUCTOS DE LA AGRICULTURA Y LA HORTICULTURA</t>
  </si>
  <si>
    <t>4020101040618-1</t>
  </si>
  <si>
    <t>4020201000118-1</t>
  </si>
  <si>
    <t>4020201030218-1</t>
  </si>
  <si>
    <t>4020201030418-1</t>
  </si>
  <si>
    <t>4020201030618-1</t>
  </si>
  <si>
    <t>4020201040218-1</t>
  </si>
  <si>
    <t>4020202080718-1</t>
  </si>
  <si>
    <t>4020202060318-1</t>
  </si>
  <si>
    <t>4020202080318-8</t>
  </si>
  <si>
    <t>4020202080518-1</t>
  </si>
  <si>
    <t>4020202080918-1</t>
  </si>
  <si>
    <t>4020202060322-1</t>
  </si>
  <si>
    <t>4020202060422-1</t>
  </si>
  <si>
    <t>4030202010122-1</t>
  </si>
  <si>
    <t>4050101030222-1</t>
  </si>
  <si>
    <t>4050102080322-1</t>
  </si>
  <si>
    <t>4050102080322-2</t>
  </si>
  <si>
    <t>4050102080522-1</t>
  </si>
  <si>
    <t>4020101040839-1</t>
  </si>
  <si>
    <t>DOTACIÓN (PRENDAS DE VESTIR Y CALZADO)</t>
  </si>
  <si>
    <t>SERVICIOS PARA EL CUIDADO DE LA SALUD HUMANA Y SERVICIOS SOCIALES</t>
  </si>
  <si>
    <t>4020101040514-1</t>
  </si>
  <si>
    <t>4020201020814-1</t>
  </si>
  <si>
    <t>4020202090314-1</t>
  </si>
  <si>
    <t>4020101040703-1</t>
  </si>
  <si>
    <t>4020201040603-1</t>
  </si>
  <si>
    <t>4020202070203-1</t>
  </si>
  <si>
    <t>4020202080303-1</t>
  </si>
  <si>
    <t>4020202080703-1</t>
  </si>
  <si>
    <t>ALOJAMIENTO; SERVICIOS DE SUMINISTROS DE COMIDAS Y BEBIDAS - Estrategias para la optimización de la retención estudiantil en estudiantes de pregrado, incluye programas socioeconomicos, inducción, consejerias entre otros</t>
  </si>
  <si>
    <t>APOYOS SOCIOECONOMICOS A ESTUDIANTES - Estrategias para la optimización de la retención estudiantil en estudiantes de pregrado, incluye programas socioeconomicos, inducción, consejerias entre otros</t>
  </si>
  <si>
    <t>ALOJAMIENTO; SERVICIOS DE SUMINISTROS DE COMIDAS Y BEBIDAS - FOMENTO DE LOS HABITOS, ESTILOS DE VIDA SALUDABLES, APROVECHAMIENTO DEL TIEMPO LIBRE Y FORTALECIMIENTO DE LAS APTITUDES Y ACTITUDES DE LA COMUNIDAD UNIVERSITARIA</t>
  </si>
  <si>
    <t>4020202060306-1</t>
  </si>
  <si>
    <t>4020202060306-2</t>
  </si>
  <si>
    <t>4031201010106-1</t>
  </si>
  <si>
    <t>4020202060303-1</t>
  </si>
  <si>
    <t>4020202060303-2</t>
  </si>
  <si>
    <t>4031201010103-1</t>
  </si>
  <si>
    <t>4020202060305-1</t>
  </si>
  <si>
    <t>4020202060305-2</t>
  </si>
  <si>
    <t>4031201010105-1</t>
  </si>
  <si>
    <t>ACUERDO N. 007 - RB FONDOS</t>
  </si>
  <si>
    <t>4020202060302-1</t>
  </si>
  <si>
    <t>4020202060302-2</t>
  </si>
  <si>
    <t>4031201010102-1</t>
  </si>
  <si>
    <t>SERVICIOS DE CONSTRUCCIÓN - ADECUACION FISICA Y DOTACION DE MOBILIARIO PARA LA SALA DE DOCENTES EN LA SECCIONAL GIRARDOT</t>
  </si>
  <si>
    <t>PRODUCTOS DE LA AGRICULTURA Y LA HORTICULTURA - Fortalecimiento y visibilidad de la investigación seccional Girardot</t>
  </si>
  <si>
    <t>PIEDRA, ARENA Y ARCILLA - Fortalecimiento y visibilidad de la investigación seccional Girardot</t>
  </si>
  <si>
    <t>ARTÍCULOS TEXTILES (EXCEPTO PRENDAS DE VESTIR) - Fortalecimiento y visibilidad de la investigación seccional Girardot</t>
  </si>
  <si>
    <t>TEJIDO DE PUNTO O GANCHILLO; PRENDAS DE VESTIR - Fortalecimiento y visibilidad de la investigación seccional Girardot</t>
  </si>
  <si>
    <t>PRODUCTOS DE MADERA, CORCHO, CESTERÍA Y ESPARTERÍA - Fortalecimiento y visibilidad de la investigación seccional Girardot</t>
  </si>
  <si>
    <t>PASTA O PULPA, PAPEL Y PRODUCTOS DE PAPEL; IMPRESOS Y ARTÍCULOS RELACIONADOS - Fortalecimiento y visibilidad de la investigación seccional Girardot</t>
  </si>
  <si>
    <t>QUÍMICOS BÁSICOS - Fortalecimiento y visibilidad de la investigación seccional Girardot</t>
  </si>
  <si>
    <t>OTROS PRODUCTOS QUÍMICOS; FIBRAS ARTIFICIALES (O FIBRAS INDUSTRIALES HECHAS POR EL HOMBRE) - Fortalecimiento y visibilidad de la investigación seccional Girardot</t>
  </si>
  <si>
    <t>PRODUCTOS DE CAUCHO Y PLÁSTICO - Fortalecimiento y visibilidad de la investigación seccional Girardot</t>
  </si>
  <si>
    <t>VIDRIO Y PRODUCTOS DE VIDRIO Y OTROS PRODUCTOS NO METÁLICOS N.C.P. - Fortalecimiento y visibilidad de la investigación seccional Girardot</t>
  </si>
  <si>
    <t>MUEBLES; OTROS BIENES TRANSPORTABLES N.C.P. - Fortalecimiento y visibilidad de la investigación seccional Girardot</t>
  </si>
  <si>
    <t>METALES BÁSICOS - Fortalecimiento y visibilidad de la investigación seccional Girardot</t>
  </si>
  <si>
    <t>PRODUCTOS METÁLICOS ELABORADOS (EXCEPTO MAQUINARIA Y EQUIPO) - Fortalecimiento y visibilidad de la investigación seccional Girardot</t>
  </si>
  <si>
    <t>MAQUINARIA PARA USO GENERAL - Fortalecimiento y visibilidad de la investigación seccional Girardot</t>
  </si>
  <si>
    <t>MAQUINARIA PARA USOS ESPECIALES - Fortalecimiento y visibilidad de la investigación seccional Girardot</t>
  </si>
  <si>
    <t>MAQUINARIA DE OFICINA, CONTABILIDAD E INFORMÁTICA - Fortalecimiento y visibilidad de la investigación seccional Girardot</t>
  </si>
  <si>
    <t>MAQUINARIA Y APARATOS ELÉCTRICOS - Fortalecimiento y visibilidad de la investigación seccional Girardot</t>
  </si>
  <si>
    <t>APARATOS MÉDICOS, INSTRUMENTOS ÓPTICOS Y DE PRECISIÓN, RELOJES - Fortalecimiento y visibilidad de la investigación seccional Girardot</t>
  </si>
  <si>
    <t>ALOJAMIENTO; SERVICIOS DE SUMINISTROS DE COMIDAS Y BEBIDAS - Fortalecimiento y visibilidad de la investigación seccional Girardot</t>
  </si>
  <si>
    <t>SERVICIOS DE TRANSPORTE DE PASAJEROS - Fortalecimiento y visibilidad de la investigación seccional Girardot</t>
  </si>
  <si>
    <t>OTROS SERVICIOS PROFESIONALES, CIENTÍFICOS Y TÉCNICOS - SERVICIOS CIENTÍFICOS Y OTROS SERVICIOS TÉCNICOS  - Fortalecimiento y visibilidad de la investigación seccional Girardot</t>
  </si>
  <si>
    <t>SERVICIOS DE FABRICACIÓN DE INSUMOS FÍSICOS QUE SON PROPIEDAD DE OTROS - Fortalecimiento y visibilidad de la investigación seccional Girardot</t>
  </si>
  <si>
    <t>4050101000102-1</t>
  </si>
  <si>
    <t>4050101010502-1</t>
  </si>
  <si>
    <t>4050101020702-1</t>
  </si>
  <si>
    <t>4050101020802-1</t>
  </si>
  <si>
    <t>4050101030102-1</t>
  </si>
  <si>
    <t>4050101030202-1</t>
  </si>
  <si>
    <t>4050101030402-1</t>
  </si>
  <si>
    <t>4050101030502-1</t>
  </si>
  <si>
    <t>4050101030602-1</t>
  </si>
  <si>
    <t>4050101030702-1</t>
  </si>
  <si>
    <t>4050101030802-1</t>
  </si>
  <si>
    <t>4050101040102-1</t>
  </si>
  <si>
    <t>4050101040202-1</t>
  </si>
  <si>
    <t>4050101040302-1</t>
  </si>
  <si>
    <t>4050101040402-1</t>
  </si>
  <si>
    <t>4050101040502-1</t>
  </si>
  <si>
    <t>4050101040602-1</t>
  </si>
  <si>
    <t>4050101040802-1</t>
  </si>
  <si>
    <t>4050102060302-1</t>
  </si>
  <si>
    <t>4050102060402-1</t>
  </si>
  <si>
    <t>4050102080302-1</t>
  </si>
  <si>
    <t>4050102080802-1</t>
  </si>
  <si>
    <t>4020202050402-2</t>
  </si>
  <si>
    <t>OTROS SERVICIOS DE FABRICACIÓN; SERVICIOS DE EDICIÓN, IMPRESIÓN Y REPRODUCCIÓN; SERVICIOS DE RECUPERACIÓN DE MATERIALES - Fortalecimiento y visibilidad de la investigación seccional Girardot</t>
  </si>
  <si>
    <t>4050102080902-1</t>
  </si>
  <si>
    <t>PASTA O PULPA, PAPEL Y PRODUCTOS DE PAPEL; IMPRESOS Y ARTÍCULOS RELACIONADOS - ADQUISICIÓN DE ELEMENTOS DE PAPELERÍA PARA LA CONSERVACIÓN DEL ARCHIVO DOCUMENTAL EXTENSIÓN FACATATIVÁ PARA LA VIGENCIA 2022</t>
  </si>
  <si>
    <t>SERVICIOS DE CONSTRUCCIÓN - MANTENIMIENTO DE CUBIERTA Y TECHO DE LA RAMPA UBICADA EN EL BLOQUE A EXTENSION FACATATIVÁ</t>
  </si>
  <si>
    <t>4020202050404-2</t>
  </si>
  <si>
    <t>4020201030204-1</t>
  </si>
  <si>
    <t>SERVICIOS DE CONSTRUCCIÓN - MANTENIMIENTO Y ADECUACIÓN DEL TERRENO PARA EL INGRESO DE LA EXTENSIÓN FACATATIVÁ</t>
  </si>
  <si>
    <t>4020202050404-3</t>
  </si>
  <si>
    <t>4020202060304-1</t>
  </si>
  <si>
    <t>4020202060304-2</t>
  </si>
  <si>
    <t>4031201010104-1</t>
  </si>
  <si>
    <t>SERVICIOS DE CONSTRUCCIÓN - ADECUACIÓN DE ESPACIOS FISICOS PARA LAS OFICINAS ADMINISTRATIVAS DE LA EXTENSIÓN FACATATIVA</t>
  </si>
  <si>
    <t>4020101040526-1</t>
  </si>
  <si>
    <t>4050101000126-1</t>
  </si>
  <si>
    <t>4050101040626-1</t>
  </si>
  <si>
    <t>4050101040826-1</t>
  </si>
  <si>
    <t>4050102060226-1</t>
  </si>
  <si>
    <t>METALES BÁSICOS</t>
  </si>
  <si>
    <t>4050101010526-1</t>
  </si>
  <si>
    <t>4050101030526-1</t>
  </si>
  <si>
    <t>4050101030726-1</t>
  </si>
  <si>
    <t>4050101040126-1</t>
  </si>
  <si>
    <t>4050101040226-1</t>
  </si>
  <si>
    <t>4050101040326-1</t>
  </si>
  <si>
    <t>4050101040426-1</t>
  </si>
  <si>
    <t>UBATÉ</t>
  </si>
  <si>
    <t>SOACHA</t>
  </si>
  <si>
    <t>CHIA- ZIPAQUIRÁ</t>
  </si>
  <si>
    <t>COMUNICACIONES UBATÉ</t>
  </si>
  <si>
    <t>servicio de base de datos multidisciplinar y biblioteca en línea para el programa de administración de empresas, ingeniería agronómica he ingeniería ambiental que oferta la universidad de cundinamarca en su sede seccionales y extensiones</t>
  </si>
  <si>
    <t>309</t>
  </si>
  <si>
    <t>servicio de sistema de repositorio digital e identificador electrónico de objetos digitales para la universidad de cundinamarca en su sede seccionales y extensiones</t>
  </si>
  <si>
    <t>272</t>
  </si>
  <si>
    <t>actualización de la licencia del software administrativo y contable, divulgación académica (nube) para la universidad de cundinamarca.</t>
  </si>
  <si>
    <t>371</t>
  </si>
  <si>
    <t>adquirir mobiliario (pupitres) para las aulas de clase de la universidad de cundinamarca, sede fusagasugá</t>
  </si>
  <si>
    <t>286</t>
  </si>
  <si>
    <t>adquisición de equipos y elementos para laboratorio de hidráulica, mecánica de fluidos y recurso suelo - aire del programa de ingeniería ambiental de la universidad cundinamarca, seccional girardot, fases iii y iv</t>
  </si>
  <si>
    <t>_x000D_
adquisición de equipos y elementos para laboratorio de hidráulica, mecánica de fluidos y recurso suelo - aire del programa de ingeniería ambiental de la universidad cundinamarca, seccional girardot, fases iii y iv</t>
  </si>
  <si>
    <t>adquisión de reactivos e insumos para laboratorio de hidráulica, mecánica de fluidos y recurso suelo - aire del programa de ingeniería ambiental de la universidad cundinamarca, seccional girardot, fases iii y iv</t>
  </si>
  <si>
    <t>311</t>
  </si>
  <si>
    <t>281</t>
  </si>
  <si>
    <t>289</t>
  </si>
  <si>
    <t>290</t>
  </si>
  <si>
    <t>291</t>
  </si>
  <si>
    <t>351</t>
  </si>
  <si>
    <t>369</t>
  </si>
  <si>
    <t>370</t>
  </si>
  <si>
    <t>prestar servicios profesionales en la direccion de autoevaluacion y acreditacion apoyando los procesos de obtención y renovación de registro calificado en el marco de la normatividad vigente y disposiciones institucionales</t>
  </si>
  <si>
    <t>otrosi 01 al anexo de personal académico no. 043 de 2022 cuyo objeto contractual es prestar servicios profesionales en la direccion de autoevaluacion y acreditacion apoyando la construccion y verificacion de condiciones de calidad en el proceso de obtencion y renovacion de registro calificado de programas academicos</t>
  </si>
  <si>
    <t>otrosi 01 al anexo de personal académico no. 002 de 2022 cuyo objeto contractual es prestar servicios profesionales en la direccion de autoevaluacion y acreditacion para implementar estrategias de seguimiento, verificación y soporte a los procesos de obtencion y renovacion de registro calificado de programas academicos y el cumplimiento de las condiciones de calidad en el marco de la resolución 15224 y 21795 de 2020</t>
  </si>
  <si>
    <t>otrosi 01 al anexo de personal académico no. 005 de 2022 cuyo objeto contractual es prestar servicios profesionales para desarrollar estudios y medicion del valor agregado, analitica de procesos de autoevaluacion de los programas academicos por cada cundinamarca</t>
  </si>
  <si>
    <t>prestar servicios profesionales en la direccion de autoevaluacion y acreditacion brindando asesoria en la construccion de documentos maestros asociados a los procesos obtención y renovación de registros calificados, acompañ;ando a los programas académicos en el marco del decreto 1330 de 2019 y la resolución 021795 de 2020 del ministerio de educación nacional.</t>
  </si>
  <si>
    <t>prestar servicios profesionales para desarrollar la gestión, el analisis y la medicion del valor agregado vigencia 2022, diseñ;ar la estructura y arquitectura del aplicativo de valor agregado, y apoyar el ejercicio de autoevaluacion de los programas academicos por cada unidad regional de la universidad de cundinamarca.</t>
  </si>
  <si>
    <t>servicios de apoyo logístico en alimentación y alojamiento, para las visitas de pares expertos colaborativos y pares académicos en el marco del proceso de renovación de registro calificado.</t>
  </si>
  <si>
    <t>335</t>
  </si>
  <si>
    <t>servicios de apoyo logístico en alimentación (refrigerios) para el evento de ponderación institucional y de programas a realizarse en el marco del proceso de autoevaluación de la universidad de cundinamarca, vigencia 2022, seccional girardot.</t>
  </si>
  <si>
    <t>345</t>
  </si>
  <si>
    <t>otrosi 01 al anexo de personal académico no. 066 de 2022 cuyo objeto contractual es prestar servicios profesionales en la escuela de formacion y aprendizaje docente para gestionar el acompañ;amiento, construccion y retroalimentacion en el diseñ;o de campos de aprendizaje derivados de los procesos de resignificacion curricular de programas academicos de la universidad de cundinamarca.</t>
  </si>
  <si>
    <t>292</t>
  </si>
  <si>
    <t>2022-05-06 11:02:00.0</t>
  </si>
  <si>
    <t>otrosi 02 al anexo de personal académico no. 056 de 2022 cuyo objeto contractual es prestar servicios profesionales en la escuela de formacion y aprendizaje docente apoyando el diseno, implementacion y gestión de los campos de aprendizaje de los programas resignificados curricularmente.</t>
  </si>
  <si>
    <t>312</t>
  </si>
  <si>
    <t>2022-05-20 00:00:00.0</t>
  </si>
  <si>
    <t>otrosi 01 al anexo de personal académico no. 067 de 2022 cuyo objeto contractual es prestar  servicios  profesionales  para  la implementacion  del   campo muntidimensional   de   aprendizaje   en   el marco   de   los  procesos     de resignificacion     curricular     de     la   universidad   de cundinamarca</t>
  </si>
  <si>
    <t>331</t>
  </si>
  <si>
    <t>2022-06-06 10:03:51.0</t>
  </si>
  <si>
    <t>prestar servicios profesionales en la escuela de formacion y aprendizaje docente gestionando, sistematizando analiticas academicas y acompañ;amiento a profesores en el marco de los circuitos de formación, innovación y evaluación con metodologías y estrategias para implementar el campo multidimensional de aprendizaje.</t>
  </si>
  <si>
    <t>352</t>
  </si>
  <si>
    <t>2022-06-22 12:30:09.0</t>
  </si>
  <si>
    <t xml:space="preserve">prestar servicios profesionales en la escuela de formacion y aprendizaje docente de la ucundinamarca para implementar piezas graficas, micrositio, videotutoriales y recursos educativos digitales requeridos en el desarrollo de los circuitos de evaluacion, formacion e innovacion </t>
  </si>
  <si>
    <t>353</t>
  </si>
  <si>
    <t>2022-06-22 12:30:34.0</t>
  </si>
  <si>
    <t>dotacion e instalación de mobiliario para los centros de formacion, aprendizaje e innovacion docente de la universidad de cundinamarca sedes chia y soacha.</t>
  </si>
  <si>
    <t>2022-05-09 15:37:58.0</t>
  </si>
  <si>
    <t>dotación e instalación de elementos de alta tecnologia para los centros de formacion, aprendizaje e innovación docente de la universidad de cundinamarca sedes chia y soacha</t>
  </si>
  <si>
    <t>294</t>
  </si>
  <si>
    <t>2022-05-09 15:17:43.0</t>
  </si>
  <si>
    <t>fase ii ampliación del centro de formación e innovación docente sede soacha y adecuación locativa del centro de formación e innovación docente de la sede chía - universidad de cundinamarca</t>
  </si>
  <si>
    <t>268</t>
  </si>
  <si>
    <t>2022-04-18 00:00:00.0</t>
  </si>
  <si>
    <t>otrosi al contrato número no f-cps-225 de 2021, con objeto: producir contenidos educativos digitales de veinticuatro (24) programas académicos de pregrado y posgrado, equivalentes a cincuenta (50) créditos académicos, correspondientes a las siguientes facultades: ciencias agropecuarias, ciencias de la salud y de educación, en coherencia con el modelo educativo digital transmoderno medit de la universidad de cundinamarca</t>
  </si>
  <si>
    <t>306</t>
  </si>
  <si>
    <t>digitalizar programas educativos correspondientes a las siguientes facultades: ciencias agropecuarias, ciencias administrativas, económicas y contables y educación en coherencia con el modelo educativo digital transmoderno medit de la universidad de cundinamarca.</t>
  </si>
  <si>
    <t>317</t>
  </si>
  <si>
    <t xml:space="preserve">prestar sus servicios profesionales como diseñ;ador instruccional para la creación de experiencias de aprendizaje y la creación de recursos educativos digitales de los campos de aprendizajes disciplinares de los programas académicos: administración de empresas, contaduria pública, ingeniería agronómica e ingeniería ambiental de la universidad de cundinamarca.  </t>
  </si>
  <si>
    <t>287</t>
  </si>
  <si>
    <t xml:space="preserve">prestar sus servicios profesionales como diseñ;ador instruccional para la digitalización de campos de aprendizaje disciplinares de los programas académicos: ciencias del deporte y la educación física y licenciatura en educación física, recreación y deportes de universidad de cundinamarca. </t>
  </si>
  <si>
    <t>prestar sus servicios profesionales para el diseñ;o de recursos educativos, así como el diseñ;o instruccional de los campos de aprendizaje disciplinares del programa de enfermería de la universidad de cundinamarca.</t>
  </si>
  <si>
    <t>337</t>
  </si>
  <si>
    <t>prestar sus servicios profesionales en el acompañ;amiento a profesores en la digitalización e implementación de campos de aprendizaje disciplinares, así como en el diseñ;o de recursos educativos liderados por la oficina de educación virtual y a distancia de la universidad de cundinamarca.</t>
  </si>
  <si>
    <t>prestar servicios profesionales para el diseñ;o gráfico y multimedia de los recursos educativos digitales, edición de video y audio que conformen los proyectos educativos - campos de aprendizaje - llevados a cabo en el marco del medit por la oficina de educación virtual y a distancia de la universidad de cundinamarca.</t>
  </si>
  <si>
    <t>319</t>
  </si>
  <si>
    <t>prestar servicios profesionales a nivel de comunicación y tecnología en los procesos liderados por la oficina de educación virtual y a distancia en el marco de planificación, diseñ;o e implementación de campos de aprendizaje y cursos en modalidad virtual.</t>
  </si>
  <si>
    <t>320</t>
  </si>
  <si>
    <t>prestar servicios de apoyo a la gestión administrativa en los procesos de contratación, así como en actividades asistenciales y operativas necesarias por la oficina de educación virtual y a distancia.</t>
  </si>
  <si>
    <t>prestar servicios profesionales en la digitalizar el campo de aprendizaje disciplinar procesos de organización comunitaria y redes sociales, equivalente a dos (2) créditos académicos, lo cual contempla: resultados esperados de aprendizaje, actividades, contenidos, recursos educativos e instrumentos de recolección de datos.</t>
  </si>
  <si>
    <t>322</t>
  </si>
  <si>
    <t>prestar servicios profesionales para digitalizar el campo de aprendizaje disciplinar desarrollo sostenible del territorio, equivalente a dos (2) créditos académicos, lo cual contempla: resultados esperados de aprendizaje, actividades, contenidos, recursos educativos e instrumentos de recolección de datos.</t>
  </si>
  <si>
    <t>323</t>
  </si>
  <si>
    <t>prestar servicios profesionales para diseñ;ar la línea gráfica, el diseñ;o y producción de insumos multimedia para los recursos educativos digitales que conformen los proyectos educativos - campos de aprendizaje - llevados a cabo en el marco del medit por la oficina de educación virtual y a distancia de la universidad de cundinamarca.</t>
  </si>
  <si>
    <t>324</t>
  </si>
  <si>
    <t>prestar servicios profesionales para digitalizar el campo de aprendizaje disciplinar pedagogía para la conservación convivencia, equivalente a dos (2) créditos académicos, lo cual contempla: resultados esperados de aprendizaje, actividades, contenidos, recursos educativos e instrumentos de recolección de datos.</t>
  </si>
  <si>
    <t>325</t>
  </si>
  <si>
    <t>prestar servicios profesionales para diseñ;ar y desarrollar el plan de aprendizaje del diplomado iso45001:2018, equivalente a dos (2) créditos académicos, lo cual contempla: resultados esperados de aprendizaje, actividades, contenidos, recursos educativos e instrumentos de recolección de datos.</t>
  </si>
  <si>
    <t>326</t>
  </si>
  <si>
    <t>prestar sus servicios profesionales en la gestión de los proyectos de digitalización de contenidos educativos, desde la fase de análisis hasta su implementación, llevados a cabo en el marco del medit por la oficina de educación virtual y a distancia de la universidad de cundinamarca.</t>
  </si>
  <si>
    <t>336</t>
  </si>
  <si>
    <t>prestar sus servicios profesionales para el diseñ;o de recursos educativos, así como el diseñ;o instruccional de los campos de aprendizaje disciplinares de los programa académicos: música, licenciatura de sociales y de la especialización en educación ambiental y desarrollo de la comunidad de la universidad de cundinamarca.</t>
  </si>
  <si>
    <t>338</t>
  </si>
  <si>
    <t>prestar servicios en el soporte tecnológico de los campos de aprendizaje, recursos educativos digitales de pregrado y cursos alojados en la plataforma de gestión de aprendizaje a moodle a de la universidad de cundinamarca</t>
  </si>
  <si>
    <t>339</t>
  </si>
  <si>
    <t>341</t>
  </si>
  <si>
    <t>prestar servicios en el soporte y generación de datos y analíticas de la plataforma lms institucional, así como en el soporte tecnológico institucional para garantizar la efectiva implementación de los campos de aprendizaje disciplinares de los programas académicos de la universidad de cundinamarca.</t>
  </si>
  <si>
    <t>prestar servicios en el soporte tecnológico a los usuarios de los campos de aprendizaje, recursos educativos digitales de posgrados y cursos alojados en la plataforma de gestión de aprendizaje a moodle a de la universidad de cundinamarca</t>
  </si>
  <si>
    <t>343</t>
  </si>
  <si>
    <t>prestar el servicio de auditoria de otrogamiento de tercera parte bajo criterios internacionales de la norma  iso 14001:2015 para la certificación del sistema de gestión ambiental de la universidad de cundinamarca, en la seccional girardot y la extensión de facatativá, incluida la unidad agroambiental el vergel de facatativá.</t>
  </si>
  <si>
    <t>330</t>
  </si>
  <si>
    <t>2022-06-03 09:20:19.0</t>
  </si>
  <si>
    <t>servicio de limpieza, desinfección, fumigación y desodorización en los depósitos de los archivos de la universidad de cundinamarca.</t>
  </si>
  <si>
    <t>275</t>
  </si>
  <si>
    <t>2022-04-21 12:06:19.0</t>
  </si>
  <si>
    <t>interventoría a los diseñ;os y estudios técnicos para construir la segunda etapa de la nueva sede de la extensión zipaquirá de la universidad de cundinamarca.</t>
  </si>
  <si>
    <t>282</t>
  </si>
  <si>
    <t>2022-04-28 15:02:39.0</t>
  </si>
  <si>
    <t>contratar el servicio de auditorías internas del sistema de gestión de la calidad bajo la norma iso 9001:2015, del sistema de seguridad y salud en el trabajo bajo la norma iso 45001:2018 y el decreto 1072 de 2015 libro 2, parte 2, titulo 4 capitulo 6 en la universidad de cundinamarca y del sistema de gestión ambiental bajo la norma iso 14001:2015 en la seccional ubaté de la universidad de cundinamarca</t>
  </si>
  <si>
    <t>270</t>
  </si>
  <si>
    <t>2022-04-20 15:17:15.0</t>
  </si>
  <si>
    <t>servicio de publicidad y marketing en redes sociales</t>
  </si>
  <si>
    <t>307</t>
  </si>
  <si>
    <t>2022-05-16 10:56:41.0</t>
  </si>
  <si>
    <t xml:space="preserve">contratar la auditoría interna contable financiera bajo las normas legales aplicables en colombia para la vigencia 2021 que permita determinar si los estados financieros reflejan razonablemente la situación financiera, y si el presupuesto cumple con el marco jurídico establecido en sus diferentes etapas </t>
  </si>
  <si>
    <t>269</t>
  </si>
  <si>
    <t>2022-04-20 15:16:37.0</t>
  </si>
  <si>
    <t>otrosi n. 01 al contrato f-ocs - 019 - 2022 cuyo objeto renovacion del servicio soporte, actualizacion y mantenimiento de la suite vision empresarial modulo bcs.</t>
  </si>
  <si>
    <t>361</t>
  </si>
  <si>
    <t>2022-06-23 11:14:20.0</t>
  </si>
  <si>
    <t>ciclo de talleres de formación a la empleabilidad y el emprendimiento con propósito 2022</t>
  </si>
  <si>
    <t>280</t>
  </si>
  <si>
    <t>2022-04-22 10:23:58.0</t>
  </si>
  <si>
    <t>contratar la realización de cursos y diplomados mediado por tic de actualización para graduados de la universidad de cundinamarca</t>
  </si>
  <si>
    <t>318</t>
  </si>
  <si>
    <t>2022-05-26 17:59:15.0</t>
  </si>
  <si>
    <t xml:space="preserve">adquisición de pines de solapa para las ceremonias de grados del iipa 2022 en sede, seccionales y extensiones de la ucundinamarca </t>
  </si>
  <si>
    <t>295</t>
  </si>
  <si>
    <t>2022-05-09 15:18:50.0</t>
  </si>
  <si>
    <t>servicio logístico para la reunión de homenaje a graduandos del iipa 2022 en sede, seccionales y extensiones de la universidad de cundinamarca</t>
  </si>
  <si>
    <t>332</t>
  </si>
  <si>
    <t>2022-06-06 15:20:53.0</t>
  </si>
  <si>
    <t>adquisición de equipos de computo para el desarrollo de los proyectos de interacción social universitaria</t>
  </si>
  <si>
    <t>276</t>
  </si>
  <si>
    <t>2022-04-21 12:11:39.0</t>
  </si>
  <si>
    <t xml:space="preserve">contratar el servicio de alimentación y hospedaje para voluntarios participantes </t>
  </si>
  <si>
    <t>344</t>
  </si>
  <si>
    <t>2022-06-15 18:10:35.0</t>
  </si>
  <si>
    <t>diseñ;ar los planes de aprendizaje digital para los campos de aprendizaje disciplinar de los programas de posgrado de la vigencia 2022-ii.</t>
  </si>
  <si>
    <t>373</t>
  </si>
  <si>
    <t>2022-06-28 16:22:47.0</t>
  </si>
  <si>
    <t xml:space="preserve">capacitacion sobre cumplimiento ley 951/2005; sobre fortalecimiento de conocimientos sobre derevchos y deberes en la ciudadania y el estado social de derecho colombiano; sobre fortalecimiento del conocimiento sobre los valores del servidor publico; sobre temas sindicales para el personal administrativo de la universidad de cundinamarca_x000D_
</t>
  </si>
  <si>
    <t>277</t>
  </si>
  <si>
    <t>2022-04-21 15:22:36.0</t>
  </si>
  <si>
    <t>asignacion de exoneraciones de matricula para el segundo periodo academico 2022.</t>
  </si>
  <si>
    <t>334</t>
  </si>
  <si>
    <t>2022-06-13 10:22:02.0</t>
  </si>
  <si>
    <t>pago cuota de sostenimiento de la red de bienestar - nodo centro añ;o 2022.</t>
  </si>
  <si>
    <t>278</t>
  </si>
  <si>
    <t>2022-04-22 10:17:32.0</t>
  </si>
  <si>
    <t>pago de inscripciones para la participación de los grupos deportivos de estudiantes en los ascun regionales 2022</t>
  </si>
  <si>
    <t>279</t>
  </si>
  <si>
    <t>2022-04-22 10:17:58.0</t>
  </si>
  <si>
    <t>reconocimiento para la conmemoración de la labor docente y demás actividades de aprovechamiento del tiempo libre y fortalecimiento de las aptitudes y las actitudes de bienestar universitario</t>
  </si>
  <si>
    <t>293</t>
  </si>
  <si>
    <t>2022-05-06 12:12:17.0</t>
  </si>
  <si>
    <t>servicios de hidratación para los encuentros culturales y deportivos dirigidos para la comunidad universitaria.</t>
  </si>
  <si>
    <t>333</t>
  </si>
  <si>
    <t>2022-06-08 18:24:29.0</t>
  </si>
  <si>
    <t>otrosi no. 01 a la f-ops no. 054 de 2022, la cual tiene por objeto prestar servicios de apoyo para el fortalecimiento de habitos de vida saludable y mejoramiento de la calidad de vida en la comunidad de la universidad de cundinamarca seccional ubaté.</t>
  </si>
  <si>
    <t>329</t>
  </si>
  <si>
    <t>2022-06-03 09:07:53.0</t>
  </si>
  <si>
    <t>sueldo básico personal administrativo ocasional de bienestar universitario para el segundo periodo académico de 2022.</t>
  </si>
  <si>
    <t>355</t>
  </si>
  <si>
    <t>2022-06-22 17:04:02.0</t>
  </si>
  <si>
    <t>auxilio de cesantías personal administrativo ocasional bienestar universitario para el segundo periodo académico de 2022</t>
  </si>
  <si>
    <t>356</t>
  </si>
  <si>
    <t>2022-06-22 17:04:19.0</t>
  </si>
  <si>
    <t xml:space="preserve">auxilio de transporte personal administrativo ocasional para bienestar universitario en el segundo periodo académico de 2022 </t>
  </si>
  <si>
    <t>357</t>
  </si>
  <si>
    <t>2022-06-22 17:04:45.0</t>
  </si>
  <si>
    <t>vacaciones personal administrativo ocasional bienestar universitario para el segundo periodo académico de 2022</t>
  </si>
  <si>
    <t>358</t>
  </si>
  <si>
    <t>2022-06-22 17:05:01.0</t>
  </si>
  <si>
    <t>prima de servicio personal administrativo ocasional para bienestar universitario en el segundo periodo académico de 2022</t>
  </si>
  <si>
    <t>359</t>
  </si>
  <si>
    <t>2022-06-22 17:06:15.0</t>
  </si>
  <si>
    <t>Fomento de los hábitos, estilos de vida saludables, aprovechamiento del tiempo libre y fortalecimiento de las actitudes y aptitudes de la comunidad universitaria.</t>
  </si>
  <si>
    <t>contratación de personal a termino fijo de la dirección de sistemas y tecnología para el segundo semestre de la vigencia 2022 - sueldo basico personal administrativo ocasional</t>
  </si>
  <si>
    <t>364</t>
  </si>
  <si>
    <t>2022-06-24 14:31:26.0</t>
  </si>
  <si>
    <t>contratación de personal a termino fijo de la dirección de sistemas y tecnología para el segundo semestre de la vigencia 2022 - auxilio de transporte personal administrativo ocasional</t>
  </si>
  <si>
    <t>365</t>
  </si>
  <si>
    <t>2022-06-24 14:38:06.0</t>
  </si>
  <si>
    <t>contratación de personal a termino fijo de la dirección de sistemas y tecnología para el segundo semestre de la vigencia 2022 - prima de servicio personal administrativo ocasional</t>
  </si>
  <si>
    <t>366</t>
  </si>
  <si>
    <t>2022-06-24 14:42:37.0</t>
  </si>
  <si>
    <t>contratación de personal a termino fijo de la dirección de sistemas y tecnología para el segundo semestre de la vigencia 2022 - auxilio de cesantias personal administrativo ocasional</t>
  </si>
  <si>
    <t>367</t>
  </si>
  <si>
    <t>2022-06-24 14:43:36.0</t>
  </si>
  <si>
    <t>contratación de personal a termino fijo de la dirección de sistemas y tecnología para el segundo semestre de la vigencia 2022 - vacaciones personal administrativo ocasional</t>
  </si>
  <si>
    <t>368</t>
  </si>
  <si>
    <t>2022-06-24 14:44:42.0</t>
  </si>
  <si>
    <t>solicitud fondo renovable numero uno (1) de la direccion de sistemas y tecnologia para la vigencia 2022</t>
  </si>
  <si>
    <t>354</t>
  </si>
  <si>
    <t>2022-06-22 12:31:28.0</t>
  </si>
  <si>
    <t>Adquisicion de la plataforma de salas de videconferencia, suscripción por un añ;o</t>
  </si>
  <si>
    <t>274</t>
  </si>
  <si>
    <t>2022-04-20 17:50:54.0</t>
  </si>
  <si>
    <t>adquisición de licenciamiento de antivirus para los equipos de cómputo de la universidad de cundinamarca en su sede, seccionales y extensiones.</t>
  </si>
  <si>
    <t>346</t>
  </si>
  <si>
    <t>2022-06-21 17:38:37.0</t>
  </si>
  <si>
    <t>360</t>
  </si>
  <si>
    <t>2022-06-22 19:51:21.0</t>
  </si>
  <si>
    <t>preservacion, gestion y visibilizacion de la produccion intelectual de la universidad de cundinamarca, servicio de soporte y mantenimiento de la plataforma open journal system (ojs) por un (1) ano, asi como la actualizacion a la ultima version long time service y marcacion en xml de los articulos de las revistas ciencias agropecuarias, pensamiento udecino, suma+paz, caminos educativos, arte y creacion</t>
  </si>
  <si>
    <t>283</t>
  </si>
  <si>
    <t>2022-05-02 00:00:00.0</t>
  </si>
  <si>
    <t>pares exernos que realizaran la evaluación de proyectos de investigación en el marco de la iii convocatoria interna 2022-1 ucundinamarca generación siglo 21-conformación del banco de proyectos elegibles y establecer la planeación y dedicación de los profesores a la función sustantiva de ciencia tecnología e innovación, con el fin de obtener productos académicos en el marco de los indicadores minciencias a fin de fortalecer los grupos de investigación mediante la financiación de proyectos de ctei translocales de alto impacto para el departamento de cundinamarca</t>
  </si>
  <si>
    <t>314</t>
  </si>
  <si>
    <t>2022-05-24 16:51:33.0</t>
  </si>
  <si>
    <t>pares externos que realizaran la evaluación de cinco (05) artículos para publicación del volumen 7 de la revista caminos educativos</t>
  </si>
  <si>
    <t>328</t>
  </si>
  <si>
    <t>2022-06-01 17:02:24.0</t>
  </si>
  <si>
    <t>pago a pares que realizaran la evaluación de la productividad académica de los docentes de carrera y docentes ocasionales de la universidad de cundinamarca.</t>
  </si>
  <si>
    <t>363</t>
  </si>
  <si>
    <t>2022-06-23 18:06:57.0</t>
  </si>
  <si>
    <t>isrc para álbum fonográfico de 17 tracks para la obra pájaros azules</t>
  </si>
  <si>
    <t>284</t>
  </si>
  <si>
    <t>2022-05-02 09:22:01.0</t>
  </si>
  <si>
    <t>inscripción del docente edier fernando avila vélez para participar en calidad de ponente en el evento denominado: iv simposio iberoafroamericano de riesgos, a realizarse en metodología virtual del 21 al 23 de julio de 2022</t>
  </si>
  <si>
    <t>315</t>
  </si>
  <si>
    <t>2022-05-24 16:52:06.0</t>
  </si>
  <si>
    <t>inscripción del docente edwin davier correa rojas para participar en calidad de ponente en el evento denominado: primer congreso de producción animal de colombia a realizarse del 21 al 23 de julio de 2022, en la ciudad de medellín</t>
  </si>
  <si>
    <t>316</t>
  </si>
  <si>
    <t>2022-05-24 16:52:30.0</t>
  </si>
  <si>
    <t>362</t>
  </si>
  <si>
    <t>2022-06-23 18:02:06.0</t>
  </si>
  <si>
    <t xml:space="preserve"> otrosi al f-cto 242 de 2021, que tiene por objeto acontrato de obra para el descapote, explanacioin y transporte de material del lote ubicado en carrera 56 no. 18 a-47 de la universidad de cundinamarca</t>
  </si>
  <si>
    <t>273</t>
  </si>
  <si>
    <t>2022-04-20 17:50:30.0</t>
  </si>
  <si>
    <t>adquisición de mobiliario para almacenamiento de insumos de papelería en la extensión facatativá para la vigencia 2022</t>
  </si>
  <si>
    <t>308</t>
  </si>
  <si>
    <t>2022-05-18 17:27:20.0</t>
  </si>
  <si>
    <t>inscripción de un (1) docente perteneciente a la facultad de ciencias agropecuarias, en el  49 congreso socolen</t>
  </si>
  <si>
    <t>2022-06-01 15:48:01.0</t>
  </si>
  <si>
    <t xml:space="preserve">inscripción de un (1) docente perteneciente a la facultad de ciencias agropecuarias, en el congreso colombiano de ecología cce 2022_x000D_
</t>
  </si>
  <si>
    <t>2022-06-21 17:39:00.0</t>
  </si>
  <si>
    <t xml:space="preserve">inscripción de un (1) docente perteneciente a la facultad de ciencias agropecuarias, en el diplomado uas (drones) de la universidad de cundinamarca _x000D_
</t>
  </si>
  <si>
    <t>348</t>
  </si>
  <si>
    <t>2022-06-21 17:39:16.0</t>
  </si>
  <si>
    <t>otro si no 1 contrato f cps 143 2021 con objeto actualización, fortalecimiento e implementación de la infraestructura wlan de la universidad de cundinamarca extensión chía</t>
  </si>
  <si>
    <t>372</t>
  </si>
  <si>
    <t>2022-06-28 16:10:34.0</t>
  </si>
  <si>
    <t>64-313</t>
  </si>
  <si>
    <t>pagar las inscripciones a los congresos ponencias, seminarios, talleres, actualizaciones, simposios, foros, y mesas de trabajo dentro de la vigencia 2022, en los cuales participe personal administrativo de planta teniendo correlación a su área de desempeñ;o - adición al proceso cuyo objeto, "pagar las inscripciones a los congresos ponencias, seminarios, talleres, actualizaciones, simposios, foros, y mesas de trabajo dentro de la vigencia 2022, en los cuales participe personal administrativo de planta teniendo correlación a su área de desempeñ;o"</t>
  </si>
  <si>
    <t>PRPOAI-127 FOMENTO 2020</t>
  </si>
  <si>
    <t>PRPOAI-141 FOMENTO 2019</t>
  </si>
  <si>
    <t>PRPOAI-86 FOMENTO 2020</t>
  </si>
  <si>
    <t>PRPOAI-78 FOMENTO 2020</t>
  </si>
  <si>
    <t>PRPOAI-160</t>
  </si>
  <si>
    <t>PRPOAI-199</t>
  </si>
  <si>
    <t>PRPOAI-198</t>
  </si>
  <si>
    <t>PRPOAI-197</t>
  </si>
  <si>
    <t>FOMENTO 2022</t>
  </si>
  <si>
    <t>Zona Campo Institucional de Aprendizaje (CAI) - Adecuación Física e implementación de recursos educativos y equipo tecnológico para los espacios académicos de las unidades regionales de la Universidad que operan el campo de aprendizaje como una apuesta de aseguramiento de la calidad académica y gestión curricular desde el Modelo Educativo Digital Transmoderno en la UCundinamarca.</t>
  </si>
  <si>
    <t>Sistema de Gestión Digital y Curricular del Campo Multidimensional de Aprendizaje (SIGDCMA).</t>
  </si>
  <si>
    <t>CMA - SISTEMAS Y TECNOLOGÍA</t>
  </si>
  <si>
    <t>ACUERDO 014 FOMENTO 2022</t>
  </si>
  <si>
    <t>ACUERDO N. 014 FOMENTO 2022</t>
  </si>
  <si>
    <t>Creación del Centro de Idiomas en la Extensión Soacha para la promoción del multilingüismo y la transculturalidad a través de los campos de aprendizaje del MEDIT de la UCundinamarca</t>
  </si>
  <si>
    <t>Unidad de Apoyo Académico - Facultad de Educación</t>
  </si>
  <si>
    <t>Creación del Consultorio de Psicología en la Extensión Facatativá, para la atención presencial y virtual de la población de Sabana Occidente de Cundinamarca, desde el Modelo Educativo Digital Transmoderno de la U Cundinamarca.</t>
  </si>
  <si>
    <t>Unidad de Apoyo Académico - Facultad de Ciencias Sociales</t>
  </si>
  <si>
    <t>Adecuaciones y arreglos locativos en la terraza del tercer piso  del edificio Emilio Sierra para las oficinas que conforman el sistema integrado de gestión de la Universidad de Cundinamarca</t>
  </si>
  <si>
    <t>ACUERDO N. 015 ART 142 COOPERATIVAS</t>
  </si>
  <si>
    <t>I FASE - Intervención general de la plata física del Centro Académico Deportivo C.A.D. de la Universidad de Cundinamarca</t>
  </si>
  <si>
    <t>BIENES Y SERVICIOS - CAD</t>
  </si>
  <si>
    <t>Adquisición de equipos audiovisuales para la Oficina Asesora de Comunicaciones de la Universidad de Cundinamarca.</t>
  </si>
  <si>
    <t>adquisicion de bienes necesarios para el proceso de sensibilizacion difusion y socializacion de los procesos de formacion docente derivados de la implementacion de los circuitos de formacion innovacion y evaluacion declarados en la escuela de formacion y aprendizaje docente de la universidad de cundinamarca</t>
  </si>
  <si>
    <t>2022-07-12 08:31:18.0</t>
  </si>
  <si>
    <t>prestar  servicios  profesionales  en  la  escuela  de  formacion  y aprendizaje docente apoyando el diseno implementacion y gestion de  los  campos  de  aprendizaje  disciplinar  de  los  programas resignificados curricularmente.</t>
  </si>
  <si>
    <t>prestar servicios profesionales en la escuela de formacion y aprendizaje docente apoyando la sistematizacion de datos y analitica  academica, en el marco de los procesos realizados en los circuitos de formacion, aprendizaje e innovacion desarrollados por la escuela de formacion docente de la universidad de cundinamarca</t>
  </si>
  <si>
    <t>prestar servicios profesionales en la escuela de formacion y aprendizaje docente apoyando el diseno, implementacion y gestion de los campos de aprendizaje de los programas resignificados curricularmente</t>
  </si>
  <si>
    <t>prestar servicios profesionales en la escuela de formacion y aprendizaje docente para gestionar  el  acompanamiento,construccion y retroalimentacion en el diseno de campos de aprendizaje derivados de los procesos de resignificacion curricular de programas academicos de la universidad de cundinamarca</t>
  </si>
  <si>
    <t>2022-07-08 11:55:39.0</t>
  </si>
  <si>
    <t>2022-07-18 18:37:03.0</t>
  </si>
  <si>
    <t>2022-08-04 09:20:47.0</t>
  </si>
  <si>
    <t>2022-08-04 09:23:09.0</t>
  </si>
  <si>
    <t>prestar servicios de catering en el marco del desarrollo de las actividades de bienestar universitario de la universidad de cundinamarca extensiones chía y zipaquirá para el segundo periodo académico 2022.</t>
  </si>
  <si>
    <t>2022-08-08 15:00:33.0</t>
  </si>
  <si>
    <t>contratar el servicio de alimentación para las actividades académico_x0002_administrativas a desarrollarse en la universidad de cundinamarca extensión facatativá durante el segundo periodo académico 2022</t>
  </si>
  <si>
    <t>2022-09-13 10:10:11.0</t>
  </si>
  <si>
    <t>fondo renovable no. 01 bienestar universitario</t>
  </si>
  <si>
    <t>2022-07-25 15:07:10.0</t>
  </si>
  <si>
    <t>contratar el servicio de hospedaje, alimentación para la participación de la comunidad universitaria en ascun.</t>
  </si>
  <si>
    <t>2022-08-11 17:20:42.0</t>
  </si>
  <si>
    <t>servicio de alimentación y hospedaje para estudiantes internacionales participantes del programa estudiante embajador de la universidad de cundinamarca de las sedes fusagasugá, facatativá, soacha, girardot y ubaté.</t>
  </si>
  <si>
    <t>2022-08-11 18:32:00.0</t>
  </si>
  <si>
    <t>2022-08-08 15:01:10.0</t>
  </si>
  <si>
    <t>2022-09-13 10:09:32.0</t>
  </si>
  <si>
    <t>servicio logistico para la implementación estrategica de fortalecimiento para el encuentro deportivo y cultural y congreso de graduados del iipa 2022 en sede, seccionales y extensiones de la universidad de cundinamarca</t>
  </si>
  <si>
    <t>2022-08-01 11:38:34.0</t>
  </si>
  <si>
    <t>financiar los gastos de la dirección de investigación para el fortalecimiento de los procesos de ciencia tecnologia e innovacion (fondo renovable- de conformidad con la resolución 162 de 2019)</t>
  </si>
  <si>
    <t>financiar gastos de alojamiento y alimentación  de cuatro docentes de la facultad de ingeniería: andres felipe guerrero guerrero, edgar hernando criollo, faider humberto barrero sánchez y edwin palacios yepes quienes participarán en representación de la universidad de cundinamarca en calidad de ponentes en el encuentro internacional de educación en ingeniería acofi (eiei acofi 2022), que se realizará en la ciudad de cartagena de indias del 13 al 16 de septiembre de 2022.</t>
  </si>
  <si>
    <t>financiar los gastos de alojamiento  de la docente maria aldaya rodriguez para presentar el taller: propuestas metodológicas para la educación ambiental en el bosque seco tropicala proveniente del proyecto de investigación desarrollo de prototipos de negocios en biocomercio derivados de las cadenas sociales productivas localizadas en los senderos tradicionales de girardot y alto magdalena a partir de la vegetación del bosque seco tropical, en el congreso colombiano de ecología - cce 2022 "generación de conciencia para la toma de decisiones" a realizarse del 30 de agosto al 2 de septiembre 2022</t>
  </si>
  <si>
    <t>apoyo económico a la docente de carrera maría victoria rojas martínez, para garantizar su participación en el xvii coloquio panamericano de investigación en enfermería, a realizarse del 8 al 10 de noviembre 2022 en campus de la universidad de miami en coral gables, florida, ee. uu.</t>
  </si>
  <si>
    <t>2022-07-08 17:48:13.0</t>
  </si>
  <si>
    <t>2022-08-08 11:25:39.0</t>
  </si>
  <si>
    <t>2022-08-09 09:17:06.0</t>
  </si>
  <si>
    <t>2022-09-12 18:15:04.0</t>
  </si>
  <si>
    <t>389</t>
  </si>
  <si>
    <t>524</t>
  </si>
  <si>
    <t>531</t>
  </si>
  <si>
    <t>608</t>
  </si>
  <si>
    <t>2022-08-23 18:52:46.0</t>
  </si>
  <si>
    <t>adquirir ayudas técnicas para el apoyo en el desarrollo de actividades académicas de estudiantes con discapacidad visual.</t>
  </si>
  <si>
    <t>567</t>
  </si>
  <si>
    <t>626</t>
  </si>
  <si>
    <t>2022-09-16 10:00:29.0</t>
  </si>
  <si>
    <t xml:space="preserve">contratar el servicio de alimentación y hospedaje para los estudiantes del programa estudiante embajador movilidad entrante, extensión facatativá para el segundo periodo académico 2022._x000D_
</t>
  </si>
  <si>
    <t>contratar el servicio de alimentación y hospedaje para los estudiantes del programa estudiante embajador movilidad entrante, seccional girardot para el segundo periodo académico 2022.</t>
  </si>
  <si>
    <t>contratar el servicio de alimentación y hospedaje para los estudiantes del programa estudiante embajador movilidad entrante, extensión soacha para el segundo periodo académico 2022.</t>
  </si>
  <si>
    <t>contratar el servicio de alimentación y hospedaje para los estudiantes del programa estudiante embajador movilidad entrante, seccional ubaté para el segundo periodo académico 2022.</t>
  </si>
  <si>
    <t>contratar el servicio de alimentación y hospedaje para los estudiantes del programa estudiante embajador movilidad entrante, sede fusagasugá para el segundo periodo académico 2022.</t>
  </si>
  <si>
    <t>2022-07-26 12:07:55.0</t>
  </si>
  <si>
    <t>2022-07-29 09:41:02.0</t>
  </si>
  <si>
    <t>2022-07-29 09:41:28.0</t>
  </si>
  <si>
    <t>2022-08-04 14:53:36.0</t>
  </si>
  <si>
    <t>2022-08-26 15:38:30.0</t>
  </si>
  <si>
    <t>480</t>
  </si>
  <si>
    <t>490</t>
  </si>
  <si>
    <t>491</t>
  </si>
  <si>
    <t>515</t>
  </si>
  <si>
    <t>577</t>
  </si>
  <si>
    <t>contratar el servicio de restaurante universitario para los estudiantes de la universidad de cundinamarca, sede fusagasugá para el segundo periodo académico 2022.</t>
  </si>
  <si>
    <t>contratar el servicio de plan día de alimentación para los estudiantes de la universidad de cundinamarca, sede fusagasugá, para el segundo periodo académico 2022.</t>
  </si>
  <si>
    <t>contratar el servicio de hogar universitario para los estudiantes de la universidad de cundinamarca, sede fusagasugá para el segundo periodo académico 2022.</t>
  </si>
  <si>
    <t>376</t>
  </si>
  <si>
    <t>377</t>
  </si>
  <si>
    <t>378</t>
  </si>
  <si>
    <t>2022-07-06 18:20:54.0</t>
  </si>
  <si>
    <t>2022-07-06 18:21:16.0</t>
  </si>
  <si>
    <t>2022-07-06 18:21:46.0</t>
  </si>
  <si>
    <t xml:space="preserve">contratar el servicio de hogar universitario para los estudiantes de la_x000D_
universidad de cundinamarca, extensión facatativá para el segundo periodo_x000D_
académico 2022._x000D_
</t>
  </si>
  <si>
    <t>contratar el servicio de restaurante universitario para los estudiantes de la_x000D_
universidad de cundinamarca, extensión facatativá para el segundo periodo_x000D_
académico 2022.</t>
  </si>
  <si>
    <t xml:space="preserve">contratar el servicio de plan día de alimentación para los estudiantes de la_x000D_
universidad de cundinamarca, extensión facatativá, para el segundo periodo_x000D_
académico 2022._x000D_
</t>
  </si>
  <si>
    <t>404</t>
  </si>
  <si>
    <t>405</t>
  </si>
  <si>
    <t>406</t>
  </si>
  <si>
    <t>2022-07-14 16:14:32.0</t>
  </si>
  <si>
    <t>2022-07-14 16:14:51.0</t>
  </si>
  <si>
    <t>2022-07-14 16:19:33.0</t>
  </si>
  <si>
    <t xml:space="preserve">contratar el servicio de restaurante universitario para los estudiantes de la universidad de cundinamarca, extensión zipaquirá para el segundo periodo académico 2022. </t>
  </si>
  <si>
    <t>2022-07-14 16:30:55.0</t>
  </si>
  <si>
    <t>2022-07-14 17:25:33.0</t>
  </si>
  <si>
    <t>contratar el servicio de plan complementario de alimentación  para los estudiantes de la universidad de cundinamarca, extensión chía para el segundo periodo académico 2022.</t>
  </si>
  <si>
    <t xml:space="preserve">restaurante universitario para los estudiantes de la universidad de cundinamarca, extensión soacha para el segundo periodo académico 2022. </t>
  </si>
  <si>
    <t>2022-07-15 16:53:20.0</t>
  </si>
  <si>
    <t>servicio de hogar universitario para los estudiantes de la universidad de cundinamarca seccional girardot para el segundo periodo académico 2022.</t>
  </si>
  <si>
    <t>servicio para contratar el programa plan día de alimentación para los estudiantes de la universidad de cundinamarca seccional girardot, para el segundo periodo académico 2022</t>
  </si>
  <si>
    <t>servicio para el programa de restaurante universitario para los estudiantes beneficiados de la universidad de cundinamarca seccional girardot, en el segundo periodo académico 2022</t>
  </si>
  <si>
    <t>2022-07-15 14:28:02.0</t>
  </si>
  <si>
    <t>2022-07-15 14:28:30.0</t>
  </si>
  <si>
    <t>2022-07-15 16:51:08.0</t>
  </si>
  <si>
    <t>421</t>
  </si>
  <si>
    <t>422</t>
  </si>
  <si>
    <t>423</t>
  </si>
  <si>
    <t>contratar el servicio de hogar universitario para los estudiantes de la universidad de cundinamarca seccional ubaté, para el segundo periodo académico 2022.</t>
  </si>
  <si>
    <t>contratar el servicio de restaurante plan complementario de alimentación para los estudiantes de la universidad de cundinamarca seccional ubaté, para el segundo periodo académico de 2002</t>
  </si>
  <si>
    <t>contratar el servicio de restaurante universitario para los estudiantes de la universidad de cundinamarca seccional ubaté, para el segundo periodo académico 2022.</t>
  </si>
  <si>
    <t>2022-07-18 09:27:21.0</t>
  </si>
  <si>
    <t>2022-07-18 09:27:44.0</t>
  </si>
  <si>
    <t>2022-07-18 09:28:07.0</t>
  </si>
  <si>
    <t>426</t>
  </si>
  <si>
    <t>427</t>
  </si>
  <si>
    <t>428</t>
  </si>
  <si>
    <t>adquisición de elementos e insumos de bioseguridad requeridos para el desarrrollo de proyectos de investigación y planes de trabajo de semilleros de investigacion avalados institucionalmente en la universidad de cundinamarca</t>
  </si>
  <si>
    <t>2022-09-20 10:46:51.0</t>
  </si>
  <si>
    <t>becas como apoyo económico académico de la movilidad saliente en el segundo periodo académico del 2022</t>
  </si>
  <si>
    <t>2022-07-07 12:06:55.0</t>
  </si>
  <si>
    <t>servicio de alimentación y hospedaje para voluntarios participantes de las inmersiones lingéísticas y el voluntariado internacional</t>
  </si>
  <si>
    <t>contratar el servicio de hospedaje, alimentación y transporte para participantes de misiones académicas entrantes en la universidad de cundinamarca durante el segundo periodo académico 2022.</t>
  </si>
  <si>
    <t>contratar el servicio de alimentación, hospedaje y transporte para la comunidad internacional en la universidad de cundinamarca.</t>
  </si>
  <si>
    <t>2022-07-26 12:07:14.0</t>
  </si>
  <si>
    <t>2022-08-26 10:34:30.0</t>
  </si>
  <si>
    <t>2022-09-16 07:43:28.0</t>
  </si>
  <si>
    <t>479</t>
  </si>
  <si>
    <t>574</t>
  </si>
  <si>
    <t>625</t>
  </si>
  <si>
    <t>exoneraciones de matrícula para el segundo periodo académico de 2022, recursos asignados por el fondo especial de la seccional girardot</t>
  </si>
  <si>
    <t>2022-07-12 15:17:22.0</t>
  </si>
  <si>
    <t xml:space="preserve">adquisición de un televisor con fines publicitarios exclusivos de la biblioteca de la extensión facatativá._x000D_
</t>
  </si>
  <si>
    <t>2022-09-22 23:07:10.0</t>
  </si>
  <si>
    <t>actualizacion   yrenovacion   delicencias   adobe:   creative cloud (indesing, photoshop, ilustrator, acrobat, incopy), por un añ;o, para apoyar las actividades de diagramacion y diseñ;o de portada y  contraportada de todas las publicaciones que se  realicen  a  traves  de  la  editorial  de  la    universidad  de cundinamarcaa    fin    de    lograr    la visualización    de    la producción editorial</t>
  </si>
  <si>
    <t>fortalecimiento y visibilización de los procesos editoriales a través del servicio anual que incluye la suscripción al sistema crossref y soporte técnico durante un añ;o al grupo de editores de la institución para el uso y manejo del doi para las publicaciones de la universidad de cundinamarca.</t>
  </si>
  <si>
    <t>fortalecimiento   de   la   productividad   académica   mediante   la herramienta de turnitin originality check a®suscripción anual para 1000  estudiantes  de  la  comunidad  educativa  (incluye  acceso  a docentes, estudiantes, investigadores y editores). envíos ilimitados alañ;o. incluye integración a lms</t>
  </si>
  <si>
    <t>2022-07-08 17:48:32.0</t>
  </si>
  <si>
    <t>2022-07-11 11:50:17.0</t>
  </si>
  <si>
    <t>2022-07-11 11:52:54.0</t>
  </si>
  <si>
    <t>2022-07-13 08:28:14.0</t>
  </si>
  <si>
    <t>390</t>
  </si>
  <si>
    <t>391</t>
  </si>
  <si>
    <t>393</t>
  </si>
  <si>
    <t>401</t>
  </si>
  <si>
    <t>fortalecimiento de la productividad académica mediante la herramienta de turnitin originality check a®suscripción anual para 1000 estudiantes de la comunidad educativa (incluye acceso a docentes, estudiantes, investigadores y editores). envíos ilimitados al añ;o. incluye integración a lms.</t>
  </si>
  <si>
    <t>actualizacion y renovación de dos (2) licencias acrobat pro dc por un añ;o para realizar actividades de la editorial de la universidad de cundinamarca</t>
  </si>
  <si>
    <t xml:space="preserve">fortalecimiento y visibilización de la producción científica y académica a través de la plataforma digital commons que combine la funcionalidad de repositorio institucional (institutional repository, ir), con un servicio profesional de publicación en línea (gestión editorial, revisión por pares), visibilidad académica, métricas y tableros de control, para fortalecer  las publicaciones que se realicen a través de la editorial de la universidad de cundinamarca_x000D_
</t>
  </si>
  <si>
    <t>servicios web plataformas o software (hosting empresarial)</t>
  </si>
  <si>
    <t>2022-07-12 17:45:30.0</t>
  </si>
  <si>
    <t>2022-08-22 17:46:16.0</t>
  </si>
  <si>
    <t>2022-09-05 15:01:11.0</t>
  </si>
  <si>
    <t>2022-09-07 08:53:18.0</t>
  </si>
  <si>
    <t>398</t>
  </si>
  <si>
    <t>562</t>
  </si>
  <si>
    <t>598</t>
  </si>
  <si>
    <t>600</t>
  </si>
  <si>
    <t>adquisicion de elementos educativos, electrónicos y de audio del auditorio extensión chía universidad de cundinamarca.</t>
  </si>
  <si>
    <t>2022-09-22 08:39:38.0</t>
  </si>
  <si>
    <t>2022-07-15 22:03:05.0</t>
  </si>
  <si>
    <t>2022-07-21 19:17:39.0</t>
  </si>
  <si>
    <t>2022-07-21 19:18:02.0</t>
  </si>
  <si>
    <t>2022-07-21 00:00:00.0</t>
  </si>
  <si>
    <t>2022-07-21 19:19:12.0</t>
  </si>
  <si>
    <t>2022-07-25 12:09:14.0</t>
  </si>
  <si>
    <t>2022-07-25 12:13:25.0</t>
  </si>
  <si>
    <t>2022-07-25 14:42:42.0</t>
  </si>
  <si>
    <t>2022-08-01 10:57:44.0</t>
  </si>
  <si>
    <t>2022-08-01 11:00:38.0</t>
  </si>
  <si>
    <t>2022-08-02 09:40:50.0</t>
  </si>
  <si>
    <t>2022-08-02 09:41:28.0</t>
  </si>
  <si>
    <t>2022-08-08 10:46:16.0</t>
  </si>
  <si>
    <t>2022-08-08 10:47:49.0</t>
  </si>
  <si>
    <t>2022-08-16 10:54:13.0</t>
  </si>
  <si>
    <t>2022-08-19 17:39:20.0</t>
  </si>
  <si>
    <t>2022-08-23 19:21:37.0</t>
  </si>
  <si>
    <t>2022-08-26 17:41:06.0</t>
  </si>
  <si>
    <t>2022-09-14 12:41:18.0</t>
  </si>
  <si>
    <t>2022-09-16 15:55:07.0</t>
  </si>
  <si>
    <t>2022-09-20 17:34:24.0</t>
  </si>
  <si>
    <t>actualizacion de la licencia de simulacion para la administracion hotelera de la universidad de cundinamarca</t>
  </si>
  <si>
    <t>actualización de la licencia del software virtualplant para el desarrollo de prácticas de laboratorio y actividades interactivas en áreas relacionadas con procesos industriales para el programa de ingeniería industrial de la universidad de cundinamarca.</t>
  </si>
  <si>
    <t>actualización de la licencia del software ganadero tp para la facultad de agropecuarias de la universidad de cundinamarca.</t>
  </si>
  <si>
    <t>actualizacion de la licencia del software tauruswebs,oviswebs y suinowebs para la facultad de ciencias agropecuarias del programa de zooctenia de la universidad de cundinamarca.</t>
  </si>
  <si>
    <t>adquisición licencia rationmix para la universidad de cundinamarca</t>
  </si>
  <si>
    <t>actualización de la licencia del software de diseñ;o y simulación de automatización de procesos en hidráulica, neumática, electrotecnia, electricidad y controles, para la facultad de ingenieria de la universidad de cundinamarca.</t>
  </si>
  <si>
    <t>actualización de la licencia atlas de anatomía en 3d preciso y realista generado a partir de cortes de un espécimen cadavérico para el programa de psicología de la universidad de cundinamarca</t>
  </si>
  <si>
    <t>adquisicion de la licencia del software rationmix  para la universidad de cundinamarca</t>
  </si>
  <si>
    <t>adquisición de la licencia para la simulación, análisis estadístico y optimización de datos para el programa de administración de empresas de la seccional girardot de la universidad de cundinamarca.</t>
  </si>
  <si>
    <t>adquisición de la licencia eviews para el programa de administracion de empresas de  la unidad  regional ,seccional  girardot  de la universidad de cundinamarca</t>
  </si>
  <si>
    <t>actualización de la licencia del software especializado en el procesamiento y análisis de imágenes geoespaciales utilizado por profesionales gis, científicos, investigadores y analistas para la universidad de cundinamarca.</t>
  </si>
  <si>
    <t>actualización de la licencia del software labsag para la facultad de ciencias administrativas financieras y contables del programa administración de empresas de la universidad de cundinamarca.</t>
  </si>
  <si>
    <t>actualización de la  licencia del software  anylogic cloud  para  la facultad de educación de  la universidad de cundinamarca.</t>
  </si>
  <si>
    <t>actualización de la licencia del software ibm cognos que es un software de inteligencia comercial, es requerido por la facultad de educación del programa de licenciatura matemáticas de la universidad de cundinamarca.</t>
  </si>
  <si>
    <t>actualización de la licencia del software para el análisis estadístico avanzado, para la universidad de cundinamarca.</t>
  </si>
  <si>
    <t>actualización de la licencia arcgis para la universidad de cundinamarca</t>
  </si>
  <si>
    <t>actualización de la licencia del software que permite la programación, cálculo numérico, análisis de datos, desarrollar algoritmos y crear modelos para la facultad de ingeniería de la universidad de cundinamarca.</t>
  </si>
  <si>
    <t>actualizacion de la licencia simventure para la universidad de cundinamarca.</t>
  </si>
  <si>
    <t xml:space="preserve"> adquisición de la licencia del software enterprise architect para el programa de ingeniería de sistemas de la universidad de cundinamarca.</t>
  </si>
  <si>
    <t>actualización de la licencia  del software flexsim que permite visualizar y probar cambios en las operaciones y los procesos de la logística ,para el programa de ingeniería industrial de la universidad de cundinamarca.</t>
  </si>
  <si>
    <t>adquisicion de software dedicado al calculo de la composición corporal, diseñ;o de planes de entrenamiento; planificación, periodización y control del entrenamiento deportivo, para la universidad de cundinamarca</t>
  </si>
  <si>
    <t>425</t>
  </si>
  <si>
    <t>440</t>
  </si>
  <si>
    <t>441</t>
  </si>
  <si>
    <t>442</t>
  </si>
  <si>
    <t>464</t>
  </si>
  <si>
    <t>465</t>
  </si>
  <si>
    <t>467</t>
  </si>
  <si>
    <t>496</t>
  </si>
  <si>
    <t>497</t>
  </si>
  <si>
    <t>506</t>
  </si>
  <si>
    <t>507</t>
  </si>
  <si>
    <t>518</t>
  </si>
  <si>
    <t>519</t>
  </si>
  <si>
    <t>546</t>
  </si>
  <si>
    <t>550</t>
  </si>
  <si>
    <t>568</t>
  </si>
  <si>
    <t>582</t>
  </si>
  <si>
    <t>620</t>
  </si>
  <si>
    <t>629</t>
  </si>
  <si>
    <t>645</t>
  </si>
  <si>
    <t>2022-07-25 11:27:28.0</t>
  </si>
  <si>
    <t>pago contra factura por concepto de renovación del registro del servicio de espacio de direcciones de protocolo de internet y/o asignación de números de sistema autónomo</t>
  </si>
  <si>
    <t>2022-09-20 17:27:37.0</t>
  </si>
  <si>
    <t>adquirir los insumos tecnológicos para los recursos informáticos de la sede, seccionales extensiones y oficina de convenios y relaciones interinstitucionales de bogotá pertenecientes a la universidad de cundinamarca</t>
  </si>
  <si>
    <t>2022-08-22 11:29:22.0</t>
  </si>
  <si>
    <t>adquirir equipos elctronicos para adecuar los espacios académicos los cuales solventen las necesidades de la comunidad estudiantil presente en la universidad de cundinamarca.</t>
  </si>
  <si>
    <t>2022-08-22 11:32:16.0</t>
  </si>
  <si>
    <t>2022-08-22 11:28:47.0</t>
  </si>
  <si>
    <t>adquisición de equipos de cómputo portátiles para el préstamo a estudiantes como programa de apoyo socio económico.</t>
  </si>
  <si>
    <t>2022-09-15 09:13:04.0</t>
  </si>
  <si>
    <t>2022-08-22 11:29:50.0</t>
  </si>
  <si>
    <t>adquisición de elementos, artículos e insumos de papeleria requeridos para el desarrrollo de proyectos de investigación y planes de trabajo de semilleros de investigacion avalados institucionalmente en la universidad de cundinamarca</t>
  </si>
  <si>
    <t>2022-09-20 10:59:43.0</t>
  </si>
  <si>
    <t>2022-09-14 00:00:00.0</t>
  </si>
  <si>
    <t>adquisición de equipo tecnológico para los espacios académicos de las unidades regionales de la universidad de cundinamarca que operan en el campo de aprendizaje institucional</t>
  </si>
  <si>
    <t>2022-08-19 17:43:18.0</t>
  </si>
  <si>
    <t>2022-08-19 17:46:03.0</t>
  </si>
  <si>
    <t>adquisición de equipos de computo para el fortalecimiento de los recursos informáticos de la seccional girardot iii fase</t>
  </si>
  <si>
    <t>adquisición de equipos de computo portátiles para la biblioteca de la universidad de cundinamarca seccional girardot iii fase</t>
  </si>
  <si>
    <t>2022-08-26 12:06:52.0</t>
  </si>
  <si>
    <t>adquisición de pantallas interactivas par el laboratorio de aguas de la universidad cundinamarca, seccional girardot</t>
  </si>
  <si>
    <t>2022-09-16 10:01:32.0</t>
  </si>
  <si>
    <t>2022-09-16 10:02:23.0</t>
  </si>
  <si>
    <t>adquisición de equipo de lavado para el beneficio del café producido en la unidad agroambiental la esperanza de la universidad de cundinamarca, sede fusagasugá.</t>
  </si>
  <si>
    <t>2022-08-11 18:32:57.0</t>
  </si>
  <si>
    <t>2022-09-20 10:54:14.0</t>
  </si>
  <si>
    <t>dotación de mobiliario para  laboratorio biotecnología y genética facultad de ciencias agropecuarias, sede fusagasugá.</t>
  </si>
  <si>
    <t>2022-08-01 00:00:00.0</t>
  </si>
  <si>
    <t>adquisicion de lockers para el bloque académico de la universidad de cundinamarca seccional girardot</t>
  </si>
  <si>
    <t>2022-08-26 12:08:00.0</t>
  </si>
  <si>
    <t>2022-09-13 10:06:06.0</t>
  </si>
  <si>
    <t>adquisicion de mobiliario para las sedes seccionales y extensiones de la universidad de cundinamarca</t>
  </si>
  <si>
    <t>2022-09-30 17:30:36.0</t>
  </si>
  <si>
    <t>adquisición de mobiliario para las sedes seccionales y extensiones de la universidad de cundinamarca</t>
  </si>
  <si>
    <t>2022-09-30 17:31:11.0</t>
  </si>
  <si>
    <t>2022-09-30 17:32:31.0</t>
  </si>
  <si>
    <t>2022-09-30 17:28:56.0</t>
  </si>
  <si>
    <t>adquisición de encordados para violin y encordados para guitarra requeridos para el desarrrollo de proyectos de investigación avalados institucionalmente en la universidad de cundinamarca</t>
  </si>
  <si>
    <t>634</t>
  </si>
  <si>
    <t>639</t>
  </si>
  <si>
    <t>2022-09-20 10:41:18.0</t>
  </si>
  <si>
    <t>2022-09-20 10:57:27.0</t>
  </si>
  <si>
    <t>2022-09-30 17:31:57.0</t>
  </si>
  <si>
    <t>suministro e instalación de mobiliario y divisiones de oficina para la primera fase de la nueva edificación de la extensión zipaquirá de la universidad de cundinamarca.</t>
  </si>
  <si>
    <t>2022-08-17 11:28:57.0</t>
  </si>
  <si>
    <t>adquisición de mobiliario para la adecuación de las 36 aulas destinadas para la zona cai (campos de aprendizaje institucionales) en las diferentes sede, seccionales y extensiones de la universidad de cundinamarca.</t>
  </si>
  <si>
    <t>2022-08-22 12:27:34.0</t>
  </si>
  <si>
    <t>adquisición de material pop para los eventos de congreso de graduados y grados ordinarios y extraordinarios del iipa2022 en los que participa y organiza la oficina de graduados o requeridos para su correcto funcionamiento, a nivel interno, en sedes, seccionales y extensiones</t>
  </si>
  <si>
    <t>2022-08-05 11:37:17.0</t>
  </si>
  <si>
    <t>2022-08-17 11:29:20.0</t>
  </si>
  <si>
    <t>2022-07-25 15:06:44.0</t>
  </si>
  <si>
    <t>2022-07-08 11:55:07.0</t>
  </si>
  <si>
    <t>2022-09-09 09:15:20.0</t>
  </si>
  <si>
    <t>2022-09-09 09:18:12.0</t>
  </si>
  <si>
    <t>2022-09-20 09:59:45.0</t>
  </si>
  <si>
    <t>2022-09-22 23:01:39.0</t>
  </si>
  <si>
    <t>contratación de cuatro (4) expertos temáticos para digitalizar los campos de aprendizaje disciplinar a cadi a lo cual contempla: actividades, instrucciones, contenidos, recursos educativos e instrumentos de recolección de datos y su configuración en moodle.</t>
  </si>
  <si>
    <t>prestar servicios profesionales como diseñ;ador instruccional para el diseñ;o y elaboración de los recursos educativos de los campos de aprendizaje, así como de cursos autogestionados que se lleven a cabo en el marco del medit por la oficina de educación virtual y a distancia de la universidad de cundinamarca.</t>
  </si>
  <si>
    <t>prestar servicios profesionales para asesorar a los programas académicos de pregrado y posgrado en la construcción de los cadi digitales de la oferta 2023 orientándolos en los factores tecno pedagógicos que soporta cada campo de aprendizaje digitalizado en la plataforma de aprendizaje institucional.</t>
  </si>
  <si>
    <t>prestar servicios en el diseñ;o y construcción de recursos educativos digitales en los cursos autogestionados de talento humano y cadi digitales de los programas de pregrado y postgrado.</t>
  </si>
  <si>
    <t xml:space="preserve">prestar servicios profesionales para el montaje productivo y revisión de los cursos autogestionados de talento humano y cadi digitales de los programas de pregrado y postgrado. </t>
  </si>
  <si>
    <t>380</t>
  </si>
  <si>
    <t>602</t>
  </si>
  <si>
    <t>603</t>
  </si>
  <si>
    <t>630</t>
  </si>
  <si>
    <t>650</t>
  </si>
  <si>
    <t>interventoría técnica, económica, financiera, jurídica, administrativa y ambiental de la construccion, del muro de cerramiento del lindero del costado norte de la universidad de cundinamarca sede fusagasugá.</t>
  </si>
  <si>
    <t>2022-08-29 12:11:52.0</t>
  </si>
  <si>
    <t xml:space="preserve">vinculación de personal académico requeridos para el desarrollo de proyectos de investigación avalados institucionalmente. </t>
  </si>
  <si>
    <t>vinculacion de cuatro (4)  personales academicos  requeridos en  la direccion de investigacion para contribuir en el fortalecimiento del proceso de ciencia tecnologia e innovacion de la universidad de cundinamarca</t>
  </si>
  <si>
    <t>pares evaluadores externos para la evaluación de diez y nueve (19) artículos para publicación del volumen 8 de la revista ciencias agropecuarias</t>
  </si>
  <si>
    <t>pares evaluadores externos que realizaran la evaluación de diez (10) artículos para publicación del volumen 1 de la revista arte y creación</t>
  </si>
  <si>
    <t xml:space="preserve">prestar los servicios profesionales como editor de la revista de la facultad de ciencias agropecuarias a fin de fortalecer e incrementar la productividad científica y tecnológica de la universidad de cundinamarca y lograr su indexación_x000D_
</t>
  </si>
  <si>
    <t>533</t>
  </si>
  <si>
    <t>561</t>
  </si>
  <si>
    <t>564</t>
  </si>
  <si>
    <t>647</t>
  </si>
  <si>
    <t>656</t>
  </si>
  <si>
    <t>2022-08-10 17:01:17.0</t>
  </si>
  <si>
    <t>2022-08-22 17:45:48.0</t>
  </si>
  <si>
    <t>2022-08-22 17:53:27.0</t>
  </si>
  <si>
    <t>2022-09-21 11:31:11.0</t>
  </si>
  <si>
    <t>2022-09-30 16:53:42.0</t>
  </si>
  <si>
    <t xml:space="preserve">pares evaluadores externos para la evaluación de diez y nueve (19) artículos para publicación del volumen 8 de la revista ciencias agropecuarias_x000D_
</t>
  </si>
  <si>
    <t>2022-08-22 17:53:07.0</t>
  </si>
  <si>
    <t>construcción de la primera fase de la nueva sede de la extensión zipaquirá de la universidad de cundinamarca</t>
  </si>
  <si>
    <t>solicitud de prorroga y adicion no 1 para el contrato de interventoria no f-ctc- 219 de 2020</t>
  </si>
  <si>
    <t>2022-07-28 17:17:13.0</t>
  </si>
  <si>
    <t>solicitud de prorroga y adición al contrato f-ctc 264 de 2021, objeto de contrato "contratar la consultoría para los diseñ;os, estudios y cálculos para el cerramiento, áreas de vigilancia y postes de iluminación para el lote ubicado en el sector de puente aranda en la ciudad de bogotá de la universidad de cundinamarca</t>
  </si>
  <si>
    <t>2022-09-21 11:27:57.0</t>
  </si>
  <si>
    <t>2022-07-12 17:44:21.0</t>
  </si>
  <si>
    <t>2022-08-04 09:22:24.0</t>
  </si>
  <si>
    <t xml:space="preserve">vinculación del personal ops de la dirección de investigación para contribuir en el fortalecimiento del proceso de ciencia tecnología e innovación de la universidad de cundinamarca. </t>
  </si>
  <si>
    <t>vinculación de dos (2) ops requeridas para el iipa 2022 en la dirección de investigación.</t>
  </si>
  <si>
    <t>397</t>
  </si>
  <si>
    <t>512</t>
  </si>
  <si>
    <t>contratar cuatro profesionales para el centro de desarrollo tecnológico de la universidad de cundinamarca.</t>
  </si>
  <si>
    <t>2022-09-27 18:11:38.0</t>
  </si>
  <si>
    <t>contratación de personal por prestación de servicios para la oficina de bienestar universitario en el segundo periodo académico 2022.</t>
  </si>
  <si>
    <t>2022-07-08 17:40:39.0</t>
  </si>
  <si>
    <t>2022-07-25 15:07:40.0</t>
  </si>
  <si>
    <t>2022-08-04 09:24:01.0</t>
  </si>
  <si>
    <t>2022-08-31 15:29:07.0</t>
  </si>
  <si>
    <t>prestar servicios profesionales para el apoyo y gestión de los sistemas del proceso de internacionalización, y que contribuyan al cumplimiento de metas del proceso y de la política dialogando con el mundo.</t>
  </si>
  <si>
    <t xml:space="preserve">prestar los servicios profesionales como asesor en la consolidación de la información en el aplicativo de autoevaluación y acreditación con su respectivo diligenciamiento y análisis con evidencias, en lo correspondiente al proceso dialogando con el mundo _x000D_
_x000D_
</t>
  </si>
  <si>
    <t>514</t>
  </si>
  <si>
    <t>592</t>
  </si>
  <si>
    <t>2022-08-08 11:02:30.0</t>
  </si>
  <si>
    <t>prestar servicios profesionales para apoyar la implementación del plan de acción de educación superior inclusiva en articulación con las áreas y dependencias ii pa 2022</t>
  </si>
  <si>
    <t>2022-07-06 18:15:12.0</t>
  </si>
  <si>
    <t>2022-07-15 09:14:07.0</t>
  </si>
  <si>
    <t>2022-07-15 09:16:58.0</t>
  </si>
  <si>
    <t>2022-07-18 18:37:50.0</t>
  </si>
  <si>
    <t>2022-07-19 12:24:06.0</t>
  </si>
  <si>
    <t>2022-07-21 09:37:57.0</t>
  </si>
  <si>
    <t>2022-07-21 19:19:26.0</t>
  </si>
  <si>
    <t>2022-08-11 17:12:07.0</t>
  </si>
  <si>
    <t>2022-08-26 10:33:14.0</t>
  </si>
  <si>
    <t>2022-08-26 10:33:34.0</t>
  </si>
  <si>
    <t>2022-09-02 09:20:29.0</t>
  </si>
  <si>
    <t>2022-09-02 10:09:17.0</t>
  </si>
  <si>
    <t>2022-09-15 09:17:10.0</t>
  </si>
  <si>
    <t>2022-09-28 09:01:20.0</t>
  </si>
  <si>
    <t>prestar servicios profesionales en la direccion de autoevaluacion y acreditacion coordinando y gestionando todas las actividades administrativas y de planeación en el marco de los procesos de aseguramiento de la calidad a traves del desarrollo de procesos estrategicos establecidos en la dirección.</t>
  </si>
  <si>
    <t>prestar servicios profesionales en la dirección de autoevaluación y acreditación y la dirección de posgrados, para elaborar el documento maestro (nueve condiciones de calidad definidas por el decreto 1330 de 2019 y la resolución 21795 de 2020), del programa especialización en educación, pedagogías, ruralidades y derechos humanos, modalidad virtual; incluyendo el proceso de sustentación ante órganos colegiados.</t>
  </si>
  <si>
    <t>prestar servicios profesionales en la dirección de autoevaluación y acreditación y la dirección de posgrados, para elaborar el documento maestro (nueve condiciones de calidad definidas por el decreto 1330 de 2019 y la resolución 21795 de 2020), del programa especialización en medición y evaluación psicológica, modalidad virtual; incluyendo el proceso de sustentación ante órganos colegiados.</t>
  </si>
  <si>
    <t>prestar servicios profesionales apoyando la construccion y verificación de condiciones de calidad de los documentos maestros con miras a la obtencion y renovación de registros calificados de programas academicos, de acuerdo a la normatividad vigente y a las necesidades de la dirección en de autoevaluacion y acreditacion</t>
  </si>
  <si>
    <t>prestar servicios profesionales en la direccion de autoevaluacion y acreditacion asesorando y gestionando las actividades derivadas del proceso de autoevaluación institucional  de programas incluyendo los ejercicios de ponderación de acuerdo a los lineamientos de acreditación de la universidad</t>
  </si>
  <si>
    <t>prestar servicios profesionales gestionando y ejecutando las actividades de caracter estratégico y administrativo en el marco de los procesos de registro calificado y de acreditación en alta calidad de la dirección de autoevaluación y acreditación conforme a la normatividad interna y externa vigente</t>
  </si>
  <si>
    <t>prestar servicios profesionales en la dirección de autoevaluación y acreditación asesorando y apoyando la construcción de documentos maestros asociados a la nueva oferta académica de la universidad de cundinamarca dentro de los procesos de obtención de registro calificado y de la acreditación en alta calidad</t>
  </si>
  <si>
    <t>prestar servicios profesionales para el acompanamiento en revision y ajuste documental de caracter tecnico en el marco de la relacion docencia servicio para los programas academicos con practicas asistenciales de la universidad de cundinamarca de acuerdo a la normatividad vigente para los procesos de registro calificado.</t>
  </si>
  <si>
    <t>prestar servicios profesionales en el acompañ;amiento, asesoría y revisión de la construcción documentos maestros en el marco de los procesos de registro calificado y de acreditación en alta calidad que adelanta la dirección de autoevaluación y acreditación de acuerdo a la normatividad vigente, decreto 1330 de 2019, resolución 021795 de 2020 del men y acuerdo 02 de 2020 del cesu</t>
  </si>
  <si>
    <t>prestar servicios profesionales en la dirección de autoevaluación y acreditación asesorando la sensibilización, ejecución y despliegue del ejercicio de ponderación institucional y de programas académicos de acuerdo a los lineamientos de acreditación de la universidad de cundinamarca y normatividad vigente</t>
  </si>
  <si>
    <t>prestar servicios profesionales asesorando la articulación entre los objetivos misionales de las sedes, seccionales, extensiones, dependencias y programas de la universidad de cundinamarca, con sus acciones estratégicas enmarcadas en las fases de autoevaluación y de los lineamientos de acreditación en alta calidad de la ucundinamarca</t>
  </si>
  <si>
    <t>prestar servicios profesionales asesorando la la construccion, orientacion y verificacion de procesos de aseguramiento de la calidad academica en coherencia con el decreto 1330 de 2019 y la resolución 021795 de 2020 del ministerio de educacion y lineamientos de la dirección de autoevaluación y acreditación</t>
  </si>
  <si>
    <t>prestar servicios profesionales en la direccion de autoevaluacion y acreditacion asesorando la construccion y verificacion de condiciones de calidad en los procesos de obtencion y renovacion de registros calificados de programas academicos vigencia 2022</t>
  </si>
  <si>
    <t>otrosi 01 al anexo de personal académico no. 007 de 2022 cuyo objeto contractual es " prestar servicios profesionales desarrollando gestión y soporte academico en los procesos de autoevaluación institucional y de programas, en coherencia con la normatividad vigente y lineamientos institucionales</t>
  </si>
  <si>
    <t>contratación de cuatro órdenes de prestación de servicios profesionales en la dirección de autoevaluación y acreditación, diseñ;ando y construyendo documentos maestros de programas académicos de pregrado en modalidad presencial, en cumplimiento de los requisitos establecidos en la resolución 021795 de 2020 del men y la normatividad interna vigente.</t>
  </si>
  <si>
    <t>375</t>
  </si>
  <si>
    <t>411</t>
  </si>
  <si>
    <t>420</t>
  </si>
  <si>
    <t>431</t>
  </si>
  <si>
    <t>435</t>
  </si>
  <si>
    <t>436</t>
  </si>
  <si>
    <t>445</t>
  </si>
  <si>
    <t>446</t>
  </si>
  <si>
    <t>534</t>
  </si>
  <si>
    <t>572</t>
  </si>
  <si>
    <t>573</t>
  </si>
  <si>
    <t>596</t>
  </si>
  <si>
    <t>597</t>
  </si>
  <si>
    <t>623</t>
  </si>
  <si>
    <t>655</t>
  </si>
  <si>
    <t>2022-07-08 11:56:19.0</t>
  </si>
  <si>
    <t>2022-08-23 08:42:28.0</t>
  </si>
  <si>
    <t>prestar servicios de consultoría para el fortalecimiento del proceso de planeación física en la oficina de planeación de la universidad de cundinamarca.</t>
  </si>
  <si>
    <t xml:space="preserve">prestar servicios de consultoría para el acompañ;amiento y fortalecimiento del proceso de planeación física en la oficina de planeación de la universidad de cundinamarca. </t>
  </si>
  <si>
    <t>382</t>
  </si>
  <si>
    <t>565</t>
  </si>
  <si>
    <t>2022-07-18 18:52:29.0</t>
  </si>
  <si>
    <t>contratación del personal de la unidad de marketing digital para el segundo periodo académico del 2022.</t>
  </si>
  <si>
    <t>2022-08-04 15:46:18.0</t>
  </si>
  <si>
    <t>contratación de ordenes de prestación de servicios para la oficina de archivo y correspondencia, correspondiente al segundo periodo del añ;o 2022-2</t>
  </si>
  <si>
    <t>2022-07-29 16:25:55.0</t>
  </si>
  <si>
    <t>contratacion del personal para el ii periodo academico del sistema de gestion ambiental</t>
  </si>
  <si>
    <t>2022-07-26 16:44:42.0</t>
  </si>
  <si>
    <t>2022-08-08 14:52:38.0</t>
  </si>
  <si>
    <t>2022-08-16 10:42:19.0</t>
  </si>
  <si>
    <t>contratar la auditoria de otorgamiento de tercera parte segun la norma iso 9001:2015 para el sistema de gestion de la calidad de la universidad de cundinamarca</t>
  </si>
  <si>
    <t>servicio técnico para el mantenimiento de la licencia del software para la automatización de procesos en la universidad de cundinamarca.</t>
  </si>
  <si>
    <t>483</t>
  </si>
  <si>
    <t>543</t>
  </si>
  <si>
    <t>2022-07-13 08:27:49.0</t>
  </si>
  <si>
    <t>2022-08-26 16:26:55.0</t>
  </si>
  <si>
    <t>2022-09-15 09:38:49.0</t>
  </si>
  <si>
    <t>prestar servicios profesionales como apoyo a la gestion de proyectos de tecnologia en la universidad de cundinamarca</t>
  </si>
  <si>
    <t>contratación de cuatro profesionales con experiencia idónea para apoyar las actividades de la dirección de sistemas y tecnología</t>
  </si>
  <si>
    <t>prestar servicios para el desarrollo y gestión de aplicaciones propias, los cuales dan cumplimiento a las necesidades de las diferentes unidades de la universidad</t>
  </si>
  <si>
    <t>400</t>
  </si>
  <si>
    <t>579</t>
  </si>
  <si>
    <t>624</t>
  </si>
  <si>
    <t>2022-08-11 00:00:00.0</t>
  </si>
  <si>
    <t>2022-09-20 10:06:56.0</t>
  </si>
  <si>
    <t>2022-09-20 10:30:29.0</t>
  </si>
  <si>
    <t xml:space="preserve">otro si al contrato f-cps-224-2021con objeto: ã¢a¬åproducir y hacer entrega a la universidad de cundinamarca de ciento treinta (130) recursos educativos digitales, con nivel de interacción 2, de los programas de pregrado en proceso de resignificación curricular de las de las facultades de ciencias agropecuarias, ciencias administrativas económicas y contables, ciencias de la salud e ingenieríaã¢a¬a </t>
  </si>
  <si>
    <t>prestar servicios profesionales en el despliegue de la operación de la plataforma de aprendizaje moodle en las instancias de pregrado, postgrado, institución y mooc en nube publica y privada, asesorando las implementaciones necesarias para atender los requerimientos en el marco del medit.</t>
  </si>
  <si>
    <t>632</t>
  </si>
  <si>
    <t>633</t>
  </si>
  <si>
    <t>2022-07-28 17:03:43.0</t>
  </si>
  <si>
    <t>2022-08-26 16:26:27.0</t>
  </si>
  <si>
    <t>implementación de estrategias mediante el diseñ;o y desarrollo del nuevo micrositio del sistema de gestión de seguridad de la información- sgsi y tratamiento de datos.</t>
  </si>
  <si>
    <t>contratación de tres profesionales con experiencia idónea para apoyar las actividades de la dirección de sistemas y tecnología</t>
  </si>
  <si>
    <t>488</t>
  </si>
  <si>
    <t>578</t>
  </si>
  <si>
    <t>analisis fisico quimico de aguas suelos, abonos organicos.bromatologicos, tejido foliar para las unidades agroambientales la esperanza  y el tibar de la universidad de cundinamarca</t>
  </si>
  <si>
    <t>realizar pruebas de genotipado, fertilidad y empaquetado de pajillas a los semovientes bovinos de la unidad agroambiental la esperanza de la universidad de cundinamarca.</t>
  </si>
  <si>
    <t>2022-08-16 10:44:25.0</t>
  </si>
  <si>
    <t>2022-09-13 10:34:14.0</t>
  </si>
  <si>
    <t>545</t>
  </si>
  <si>
    <t>617</t>
  </si>
  <si>
    <t>evaluación de la calidad de agua del sistema de embalses de facatativá y la tendencia a la eutrofización mediante métodos fisicoquímicos y biológicos (imágenes satelitales de alta resolución )</t>
  </si>
  <si>
    <t>2022-09-13 10:30:04.0</t>
  </si>
  <si>
    <t>2022-08-11 18:33:11.0</t>
  </si>
  <si>
    <t>2022-09-13 10:33:45.0</t>
  </si>
  <si>
    <t>realizacion de pruebas de brucelosis y tuberculosis bovina a los semovientes bovinos de las unidades agroambientales la esperanza y el tibar de la universidad de cundinamarca</t>
  </si>
  <si>
    <t>539</t>
  </si>
  <si>
    <t>616</t>
  </si>
  <si>
    <t>2022-09-20 11:01:56.0</t>
  </si>
  <si>
    <t>2022-07-25 15:07:23.0</t>
  </si>
  <si>
    <t>2022-09-20 10:50:43.0</t>
  </si>
  <si>
    <t>2022-09-20 11:04:02.0</t>
  </si>
  <si>
    <t>adquisición de elementos e insumos de bioseguridad requeridos para el desarrollo de proyectos de investigación y planes de trabajo de semilleros de investigacion avalados institucionalmente en la universidad de cundinamarca</t>
  </si>
  <si>
    <t>637</t>
  </si>
  <si>
    <t>642</t>
  </si>
  <si>
    <t>2022-09-20 11:29:36.0</t>
  </si>
  <si>
    <t>2022-07-08 17:45:38.0</t>
  </si>
  <si>
    <t xml:space="preserve">financiar los gastos de la dirección de investigación para el fortalecimiento de los procesos de ciencia tecnologia e innovacion (fondo renovable- de conformidad con la resolución 162 de 2019)_x000D_
</t>
  </si>
  <si>
    <t>2022-07-25 00:00:00.0</t>
  </si>
  <si>
    <t>2022-07-27 18:53:47.0</t>
  </si>
  <si>
    <t>adecuaciones y reparaciones locativas para la sala de docentes extension facatativa de la universidad de cundinamarca</t>
  </si>
  <si>
    <t>adecuaciones y reparaciones locativas para la sala de docentes seccional girardot de la universidad de cundinamarca</t>
  </si>
  <si>
    <t>466</t>
  </si>
  <si>
    <t>485</t>
  </si>
  <si>
    <t>construcción muro de cerramiento del recorrido sobre el lindero norte del campus, sede fusagasugá.</t>
  </si>
  <si>
    <t>2022-07-25 11:26:01.0</t>
  </si>
  <si>
    <t>2022-08-23 10:17:37.0</t>
  </si>
  <si>
    <t>adecuación del terreno para la vía carreteable que conduce al parqueadero de la unidad agroambiental el_x000D_
vergel de la extensión facatativá</t>
  </si>
  <si>
    <t>2022-08-19 17:41:30.0</t>
  </si>
  <si>
    <t>2022-08-19 17:41:56.0</t>
  </si>
  <si>
    <t>2022-08-31 15:29:54.0</t>
  </si>
  <si>
    <t>2022-09-22 22:56:32.0</t>
  </si>
  <si>
    <t>pago de inscripción, para participar como asistentes al evento exporecreaciãn 2022 are encuentrosa¿ recrear el arte de vivira a los cuatro (4) docentes maximiliano quintero reina, carlos alberto romero, jhon mauricio medellín y eduar alonso ceballos bernal.</t>
  </si>
  <si>
    <t>resignificar curricularmente los programas académicos de pregrado y de posgrado en articulación con el peu, el modelo educativo digital transnmoderno-medit- y por tanto con el contexto nacional e internacional. en consecuencia, se transforman las prácticas de los profesores, los procesos de evaluación de los aprendizajes y se promueve el mejoramiento de los resultados de las pruebas saber.</t>
  </si>
  <si>
    <t>contribuir en el desarrollo de la resignificación curricular mediante el apoyo y acompañ;amiento en el proceso de convocatoria para la vinculación de los profesores de planta con el propósito de transformar las prácticas de los profesores, los procesos de evaluación de los aprendizajes y el mejoramiento de los resultados de las pruebas saber.</t>
  </si>
  <si>
    <t>apoyar el proceso de despliegue de la resgnificiación curricular del programa académico música de la universidad de cundinamarca teniendo como base el peu, el modelo educativo digital transmoderno así como también el contexto nacional e internacional para el fortalecimiento de los procesos de evaluación de los aprendizajes y las prácticas de los profesores.</t>
  </si>
  <si>
    <t>prestar servicios profesionales en el marco de la resignificación curricular asesorando los programas académicos en los procesos relacionados con los registros calificados y en la ruta de acreditación como factor estratégico en la verificación de las condiciones de calidad producto de la autoevaluación institucional en la transformación de las prácticas de los profesores, los procesos de evaluación de los aprendizajes y en la construcción curricular.</t>
  </si>
  <si>
    <t>505</t>
  </si>
  <si>
    <t>551</t>
  </si>
  <si>
    <t>552</t>
  </si>
  <si>
    <t>593</t>
  </si>
  <si>
    <t>649</t>
  </si>
  <si>
    <t>2022-08-12 10:13:04.0</t>
  </si>
  <si>
    <t>2022-08-19 17:42:16.0</t>
  </si>
  <si>
    <t>adición al proceso cuyo objeto, "pagar las inscripciones a los congresos ponencias, seminarios, talleres, actualizaciones, simposios, foros, y mesas de trabajo dentro de la vigencia 2022, en los cuales participe personal administrativo de planta teniendo correlación a su área de desempeñ;o"</t>
  </si>
  <si>
    <t>tercera adición al proceso cuyo objeto, "pagar las inscripciones a los congresos ponencias, seminarios, talleres, actualizaciones, simposios, foros, y mesas de trabajo dentro de la vigencia 2022,en los cuales participe personal administrativo de planta teniendo correlación a su área de desempeñ;o"</t>
  </si>
  <si>
    <t>541</t>
  </si>
  <si>
    <t>553</t>
  </si>
  <si>
    <t>2022-07-08 17:38:05.0</t>
  </si>
  <si>
    <t>2022-07-25 15:06:27.0</t>
  </si>
  <si>
    <t>contratación anexos de personal académico para la oficina de bienestar universitario en el segundo periodo académico 2022.</t>
  </si>
  <si>
    <t>383</t>
  </si>
  <si>
    <t>469</t>
  </si>
  <si>
    <t>2022-07-21 12:06:22.0</t>
  </si>
  <si>
    <t>2022-07-21 12:06:49.0</t>
  </si>
  <si>
    <t>2022-07-28 17:03:08.0</t>
  </si>
  <si>
    <t>2022-08-10 17:00:17.0</t>
  </si>
  <si>
    <t>2022-08-12 10:10:38.0</t>
  </si>
  <si>
    <t>2022-08-26 17:48:48.0</t>
  </si>
  <si>
    <t>2022-08-29 12:16:55.0</t>
  </si>
  <si>
    <t>2022-08-31 19:59:06.0</t>
  </si>
  <si>
    <t>pago de inscripción para participar como asistente a encuentro internacional de educación en ingeniera acofi, nuevas realidades para la educación en ingeniería, currículo, tecnología, medio ambiente y desarrollo, que se realizará en cartagena del 13 al 16 de septiembre de 2022, a los docentes ana lucia hurtado mesa, edgar eduardo roa guerrero, jesús enrique pabón quintero, jaime orlando parra gonzalez.</t>
  </si>
  <si>
    <t>pago de inscripción para participar como asistente a la docente rubiela bello rodriguez a encuentro internacional de educación en ingeniera acofi, nuevas realidades para la educación en ingeniería, currículo, tecnología, medio ambiente y desarrollo, que se realizará en cartagena del 13 al 16 de septiembre de 2022</t>
  </si>
  <si>
    <t xml:space="preserve">financiamiento para la participación de un (1) docente perteneciente a la facultad de ciencias agropecuarias  en el curso análisis de la genética y genómica molecular 2022  </t>
  </si>
  <si>
    <t xml:space="preserve">pago de inscripción de cuatro (4) docentes tco con funciones administrativas  pertenecientes a la facultad de  ciencias administrativas económicas y contables participar como asistentes a la  "ix cumbre incp". </t>
  </si>
  <si>
    <t>pago de inscripción a para asistir a dos docentes (2) al xxi coloquio nacional de investigación en enfermería- trascendiendo en el cuidado: retos y perspectivas de enfermería, pertenecientes a la facultad de ciencias de la salud.</t>
  </si>
  <si>
    <t xml:space="preserve">pago de inscripción a tres (3) docentes con funciones administrativas pertenecientes a la facultad de ciencias administrativas económicas y contables  a la "conferencia 2022" de la asociación colombiana de facultades de administración "ascolfa"  </t>
  </si>
  <si>
    <t xml:space="preserve">pago para inscripción de un (1) docente para la participación en congreso acofi 2022 perteneciente a la facultad de ciencias agropecuarias </t>
  </si>
  <si>
    <t>pago de inscripción para quince (15) docentes para participar como asistentes al iv congreso nacional e internacional de simulación clínica en ciencias de la salud, pertenecientes a la facultad de ciencias de la salud.</t>
  </si>
  <si>
    <t>437</t>
  </si>
  <si>
    <t>438</t>
  </si>
  <si>
    <t>532</t>
  </si>
  <si>
    <t>540</t>
  </si>
  <si>
    <t>587</t>
  </si>
  <si>
    <t>594</t>
  </si>
  <si>
    <t>2022-07-26 12:05:44.0</t>
  </si>
  <si>
    <t>2022-07-26 12:06:17.0</t>
  </si>
  <si>
    <t>2022-07-26 12:06:39.0</t>
  </si>
  <si>
    <t>prestar servicios como personal académico para orientar el diplomado: diversidad como propósito educativo de vicerrectoría académica para ii pa 2022</t>
  </si>
  <si>
    <t>prestar servicio como personal académico para orientar diplomado educación inclusiva, diversidad y estrategias pedagógicas de vicerrectoría académica para ii pa 2022</t>
  </si>
  <si>
    <t>prestar servicios profesionales para diseñ;o y construcción de plan de aprendizaje digital, recursos digitales, diseñ;o instruccional e instrumentos de recolección de información del curso virtual: recursos digitales accesibles (equivalente a un crédito académico)</t>
  </si>
  <si>
    <t>476</t>
  </si>
  <si>
    <t>477</t>
  </si>
  <si>
    <t>478</t>
  </si>
  <si>
    <t>2022-03-24 10:14:44.0</t>
  </si>
  <si>
    <t>2022-03-24 10:15:07.0</t>
  </si>
  <si>
    <t>2022-03-24 10:15:18.0</t>
  </si>
  <si>
    <t>2022-07-13 17:37:46.0</t>
  </si>
  <si>
    <t>2022-07-14 16:20:04.0</t>
  </si>
  <si>
    <t>2022-07-15 09:14:36.0</t>
  </si>
  <si>
    <t>2022-07-15 09:14:55.0</t>
  </si>
  <si>
    <t>2022-07-15 09:15:12.0</t>
  </si>
  <si>
    <t>2022-07-15 09:15:40.0</t>
  </si>
  <si>
    <t>2022-07-15 09:15:56.0</t>
  </si>
  <si>
    <t>2022-07-15 09:16:10.0</t>
  </si>
  <si>
    <t>2022-08-26 10:32:13.0</t>
  </si>
  <si>
    <t xml:space="preserve">prestar servicios profesionales en la dirección de autoevaluación y acreditación y la dirección de posgrados, para elaborar el documento maestro (nueve condiciones de calidad definidas por el decreto 1330 de 2019 y la resolución 21795 de 2020), del programa maestría en dirección y administración de las organizaciones, modalidad virtual; incluyendo el proceso de sustentación ante órganos colegiados._x000D_
</t>
  </si>
  <si>
    <t>prestar servicios profesionales en la dirección de autoevaluación y acreditación y la dirección de posgrados, para elaborar el documento maestro (nueve condiciones de calidad definidas por el decreto 1330 de 2019 y la resolución 21795 de 2020), del programa maestría en automatización de software y procesos industriales, modalidad virtual; incluyendo el proceso de sustentación ante órganos colegiados.</t>
  </si>
  <si>
    <t>prestar servicios profesionales en la dirección de autoevaluación y acreditación y la dirección de posgrados, para elaborar el documento maestro (nueve condiciones de calidad definidas por el decreto 1330 de 2019 y la resolución 21795 de 2020), del programa especialización en cuidado de enfermería al paciente en urgencias, modalidad virtual; incluyendo el proceso de sustentación ante órganos colegiados.</t>
  </si>
  <si>
    <t>prestar servicios profesionales en la dirección de autoevaluación y acreditación y la dirección de posgrados, para elaborar el documento maestro (nueve condiciones de calidad definidas por el decreto 1330 de 2019 y la resolución 21795 de 2020), del programa especialización en producción musical, modalidad virtual; incluyendo el proceso de sustentación ante órganos colegiados.</t>
  </si>
  <si>
    <t>prestar servicios profesionales en la dirección de autoevaluación y acreditación y la dirección de posgrados, para elaborar el documento maestro (nueve condiciones de calidad definidas por el decreto 1330 de 2019 y la resolución 21795 de 2020), del programa especialización en dirección musical, modalidad virtual; incluyendo el proceso de sustentación ante órganos colegiados.</t>
  </si>
  <si>
    <t>prestar servicios profesionales en la dirección de autoevaluación y acreditación y la dirección de posgrados, para elaborar el documento maestro (nueve condiciones de calidad definidas por el decreto 1330 de 2019 y la resolución 21795 de 2020), del programa especialización en gestión y desarrollo de la actividad física y el deporte, modalidad virtual; incluyendo el proceso de sustentación ante órganos colegiados.</t>
  </si>
  <si>
    <t>prestar servicios profesionales en la dirección de autoevaluación y acreditación y la dirección de posgrados, para elaborar el documento maestro (nueve condiciones de calidad definidas por el decreto 1330 de 2019 y la resolución 21795 de 2020), del programa especialización en intervención psicosocial para el cuidado, salud y el bienestar, modalidad virtual; incluyendo el proceso de sustentación ante órganos colegiados.</t>
  </si>
  <si>
    <t>prestar servicios profesionales en la dirección de autoevaluación y acreditación y la dirección de posgrados, para elaborar el documento maestro (nueve condiciones de calidad definidas por el decreto 1330 de 2019 y la resolución 21795 de 2020), del programa especialización en deporte escolar, modalidad virtual; incluyendo el proceso de sustentación ante órganos colegiados.</t>
  </si>
  <si>
    <t>prestar     servicios     profesiones     en     la     dirección     de autoevaluación  y  acreditación  y  la  dirección  de  posgrados,  para elaborar  el  documento  maestro  (nueve  condiciones  de  calidad definidas por el decreto 1330 de 2019 y la resolución 21795 de 2020), de los programas especialización en gerencia financiera y contable, y  especialización en gestión tributaria, modalidad virtual; incluyendo el proceso de sustentación ante órganos colegiados</t>
  </si>
  <si>
    <t>402</t>
  </si>
  <si>
    <t>407</t>
  </si>
  <si>
    <t>412</t>
  </si>
  <si>
    <t>413</t>
  </si>
  <si>
    <t>414</t>
  </si>
  <si>
    <t>416</t>
  </si>
  <si>
    <t>417</t>
  </si>
  <si>
    <t>418</t>
  </si>
  <si>
    <t>571</t>
  </si>
  <si>
    <t>2022-07-08 17:47:47.0</t>
  </si>
  <si>
    <t>2022-07-11 11:51:14.0</t>
  </si>
  <si>
    <t>2022-08-08 11:23:32.0</t>
  </si>
  <si>
    <t>2022-08-08 11:26:05.0</t>
  </si>
  <si>
    <t>2022-08-09 09:16:32.0</t>
  </si>
  <si>
    <t>2022-08-31 08:48:09.0</t>
  </si>
  <si>
    <t>2022-09-12 17:53:17.0</t>
  </si>
  <si>
    <t xml:space="preserve">inscripcion de los estudiantes semilleristas  con proyectos avalados para garantizar su presentación y participación en el xx encuentro regional de semilleros de investigación aredcolsi </t>
  </si>
  <si>
    <t>inscripciones de cuatro docentes de la facultad de ingeniería: andres felipe guerrero guerrero, edgar hernando criollo, faider humberto barrero sánchez y edwin palacios yepes quienes participarán en representación de la universidad de cundinamarca en calidad de ponentes en el encuentro internacional de educación en ingeniería acofi (eiei acofi 2022), que se realizará en la ciudad de cartagena de indias del 13 al 16 de septiembre de 2022.</t>
  </si>
  <si>
    <t>inscripción de la docente paola andrea valencia achuri quien participara en calidad de ponente en el xii congreso universitario internacional sobre contenidos, investigación, innovación y docencia a cuiciid, que se realizara de manera virtual el 5, 6 y 7 de octubre de 2022 en madrid a españ;a</t>
  </si>
  <si>
    <t>inscripción de la docente maria aldaya rodriguez para presentar el taller: propuestas metodológicas para la educación ambiental en el bosque seco tropicala proveniente del proyecto de investigación desarrollo de prototipos de negocios en biocomercio derivados de las cadenas sociales productivas localizadas en los senderos tradicionales de girardot y alto magdalena a partir de la vegetación del bosque seco tropical, en el congreso colombiano de ecología - cce 2022 "generación de conciencia para la toma de decisiones" a realizarse del 30 de agosto al 2 de septiembre 2022</t>
  </si>
  <si>
    <t>inscripción de la docente yeny liliana casas  méndez y  los  estudiantes: cristian  fabian  castro  santana y william steven villamil leon pertenecientes a la facultaddeingeniería,quienesparticiparánenrepresentacióndelauniversidaddecundinamarcaencalidaddeponentesenelencuentro  internacional  de  educación  en  ingeniería acofi (eiei acofi 2022), que se realizará en la ciudad de cartagena de indias del 13 al 16 de septiembre de 2022</t>
  </si>
  <si>
    <t>388</t>
  </si>
  <si>
    <t>392</t>
  </si>
  <si>
    <t>521</t>
  </si>
  <si>
    <t>525</t>
  </si>
  <si>
    <t>530</t>
  </si>
  <si>
    <t>591</t>
  </si>
  <si>
    <t>606</t>
  </si>
  <si>
    <t>2022-07-25 15:07:54.0</t>
  </si>
  <si>
    <t>2022-08-16 10:40:59.0</t>
  </si>
  <si>
    <t>organización y ejecución del encuentro deportivo y cultural presencial de graduados de la universidad de cundinamarca</t>
  </si>
  <si>
    <t>2022-09-14 12:32:22.0</t>
  </si>
  <si>
    <t>realización de video institucional para difundir la oferta de servicios, estrategias y acciones llevadas por la interacción social universitaria</t>
  </si>
  <si>
    <t>2022-07-06 18:14:43.0</t>
  </si>
  <si>
    <t>adquisición de bienes necesarios para realizar la campañ;a en el desarrollo del proceso de autoevaluación en sus correspondientes fases</t>
  </si>
  <si>
    <t>2022-09-14 12:34:59.0</t>
  </si>
  <si>
    <t>adquisición de bienes necesarios para el proceso de sensibilización, difusión y socialización de los servicios de interacción social universitaria</t>
  </si>
  <si>
    <t>2022-08-16 12:18:09.0</t>
  </si>
  <si>
    <t>iv convocatoria interna - periodo 2022- 2 ucundinamarca generación siglo 21 conformación del banco de proyectos elegibles y establecer la planeación y dedicación de los profesores a la función sustantiva de ciencia tecnología e innovación, con el fin de obtener productos académicos en el marco de los indicadores minciencias a fin de fortalecer los grupos de investigación mediante la financiación de proyectos de ctei translocales de alto impacto para el departamento de cundinamarca.</t>
  </si>
  <si>
    <t>fase ii a implementación de infraestructura de red y comunicaciones (sistema sipra, sistema uninterruptable power supply (ups), conexión de fibra óptica, cableado estructurado, red eléctrica, servicio wifi ) de la universidad de cundinamarca a extensión soacha.</t>
  </si>
  <si>
    <t>2022-07-27 18:36:02.0</t>
  </si>
  <si>
    <t>contratar la feria virtual laboral universitaria para graduados de la universidad de cundinamarca en sede, seccionales y extensiones</t>
  </si>
  <si>
    <t>organización y ejecución del cuarto congreso presencial de graduados de la ucundinamarca en las diferentes unidades regionales</t>
  </si>
  <si>
    <t>2022-08-16 10:42:54.0</t>
  </si>
  <si>
    <t>2022-09-07 09:20:09.0</t>
  </si>
  <si>
    <t>2022-09-30 17:06:10.0</t>
  </si>
  <si>
    <t>prestar servicio de logística para el desarrollo del evento "feria de transparencia universitaria vigencia 2022"</t>
  </si>
  <si>
    <t>2022-07-19 10:41:03.0</t>
  </si>
  <si>
    <t xml:space="preserve">servicio de plataforma práctica de citación y referencias bibliográficas para la universidad de cundinamarca en sus sedes seccionales y extensiones. </t>
  </si>
  <si>
    <t>2022-07-25 11:39:27.0</t>
  </si>
  <si>
    <t>2022-07-25 11:42:46.0</t>
  </si>
  <si>
    <t>2022-07-25 11:43:44.0</t>
  </si>
  <si>
    <t>2022-07-25 11:44:41.0</t>
  </si>
  <si>
    <t>2022-07-25 11:45:47.0</t>
  </si>
  <si>
    <t>2022-07-25 11:46:44.0</t>
  </si>
  <si>
    <t>2022-07-25 11:47:37.0</t>
  </si>
  <si>
    <t>2022-07-25 11:49:18.0</t>
  </si>
  <si>
    <t>2022-07-25 11:50:39.0</t>
  </si>
  <si>
    <t>2022-07-25 11:51:34.0</t>
  </si>
  <si>
    <t>2022-07-25 11:52:31.0</t>
  </si>
  <si>
    <t>2022-07-25 11:53:56.0</t>
  </si>
  <si>
    <t>2022-07-25 11:54:43.0</t>
  </si>
  <si>
    <t>2022-07-25 11:55:56.0</t>
  </si>
  <si>
    <t>2022-07-25 11:57:00.0</t>
  </si>
  <si>
    <t>2022-07-29 09:42:15.0</t>
  </si>
  <si>
    <t>2022-07-29 09:46:31.0</t>
  </si>
  <si>
    <t>2022-08-03 00:00:00.0</t>
  </si>
  <si>
    <t>2022-08-03 14:21:00.0</t>
  </si>
  <si>
    <t>2022-08-03 14:21:31.0</t>
  </si>
  <si>
    <t>servicio base de datos especializada con contenidos y publicaciones actualizadas en información jurídica, legislación y jurisprudencia para las bibliotecas de la universidad de cundinamarca en su sede, seccionales y extensiones.</t>
  </si>
  <si>
    <t>servicio base de datos multidisciplinar para los programas de administración de empresas contaduría pública ingeniería que oferta la universidad de cundinamarca en su sede seccionales extensiones</t>
  </si>
  <si>
    <t>servicio base de datos especializadas para el programa de enfermería que oferta la universidad de cundinamarca en la seccional girardot.</t>
  </si>
  <si>
    <t>servicio biblioteca digital especializada para la facultad de educación de la universidad de cundinamarca</t>
  </si>
  <si>
    <t>servicio base de datos multidisciplinar referencial y de citas bibliográficas para los programas que ofertan en la universidad de cundinamarca en su sede seccionales y extensiones</t>
  </si>
  <si>
    <t>servicio biblioteca digital editorial especializada para el programa administración de empresas y contaduría pública que oferta la universidad de cundinamarca en su sede, seccionales y extensiones</t>
  </si>
  <si>
    <t xml:space="preserve">servicio biblioteca digital multidisciplinar para los programas que oferta la universidad de cundinamarca en su sede, seccionales y extensiones
</t>
  </si>
  <si>
    <t>servicio biblioteca digital multieditorial multiusuario para las bibliotecas de la universidad de cundinamarca en su sede seccionales y extensiones</t>
  </si>
  <si>
    <t>servicio base de datos especializada en normas técnicas colombianas para las programas que oferta la universidad de cundinamarca en su sede seccionales y extensiones</t>
  </si>
  <si>
    <t>servicio plataforma electrónica de datos científicos en textos completos multidisciplinar para los programas que oferta la universidad de cundinamarca</t>
  </si>
  <si>
    <t>servicio base de datos proquest para las bibliotecas de la universidad de cundinamarca en su sede seccionales y extensiones</t>
  </si>
  <si>
    <t>servicio base de datos ieee/electronic library ebsco para las bibliotecas la universidad de cundinamarca en su sede seccionales y extensiones</t>
  </si>
  <si>
    <t>servicio base especializada en procesos administrativos e industriales  para los programas que oferta la universidad de cundinamarca en su sede seccionales y extensiones</t>
  </si>
  <si>
    <t>servicio biblioteca digital editorial especializada para el programa administración de empresas y enfermería que oferta la universidad de cundinamarca en su sede seccionales y extensiones</t>
  </si>
  <si>
    <t>servicios base de datos especializada en estatus y jurisprudencia biblioteca en línea de libros y revistas en analítica jurídica para las bibliotecas de la universidad de cundinamarca en su sede, seccionales y extensiones.</t>
  </si>
  <si>
    <t>servicio recurso electrónico especializado para el programa de música que oferta la universidad de cundinamarca en la extensión zipaquirá</t>
  </si>
  <si>
    <t>servicio plataforma electrónica multidisciplinar para los programas de pregrado posgrado y maestría que oferta la universidad cundinamarca en sede, seccionales y extensiones</t>
  </si>
  <si>
    <t>servicio base de datos biomédica especializada para el programa de enfermería que oferta la universidad de cundinamarca en la seccional girardot</t>
  </si>
  <si>
    <t>servicio base de datos bibliográfica multidisciplinar en literatura mundial de revistas electrónicas para las bibliotecas de la universidad de cundinamarca en sude, seccionales y extensiones</t>
  </si>
  <si>
    <t>servicio plataforma interactiva con contenidos científicos especializados para la facultad de ingeniería que oferta la universidad de cundinamarca en su sede seccionales y extensiones</t>
  </si>
  <si>
    <t>449</t>
  </si>
  <si>
    <t>450</t>
  </si>
  <si>
    <t>451</t>
  </si>
  <si>
    <t>452</t>
  </si>
  <si>
    <t>453</t>
  </si>
  <si>
    <t>454</t>
  </si>
  <si>
    <t>455</t>
  </si>
  <si>
    <t>456</t>
  </si>
  <si>
    <t>457</t>
  </si>
  <si>
    <t>458</t>
  </si>
  <si>
    <t>459</t>
  </si>
  <si>
    <t>460</t>
  </si>
  <si>
    <t>461</t>
  </si>
  <si>
    <t>462</t>
  </si>
  <si>
    <t>463</t>
  </si>
  <si>
    <t>492</t>
  </si>
  <si>
    <t>493</t>
  </si>
  <si>
    <t>508</t>
  </si>
  <si>
    <t>509</t>
  </si>
  <si>
    <t>510</t>
  </si>
  <si>
    <t>2022-08-26 17:51:39.0</t>
  </si>
  <si>
    <t>2022-09-12 11:46:27.0</t>
  </si>
  <si>
    <t xml:space="preserve">servicio de software de acceso y autenticación mas certificado de seguridad para ingreso a base de datos y bibliotecas digitales que frece la universidad de cundinamarca en su sede seccionales y extensiones._x000D_
_x000D_
</t>
  </si>
  <si>
    <t>servicio de sistema de gestión bibliotecaria para las bibliotecas de la universidad de cundinamarca</t>
  </si>
  <si>
    <t>584</t>
  </si>
  <si>
    <t>604</t>
  </si>
  <si>
    <t>2022-07-08 17:46:49.0</t>
  </si>
  <si>
    <t>2022-07-08 17:47:22.0</t>
  </si>
  <si>
    <t>2022-08-08 11:24:56.0</t>
  </si>
  <si>
    <t>2022-08-09 09:15:44.0</t>
  </si>
  <si>
    <t>2022-09-12 18:11:54.0</t>
  </si>
  <si>
    <t>financiar gastos de transporte  de cuatro docentes de la facultad de ingeniería: andres felipe guerrero guerrero, edgar hernando criollo, faider humberto barrero sánchez y edwin palacios yepes quienes participarán en representación de la universidad de cundinamarca en calidad de ponentes en el encuentro internacional de educación en ingeniería acofi (eiei acofi 2022), que se realizará en la ciudad de cartagena de indias del 13 al 16 de septiembre de 2022.</t>
  </si>
  <si>
    <t>financiar los gastos de transporte  de la docente maria aldaya rodriguez para presentar el taller: propuestas metodológicas para la educación ambiental en el bosque seco tropicala proveniente del proyecto de investigación desarrollo de prototipos de negocios en biocomercio derivados de las cadenas sociales productivas localizadas en los senderos tradicionales de girardot y alto magdalena a partir de la vegetación del bosque seco tropical, en el congreso colombiano de ecología - cce 2022 "generación de conciencia para la toma de decisiones" a realizarse del 30 de agosto al 2 de septiembre 2022</t>
  </si>
  <si>
    <t>387</t>
  </si>
  <si>
    <t>523</t>
  </si>
  <si>
    <t>529</t>
  </si>
  <si>
    <t>607</t>
  </si>
  <si>
    <t>2022-09-12 17:47:58.0</t>
  </si>
  <si>
    <t>caja menor n. 2 sistemas de gestión de calidad</t>
  </si>
  <si>
    <t>2022-08-24 11:04:35.0</t>
  </si>
  <si>
    <t>toma de citologías y antígeno prostático a la comunidad universitaria de la sede, seccionales y extensiones, con el ánimo de promover los hábitos de vida saludable, el autocuidado y el mejoramiento de la calidad de vida.</t>
  </si>
  <si>
    <t>2022-07-25 15:06:03.0</t>
  </si>
  <si>
    <t>2022-07-14 16:13:29.0</t>
  </si>
  <si>
    <t>digitalización de los archivos del área de tesorería, de la sede de fusagasugá</t>
  </si>
  <si>
    <t>2022-09-20 10:44:50.0</t>
  </si>
  <si>
    <t>2022-08-29 12:50:03.0</t>
  </si>
  <si>
    <t>dotar de elementos de vidriería el laboratorio de biotecnología y genética sede fusagasugá e hidráulica de la seccional de girardot, que faciliten el desarrollo de actividades académicas y de investigación de los programas de la facultad de ciencias agropecuarias de la universidad de cundinamarca.</t>
  </si>
  <si>
    <t>2022-08-29 12:51:24.0</t>
  </si>
  <si>
    <t>4020101040707-1</t>
  </si>
  <si>
    <t>4020201030207-1</t>
  </si>
  <si>
    <t>4020101040530-1</t>
  </si>
  <si>
    <t>4020201040530-1</t>
  </si>
  <si>
    <t>4020101040730-1</t>
  </si>
  <si>
    <t>4020201040730-1</t>
  </si>
  <si>
    <t>4020201040630-1</t>
  </si>
  <si>
    <t>4020201040830-1</t>
  </si>
  <si>
    <t>4020101040830-1</t>
  </si>
  <si>
    <t>4020201020730-1</t>
  </si>
  <si>
    <t>4020202080318-4</t>
  </si>
  <si>
    <t>4020202080323-3</t>
  </si>
  <si>
    <t>4020202050418-1</t>
  </si>
  <si>
    <t>668</t>
  </si>
  <si>
    <t>2022-10-04 09:17:16.0</t>
  </si>
  <si>
    <t>735</t>
  </si>
  <si>
    <t>2022-10-25 11:51:40.0</t>
  </si>
  <si>
    <t>768</t>
  </si>
  <si>
    <t>2022-11-02 09:05:49.0</t>
  </si>
  <si>
    <t>821</t>
  </si>
  <si>
    <t>2022-11-15 00:00:00.0</t>
  </si>
  <si>
    <t>actualizacion de la licencia auditbrain para la universidad de cundinamarca.</t>
  </si>
  <si>
    <t>actualización de la licencia del software para el entorno de desarrollo gráfico para el diseñ;o de aplicaciones de ingeniería, y del software para diseñ;o de circuitos y simulación spice para electrónica de potencia, analógica y digital en la educación y la investigación para la facultad de ingeniería de la universidad de cundinamarca.</t>
  </si>
  <si>
    <t>adquisicion de software especializado para las practicas de teoría del audio, fisiología del sonido y tecnologías midi del programa de musica de la universidad de cundinamarca</t>
  </si>
  <si>
    <t>actualizar la licencia maxqda y gams /miro para el programa de ingeniería industrial de la universidad de cundinamarca.</t>
  </si>
  <si>
    <t>adquisición de elementos de laboratorio y plásticos para el programa de ingeniería ambiental seccional girardot</t>
  </si>
  <si>
    <t>664</t>
  </si>
  <si>
    <t>2022-10-04 08:48:52.0</t>
  </si>
  <si>
    <t>663</t>
  </si>
  <si>
    <t>2022-10-04 08:47:39.0</t>
  </si>
  <si>
    <t>adquisición biblioteca digital colección 100 preguntas multidisciplinar para los programas que oferta la universidad de cundinamarca</t>
  </si>
  <si>
    <t>726</t>
  </si>
  <si>
    <t>2022-10-21 15:44:51.0</t>
  </si>
  <si>
    <t>adquisión de químicos e insumos para laboratorio biotecnología y genética facultad de ciencias agropecuarias, sede fusagasugá</t>
  </si>
  <si>
    <t>671</t>
  </si>
  <si>
    <t>2022-10-04 20:46:22.0</t>
  </si>
  <si>
    <t>672</t>
  </si>
  <si>
    <t>2022-10-04 20:47:20.0</t>
  </si>
  <si>
    <t>ADQUIRIR SETS DE SIMULACIÓN PARA LA IMPLEMENTACIÓN DELLABORATORIO DE LOGÍSTICA INDUSTRIAL EN LA UNIVERSIDAD DECUNDINAMARCA, EXTENSIÓN SOACHA.</t>
  </si>
  <si>
    <t>ADQUISICIÓN Y RENOVACIÓN DE LOS EQUIPOS TECNOLÓGICOS EINSUMOS NECESARIOS EN LOS LABORATORIOS DEL LOS PROGRAMAS DEINGENIERÍA ELECTRÓNICA, SISTEMAS, PSICOLOGÍA E IDIOMAS DE LAUNIVERSIDAD DE CUNDINAMARCA</t>
  </si>
  <si>
    <t>solicitud de adición de la orden de compra número 96879 que tiene por objeto adquisición de equipos electrónicos para sedes, extensiones y seccionales de la universidad de cundinamarca</t>
  </si>
  <si>
    <t>730</t>
  </si>
  <si>
    <t>2022-10-21 00:00:00.0</t>
  </si>
  <si>
    <t>732</t>
  </si>
  <si>
    <t>adquisición de elementos educativos, electrónicos y de audio del auditorio extensión chía universidad de cundinamarca.</t>
  </si>
  <si>
    <t>715</t>
  </si>
  <si>
    <t>2022-10-19 09:39:43.0</t>
  </si>
  <si>
    <t>interventoría a las adecuaciones físicas de las 36 aulas destinadas para zona cai (campos de aprendizaje institucionales) en las diferentes sede, seccionales y extensiones de la universidad de cundinamarca.</t>
  </si>
  <si>
    <t>2022-10-26 10:46:57.0</t>
  </si>
  <si>
    <t>adecuaciones físicas para los espacios académicos de las unidades regionales de la universidad de cundinamarca que operan en el campo de aprendizaje institucional cai.</t>
  </si>
  <si>
    <t>733</t>
  </si>
  <si>
    <t>2022-10-24 18:16:35.0</t>
  </si>
  <si>
    <t>adquirir  aires acondicionados para las aulas que operan los campos de aprendizaje institucional (cai) y  el centro de gestión del conocimiento y el aprendizaje de la universidad de cundinamarca seccional girardot.</t>
  </si>
  <si>
    <t>845</t>
  </si>
  <si>
    <t>2022-11-18 11:28:59.0</t>
  </si>
  <si>
    <t>adecuar espacio para el funcionamiento del centro de idiomas en la extensión soacha de la universidad de cundinamarca</t>
  </si>
  <si>
    <t>855</t>
  </si>
  <si>
    <t>2022-11-21 16:11:06.0</t>
  </si>
  <si>
    <t>adquisición de libros para la implementación y funcionamiento del consultorio de psicología en la sede facatativá de la universidad de cundinamarca</t>
  </si>
  <si>
    <t>762</t>
  </si>
  <si>
    <t>2022-10-31 10:53:26.0</t>
  </si>
  <si>
    <t>prestar servicios profesionales en la dirección de autoevaluación y acreditación y la facultad de ingeniería, para elaborar el documento maestro (nueve condiciones de calidad definidas por el decreto 1330 de 2019 y la resolución 21795 de 2020), del programa ingeniería en electrónica y energías renovables, modalidad presencial, a ofertar en la universidad de cundinamarca, sede facatativá; incluyendo el proceso de sustentación ante órganos colegiados.</t>
  </si>
  <si>
    <t>728</t>
  </si>
  <si>
    <t>2022-10-21 17:14:04.0</t>
  </si>
  <si>
    <t>prestar servicios profesionales en la dirección de autoevaluación y acreditación y la facultad de ingeniería, para elaborar el documento maestro (nueve condiciones de calidad_x000D_
definidas por el decreto 1330 de 2019 y la resolución 21795 de 2020), del programa ingeniería en electrónica y robótica, modalidad presencial, a ofertar en la universidad de cundinamarca, seccional girardot; incluyendo el proceso de sustentación ante órganos colegiados.</t>
  </si>
  <si>
    <t>729</t>
  </si>
  <si>
    <t>2022-10-21 17:38:18.0</t>
  </si>
  <si>
    <t>otrosí al anexo de personal académico na° 147 de 2022 cuyo objeto contractual es prestar servicios profesionales apoyando la construcción y verificación de condiciones de calidad de los documentos maestros con miras a la obtención y renovación de registros calificados de programas académicos, de acuerdo a la normatividad vigente y a las necesidades de la dirección en de autoevaluación y acreditación.</t>
  </si>
  <si>
    <t>854</t>
  </si>
  <si>
    <t>2022-11-21 14:00:29.0</t>
  </si>
  <si>
    <t>otrosi 01 al anexo de personal académico no. 001 de 2022 cuyo objeto contractual es " prestar servicios profesionales en la direccion de autoevaluacion y acreditacion brindando coordinación y gestion administrativa en el marco de los procesos de aseguramiento de la calidad a traves del desarrollo de procesos estrategicos establecidos en la dirección</t>
  </si>
  <si>
    <t>886</t>
  </si>
  <si>
    <t>2022-12-09 10:03:50.0</t>
  </si>
  <si>
    <t xml:space="preserve">prestar servicios profesionales asesorando a los profesores y monitores adscritos a la escuela de formacion y aprendizaje docente, en el diseñ;o e implementacion de los planes de aprendizaje digital  (pad) elaborados en el marco de los procesos de resiginificación curricular que ofrece el circuito de formación </t>
  </si>
  <si>
    <t>684</t>
  </si>
  <si>
    <t>2022-10-10 17:55:21.0</t>
  </si>
  <si>
    <t>otrosi 02 al anexo de personal académico no. 044 de 2022 cuyo objeto contractual es prestar servicios profesionales en la escuela de formación y aprendizaje docente acompañ;ando la gestión administrativa para el despliegue de los circuitos de formación mediante la puesta en marcha de herramientas digitales que contribuyan a la mejora respecto al desarrollo profesoral y servicios ofertados por la efad en el marco del medit</t>
  </si>
  <si>
    <t>887</t>
  </si>
  <si>
    <t>2022-12-09 10:32:44.0</t>
  </si>
  <si>
    <t>otrosi 02 al anexo de personal académico no. 047 de 2022 cuyo objeto contractual es prestar servicios profesionales en la escuela de formacion y aprendizaje docente elaborando la sistematizacion de experiencias pedagogicas asociadas a la implementacion de los circuitos de formacion, evaluacion e innovacion realizados a traves del proceso de cualificacion a profesores</t>
  </si>
  <si>
    <t>888</t>
  </si>
  <si>
    <t>2022-12-09 10:35:44.0</t>
  </si>
  <si>
    <t>operación logística para el desarrollo del festival y congreso internacional equino y el festival y congreso académico empresarial de café de la facultad de ciencias agropecuarias de la universidad de cundinamarca sede fusagasugá.</t>
  </si>
  <si>
    <t>695</t>
  </si>
  <si>
    <t>2022-10-11 20:24:53.0</t>
  </si>
  <si>
    <t>688</t>
  </si>
  <si>
    <t>2022-10-11 16:07:45.0</t>
  </si>
  <si>
    <t>731</t>
  </si>
  <si>
    <t>697</t>
  </si>
  <si>
    <t>2022-10-11 20:26:27.0</t>
  </si>
  <si>
    <t>690</t>
  </si>
  <si>
    <t>2022-10-11 20:09:02.0</t>
  </si>
  <si>
    <t>687</t>
  </si>
  <si>
    <t>2022-10-11 15:51:14.0</t>
  </si>
  <si>
    <t xml:space="preserve">operación logística para el desarrollo del festival y congreso internacional equino y el festival y congreso académico empresarial de café de la facultad de ciencias agropecuarias de la universidad de cundinamarca sede fusagasugá._x000D_
_x000D_
</t>
  </si>
  <si>
    <t>698</t>
  </si>
  <si>
    <t>2022-10-11 20:27:06.0</t>
  </si>
  <si>
    <t>694</t>
  </si>
  <si>
    <t>2022-10-11 20:24:29.0</t>
  </si>
  <si>
    <t>pago acompañ;amiento al equipo anca y aval festival equino 2022 adscrito a fedequinas.</t>
  </si>
  <si>
    <t>734</t>
  </si>
  <si>
    <t>2022-10-24 18:38:13.0</t>
  </si>
  <si>
    <t>689</t>
  </si>
  <si>
    <t>2022-10-11 20:05:27.0</t>
  </si>
  <si>
    <t>696</t>
  </si>
  <si>
    <t>2022-10-11 20:25:54.0</t>
  </si>
  <si>
    <t>693</t>
  </si>
  <si>
    <t>2022-10-11 20:20:38.0</t>
  </si>
  <si>
    <t>699</t>
  </si>
  <si>
    <t>2022-10-11 20:27:44.0</t>
  </si>
  <si>
    <t>692</t>
  </si>
  <si>
    <t>2022-10-11 20:12:39.0</t>
  </si>
  <si>
    <t>691</t>
  </si>
  <si>
    <t>2022-10-11 20:10:30.0</t>
  </si>
  <si>
    <t>prestar servicios profesionales a través de la gestión académico administrativa en el campo de aprendizaje institucional ciudadanía del siglo 21 realizando procesos de gestión que realimenten a los gestores del conocimiento y estudiantes para promover la educación para la vida, los valores democráticos, la civilidad y la libertad.</t>
  </si>
  <si>
    <t>707</t>
  </si>
  <si>
    <t>2022-10-14 14:37:23.0</t>
  </si>
  <si>
    <t>prestar servicios profesionales a través de la gestión académico administrativa en el campo de aprendizaje institucional ciencia, tecnología e innovación realizando procesos de gestión que realimenten a los gestores del conocimiento y estudiantes para promover la educación para la vida, los valores democráticos, la civilidad y la libertad.</t>
  </si>
  <si>
    <t>708</t>
  </si>
  <si>
    <t>2022-10-14 14:39:37.0</t>
  </si>
  <si>
    <t>prestar servicios profesionales a través de la gestión académico administrativa en el campo de aprendizaje institucional catedra generación siglo 21 realizando procesos de_x000D_
gestión que realimenten a los gestores del conocimiento y estudiantes para promover la educación para la vida, los valores democráticos, la civilidad y la libertad.</t>
  </si>
  <si>
    <t>709</t>
  </si>
  <si>
    <t>2022-10-14 14:47:39.0</t>
  </si>
  <si>
    <t>prestar servicios profesionales a través de la gestión académico administrativa en el campo de aprendizaje institucional razonamiento lógico cuantitativo realizando procesos de gestión que realimenten a los gestores del conocimiento y estudiantes para promover la educación para la vida, los valores democráticos, la civilidad y la libertad.</t>
  </si>
  <si>
    <t>711</t>
  </si>
  <si>
    <t>2022-10-14 15:11:25.0</t>
  </si>
  <si>
    <t>prestar servicios profesionales a través de la gestión académico administrativa en el campo de aprendizaje institucional lengua extranjera realizando procesos de gestión que realimenten a los gestores del conocimiento y estudiantes para promover la educación para la vida, los valores democráticos, la civilidad y la libertad.</t>
  </si>
  <si>
    <t>738</t>
  </si>
  <si>
    <t>2022-10-26 00:00:00.0</t>
  </si>
  <si>
    <t>prestar servicios profesionales a través de la gestión académico administrativa en el campo de aprendizaje institucional comunicación y lectura crítica realizando proceso de gestión que realimenten a los gestores del conocimiento y estudiantes para promover la educación para la vida, los valores democráticos, la civilidad y la libertad.</t>
  </si>
  <si>
    <t>774</t>
  </si>
  <si>
    <t>2022-11-02 15:54:37.0</t>
  </si>
  <si>
    <t>810</t>
  </si>
  <si>
    <t>pago de inscripción para la participación del curso - taller propiedad intelectual en la educación superior.</t>
  </si>
  <si>
    <t>789</t>
  </si>
  <si>
    <t>2022-11-09 18:07:29.0</t>
  </si>
  <si>
    <t>construcción digital (virtualización) de planes de aprendizaje digital (pad) de los programas académicos que se encuentran en el proceso de resignificación curricular ante el men (ministerio de educación nacional) en el marco de la ruta de la acreditación y de la nueva oferta académica de la universidad de cundinamarca.</t>
  </si>
  <si>
    <t>764</t>
  </si>
  <si>
    <t>2022-10-31 12:09:59.0</t>
  </si>
  <si>
    <t>766</t>
  </si>
  <si>
    <t>2022-10-31 12:11:48.0</t>
  </si>
  <si>
    <t>765</t>
  </si>
  <si>
    <t>2022-10-31 12:11:00.0</t>
  </si>
  <si>
    <t>otrosi al contrato f-ocs-099 de 2022, objeto acontratar el servicio de auditorías internas del sistema de gestión de la calidad bajo la norma iso 9001:2015, del sistema de seguridad y salud en el trabajo bajo la norma iso 45001:2018 y el decreto 1072 de 2015 libro 2, parte 2, titulo 4 capitulo 6 en la universidad de cundinamarca y del sistema de gestión ambiental bajo la norma iso 14001:2015 en la seccional ubaté de la universidad de cundinamarcaa</t>
  </si>
  <si>
    <t>675</t>
  </si>
  <si>
    <t>2022-10-07 09:05:59.0</t>
  </si>
  <si>
    <t>otrosi n. 1 ops 195 de 2022 prestar servicios profesionales para apoyar las actividades de alistamiento para la certificación de las normas relacionadas con el sistema de gestión ambiental de la universidad de cundinamarca en el nodo sur, sede fusagasugá.</t>
  </si>
  <si>
    <t>895</t>
  </si>
  <si>
    <t>2022-12-13 17:00:30.0</t>
  </si>
  <si>
    <t>otrosi n. 1 ops 039 de 2022 prestar servicios profesionales de ingeniera ambiental para asesorar y realizar gestión de actividades de alistamiento para certificación de las normas del sistema de gestión ambiental de la universidad de cundinamarca.</t>
  </si>
  <si>
    <t>896</t>
  </si>
  <si>
    <t>2022-12-13 17:01:04.0</t>
  </si>
  <si>
    <t>otrosi n. 1 ops 193 de 2022 prestar servicios profesionales para apoyar las actividades de alistamiento para la certificación de las normas relacionadas con el sistema de gestión ambiental de la universidad de cundinamarca en el nodo sur, seccional girardot.</t>
  </si>
  <si>
    <t>898</t>
  </si>
  <si>
    <t>2022-12-14 07:14:11.0</t>
  </si>
  <si>
    <t>otrosi n. 1 al contrato f-ocs-043 de 2022 prestar el servicio de recolección, transporte y disposición de residuos peligrosos 2022 con_x000D_
cubrimiento institucional en la sede, seccionales extensiones, unidades agroambientales y centro_x000D_
académico deportivo -cad</t>
  </si>
  <si>
    <t>885</t>
  </si>
  <si>
    <t>2022-12-05 08:19:46.0</t>
  </si>
  <si>
    <t>adquisición de elementos tecnológicos: scaners, equipos de cómputo y servidor nas</t>
  </si>
  <si>
    <t>2022-10-13 08:39:03.0</t>
  </si>
  <si>
    <t>consultoría para el levantamiento, diseñ;os eléctricos y lumínicos y de energía solar fotovoltaica en la seccional girardot y extensión facatativá que permitan el desarrollo de campus sostenibles en la universidad de cundinamarca</t>
  </si>
  <si>
    <t>868</t>
  </si>
  <si>
    <t>2022-11-24 08:32:15.0</t>
  </si>
  <si>
    <t>interventoría técnica, económica, financiera, jurídica, administrativa de la consultoria del levantamiento, diseñ;os electricos y lumínicos y de energia solar fotovoltaica en la seccional girardot y extension facatativa que permitan el desarrollo de campus sostenible en la universidad de cundinamarca.</t>
  </si>
  <si>
    <t>2022-11-29 19:56:12.0</t>
  </si>
  <si>
    <t>_x000D_
mantenimiento y adecuaciones locativas para el aula especial de formacion-cancha sintetica futbol 8 en la extension soacha  de la universidad de cundinamarca</t>
  </si>
  <si>
    <t>2022-11-30 11:07:58.0</t>
  </si>
  <si>
    <t>mantenimiento y adecuaciones locativas para el aula especial de formacion-cancha sintetica futbol 8 en la extension soacha  de la universidad de cundinamarca</t>
  </si>
  <si>
    <t>2022-11-30 11:08:38.0</t>
  </si>
  <si>
    <t>modernización, adecuación y mejoramiento del aula especial de formación (cancha sintética futbol 8) de la universidadde cundinamarca, extensión soacha</t>
  </si>
  <si>
    <t>contratar la auditoria de tercera parte según la norma iso 9001:2015 para el sistema de gestion de la calidad de la universiad de cundinamarca</t>
  </si>
  <si>
    <t>686</t>
  </si>
  <si>
    <t>2022-10-10 18:01:59.0</t>
  </si>
  <si>
    <t>"otro-si 01 a la f-ops-200-2022 que tiene como objeto: prestar servicios desarrollador web para la unidad de marketing digital de la universidad de cundinamarca."</t>
  </si>
  <si>
    <t>863</t>
  </si>
  <si>
    <t>2022-11-22 15:41:38.0</t>
  </si>
  <si>
    <t>adquisición de equipos audiovisuales para grabaciones y transmisiones en vivo para girardot, soacha, facatativá, chía y fusagasugá.</t>
  </si>
  <si>
    <t>2022-11-15 17:40:03.0</t>
  </si>
  <si>
    <t>2022-11-15 17:47:14.0</t>
  </si>
  <si>
    <t>2022-11-15 17:43:07.0</t>
  </si>
  <si>
    <t>2022-11-15 17:44:23.0</t>
  </si>
  <si>
    <t>2022-11-15 17:41:13.0</t>
  </si>
  <si>
    <t>adquisición de computadores para el fortalecimiento de la dirección de planeación institucional de la universidad de cundinamarca.</t>
  </si>
  <si>
    <t>723</t>
  </si>
  <si>
    <t>2022-10-20 14:44:36.0</t>
  </si>
  <si>
    <t>adquisición de webcams y portátiles para el fortalecimiento de la dirección de planeación institucional de la universidad de cundinamarca.</t>
  </si>
  <si>
    <t>724</t>
  </si>
  <si>
    <t>2022-10-20 14:45:38.0</t>
  </si>
  <si>
    <t>contratar el suministro e instalación de la señ;alización con parámetros de accesibilidad universal de los espacios internos en pro de la educación inclusiva, condiciones de calidad y seguridad y salud en el trabajo. fase 2</t>
  </si>
  <si>
    <t>780</t>
  </si>
  <si>
    <t>2022-11-04 18:03:00.0</t>
  </si>
  <si>
    <t>contratar el servicio de consultoría para identificar las necesidades en hardware y software para el sistema de control de acceso en la sede fusagasugá, seccionales girardot y ubaté, extensiones zipaquirá, facatativá, chía y soacha de la universidad de cundinamarca; incluyendo bibliotecas, salas de profesores, porterías, accesos vehiculares, centros de datos, cuartos de telecomunicaciones y todos aquellos espacios que puedan requerir control de acceso.</t>
  </si>
  <si>
    <t>869</t>
  </si>
  <si>
    <t>2022-11-24 12:28:04.0</t>
  </si>
  <si>
    <t>suministro de publicidad para el desarrollo del evento "feria de transparencia universitaria vigencia 2022"</t>
  </si>
  <si>
    <t>673</t>
  </si>
  <si>
    <t>2022-10-04 20:54:36.0</t>
  </si>
  <si>
    <t>contratar el suministro de galardones definidos como monedas conmemorativas fundidas en bronce, doble cara de 3 a 5 colores medidas de 10 cm de diámetro y con bañ;o en plata, con caja en madera, interior en pana con grabado en la tapa).</t>
  </si>
  <si>
    <t>841</t>
  </si>
  <si>
    <t>2022-11-17 17:14:38.0</t>
  </si>
  <si>
    <t>contratar la auditoría interna al sistema de gestión antisoborno con alcance a las sedes de la ucundinamarca (sede fusagasugá; seccionales ubaté y girardot; extensiones chía, soacha, zipaquirá, facatativá; y oficinas bogotá) delimitada al modelo de operación por procesos y a las actividades de los procedimientos que de este hacen parte, bajo los lineamientos de la norma técnica iso 37001;2016 que permita determinar si se han establecido en la organización parámetros de gestión antisoborno, teniendo en cuenta el contexto de la institución y los alcances del sistema.</t>
  </si>
  <si>
    <t>777</t>
  </si>
  <si>
    <t>2022-11-03 21:50:48.0</t>
  </si>
  <si>
    <t>prestar servicios como arquitecto para el desarrollo del plan de ordenamiento físico de la extensión soacha de la universidad de cundinamarca</t>
  </si>
  <si>
    <t>2022-09-27 15:58:32.0</t>
  </si>
  <si>
    <t>prestar servicios como arquitecto para el desarrollo del plan de ordenamiento físico de la sede fusagasugá de la universidad de cundinamarca</t>
  </si>
  <si>
    <t>2022-09-27 15:58:52.0</t>
  </si>
  <si>
    <t>CONTRATAR LA CONSULTORIA PARA EL DESARROLLO DEL PLAN DE ORDENAMIENTO FÍSICO UNIVERSITARIO ACTUAL Y A FUTURO DE LA UNIVERSIDAD DE CUNDINAMARCA INCORPORANDO PARÁMETROS DE BIOCLIMÁTICA Y SOSTENIBILIDAD DE ACUERDO CON LOS ODS 2030.</t>
  </si>
  <si>
    <t>suministro de insumos  acuapónicos de caucho-metálicos y eléctricos para el proyecto de acuoponia en el centro de innovacion tecnologico del centro de estudios agroambientales el vergel extension facatativa</t>
  </si>
  <si>
    <t>756</t>
  </si>
  <si>
    <t>2022-10-27 18:20:56.0</t>
  </si>
  <si>
    <t>757</t>
  </si>
  <si>
    <t>2022-10-27 18:21:39.0</t>
  </si>
  <si>
    <t>758</t>
  </si>
  <si>
    <t>2022-10-27 18:22:29.0</t>
  </si>
  <si>
    <t>Adquirir recursos bibliográficos y cartográficos para el centro la mapoteca Ernesto Guhl de la Universidad de Cundinamarca, Sede Fusagasugá</t>
  </si>
  <si>
    <t>servicios de consultoría e investigación social cuantitativa y cualitativa para la consolidación del  banco de problemas del laboratorio de innovación social, mediante el uso de estrategias socialmente responsables en regiones priorizadas del departamento de cundinamarca</t>
  </si>
  <si>
    <t>2022-11-28 11:59:22.0</t>
  </si>
  <si>
    <t>prestar servicios prestar servicios profesionales en la universidad de cundinamarca para la creación del sistema de información digital de graduados en articulación con los servicios de interacción social universitaria</t>
  </si>
  <si>
    <t>702</t>
  </si>
  <si>
    <t>2022-10-13 08:28:42.0</t>
  </si>
  <si>
    <t>implementar un aplicativo que digitalice el procedimiento de voluntariado socialmente responsable en coherencia con los procedimientos y la política de la dirección de interacción social universitaria</t>
  </si>
  <si>
    <t>883</t>
  </si>
  <si>
    <t>2022-12-01 16:07:19.0</t>
  </si>
  <si>
    <t>otrosí 01 a la orden de prestación de servicios f-ops no. 096 del 2022 cuyo objeto contractual es prestar servicios como profesional en lenguas modernas para liderar el fortalecimiento de la internacionalización en los programas y el desarrollo de las políticas del eje estratégico dialogando con el mundo, que requiera la universidad de cundinamarca con el fin de asegurar la calidad educativa de la misma.</t>
  </si>
  <si>
    <t>891</t>
  </si>
  <si>
    <t>2022-12-12 00:00:00.0</t>
  </si>
  <si>
    <t>otrosí 01 al anexo de personal académico no. 187 del 2022 cuyo objeto contractual es prestar los servicios profesionales como asesor en la consolidación de la información en el aplicativo de autoevaluación y acreditación con su respectivo diligenciamiento y análisis con evidencias, en lo correspondiente al proceso dialogando con el mundo.</t>
  </si>
  <si>
    <t>892</t>
  </si>
  <si>
    <t>2022-12-12 17:47:52.0</t>
  </si>
  <si>
    <t>adquirir incentivos para la campañ;a de promoción a la diversidad y la inclusión en la semana unidos en la diversidad, al igual que material pop para los eventos de equidad y diversidad</t>
  </si>
  <si>
    <t>809</t>
  </si>
  <si>
    <t>2022-11-15 17:54:06.0</t>
  </si>
  <si>
    <t>operador logistico que garantice el servicio de refrigerios requeridos para el desarrrollo de proyectos de investigación de la seccional girardot avalados institucionalmente en la universidad de cundinamarca.</t>
  </si>
  <si>
    <t>835</t>
  </si>
  <si>
    <t>2022-11-17 15:42:55.0</t>
  </si>
  <si>
    <t>adquisición de equipos de laboratorios de la seccional girardot , requeridos para el desarrrollo de proyectos de investigación avalados institucionalmente en la universidad de cundinamarca</t>
  </si>
  <si>
    <t>833</t>
  </si>
  <si>
    <t>2022-11-17 15:38:46.0</t>
  </si>
  <si>
    <t>adquisición de equipos medicos para los laboratorios de la seccional girardot , requeridos para el desarrrollo de proyectos de investigación de la avalados institucionalmente en la universidad de cundinamarca</t>
  </si>
  <si>
    <t>834</t>
  </si>
  <si>
    <t>2022-11-17 15:40:40.0</t>
  </si>
  <si>
    <t>adquisición de elementos de bioseguridad para la seccional girardot , requeridos para el desarrollo de proyectos de investigación avalados institucionalmente en la universidad de cundinamarca</t>
  </si>
  <si>
    <t>851</t>
  </si>
  <si>
    <t>2022-11-18 18:51:22.0</t>
  </si>
  <si>
    <t>adquisición de equipos de calefacción para los laboratorios de la seccional girardot , requeridos para el desarrrollo de proyectos de investigación avalados institucionalmente en la universidad de cundinamarca</t>
  </si>
  <si>
    <t>787</t>
  </si>
  <si>
    <t>2022-11-08 20:03:15.0</t>
  </si>
  <si>
    <t>adquisición de elementos y equipos agropecuarios para los laboratorios de la seccional girardot, requeridos para el desarrrollo de proyectos de investigación avalados institucionalmente en la universidad de cundinamarca</t>
  </si>
  <si>
    <t>907</t>
  </si>
  <si>
    <t>2022-12-19 21:49:02.0</t>
  </si>
  <si>
    <t>788</t>
  </si>
  <si>
    <t>2022-11-08 20:03:41.0</t>
  </si>
  <si>
    <t>adquisición de elementos y materiales electricos para la seccional girardot requeridos para el desarrrollo de proyectos de investigación avalados_x000D_
institucionalmente en la universidad de cundinamarca</t>
  </si>
  <si>
    <t>836</t>
  </si>
  <si>
    <t>2022-11-17 15:47:13.0</t>
  </si>
  <si>
    <t>902</t>
  </si>
  <si>
    <t>2022-12-19 21:44:05.0</t>
  </si>
  <si>
    <t>adquisición de elementos de papeleria para la seccional girardot , requeridos para el desarrrollo de proyectos de investigación avalados institucionalmente en la universidad de cundinamarca</t>
  </si>
  <si>
    <t>840</t>
  </si>
  <si>
    <t>2022-11-17 16:00:20.0</t>
  </si>
  <si>
    <t xml:space="preserve">diseñ;o e impresión de material para la seccional girardot , requeridos para el desarrollo de proyectos de investigación avalados institucionalmente en la universidad de cundinamarca._x000D_
</t>
  </si>
  <si>
    <t>853</t>
  </si>
  <si>
    <t>2022-11-18 18:54:12.0</t>
  </si>
  <si>
    <t>servicio de análisis de laboratorio requeridos para el desarrollo del proyecto de investigación aplicación de estrategias sostenibles para el saneamiento ambiental vereda guabinal cerro girardot, avalado institucionalmente en la universidad de cundinamarca</t>
  </si>
  <si>
    <t>877</t>
  </si>
  <si>
    <t>2022-11-30 12:04:50.0</t>
  </si>
  <si>
    <t xml:space="preserve">servicio analisis de laboratorio para muestras procesadas por los investigadores en el marco del desarrollo del proyecto de investigación inoculantes microbianos y uso de especies vegetales, en la recuperación de suelos afectados por incendios forestales en el bosque seco, avalado institucionalmente en la universidad de cundinamarca._x000D_
</t>
  </si>
  <si>
    <t>878</t>
  </si>
  <si>
    <t>2022-11-30 12:09:24.0</t>
  </si>
  <si>
    <t>servicio de análisis de laboratorio requeridos para el desarrollo del proyecto de investigación uso del agua superficial del río bogotá, impacto socioambiental y estrategias para mejorar la condiciones de salud de los girardoteñ;os, avalado institucionalmente en la universidad de cundinamarca</t>
  </si>
  <si>
    <t>879</t>
  </si>
  <si>
    <t>2022-11-30 12:11:38.0</t>
  </si>
  <si>
    <t>servicio de análisis de laboratorio parámetros físico químicos requeridos para el desarrollo del proyecto de investigación valorización del biochar obtenido mediante pirolisis de los restos de poda del árbol de neem (azadirachta indica), avalado institucionalmente en la universidad de cundinamarca</t>
  </si>
  <si>
    <t>889</t>
  </si>
  <si>
    <t>2022-12-12 10:06:37.0</t>
  </si>
  <si>
    <t>adquisición de elementos de papeleria para la seccional girardot , requeridos para el desarrrollo de proyectos de investigación avalados institucionalmente_x000D_
en la universidad de cundinamarca</t>
  </si>
  <si>
    <t>839</t>
  </si>
  <si>
    <t>2022-11-17 15:58:38.0</t>
  </si>
  <si>
    <t>905</t>
  </si>
  <si>
    <t>2022-12-19 21:47:46.0</t>
  </si>
  <si>
    <t>adquisición de elementos de bioseguridad para la seccional girardot , requeridos para el desarrrollo de proyectos de investigación avalados institucionalmente en la universidad de cundinamarca</t>
  </si>
  <si>
    <t>852</t>
  </si>
  <si>
    <t>2022-11-18 18:52:14.0</t>
  </si>
  <si>
    <t>903</t>
  </si>
  <si>
    <t>2022-12-19 21:46:20.0</t>
  </si>
  <si>
    <t>901</t>
  </si>
  <si>
    <t>2022-12-19 21:43:07.0</t>
  </si>
  <si>
    <t>906</t>
  </si>
  <si>
    <t>2022-12-19 21:48:22.0</t>
  </si>
  <si>
    <t>adquisición de elementos para los laboratorios de la seccional girardot , requeridos para el desarrrollo de proyectos de investigación avalados institucionalmente en la universidad de cundinamarca</t>
  </si>
  <si>
    <t>786</t>
  </si>
  <si>
    <t>2022-11-08 20:00:14.0</t>
  </si>
  <si>
    <t>904</t>
  </si>
  <si>
    <t>2022-12-19 21:47:07.0</t>
  </si>
  <si>
    <t>adquisición de químicos y reactivos requeridos para el desarrollo de proyectos de investigación de la seccional girardot avalados institucionalmente en la universidad de cundinamarca.</t>
  </si>
  <si>
    <t>849</t>
  </si>
  <si>
    <t>2022-11-18 18:48:53.0</t>
  </si>
  <si>
    <t>850</t>
  </si>
  <si>
    <t>2022-11-18 18:50:34.0</t>
  </si>
  <si>
    <t>785</t>
  </si>
  <si>
    <t>2022-11-08 19:59:17.0</t>
  </si>
  <si>
    <t>900</t>
  </si>
  <si>
    <t>2022-12-19 21:42:18.0</t>
  </si>
  <si>
    <t>adecuación locativa, adquisición y dotación de suministros para laboratorio de hidráulica, mecánica de fluidos y recurso suelo - aire y laboratorio de química y biología del programa de ingeniería ambiental de la universidad cundinamarca, seccional girardot ii fase.</t>
  </si>
  <si>
    <t>880</t>
  </si>
  <si>
    <t>2022-11-30 12:19:05.0</t>
  </si>
  <si>
    <t>adquisición de mobiliario para los laboratorios: de hidráulica, mecánica de fluidos, recurso suelo a¿ aire, del programa de ingeniería ambiental de la universidad cundinamarca seccional girardot.</t>
  </si>
  <si>
    <t>776</t>
  </si>
  <si>
    <t>2022-11-03 18:33:15.0</t>
  </si>
  <si>
    <t>adición  no. 001 al contrato no. g-occ-19-2022, adquisición de mobiliario tipo lockers para el bloque académico de la universidad cundinamarca, seccional girardot, ii fase</t>
  </si>
  <si>
    <t>908</t>
  </si>
  <si>
    <t>2022-12-22 17:55:29.0</t>
  </si>
  <si>
    <t>adecuación física para el centro de gestión del conocimiento y aprendizaje de la seccional girardot</t>
  </si>
  <si>
    <t>adecuación física de la cubierta y la instalación de techo falso que permita la instalación de sistemas de climatización que mejoren significativamente los procesos académicos - administrativos que se desarrollan en este centro, acorde con el medit y los estándares de calidad que se requieren para la acreditación  institucional.</t>
  </si>
  <si>
    <t>867</t>
  </si>
  <si>
    <t>2022-11-23 17:40:25.0</t>
  </si>
  <si>
    <t>ADECUACION FISICA Y DOTACION DE MOBILIARIO PARA LA SALA DE DOCENTES EN LA SECCIONAL GIRARDOT</t>
  </si>
  <si>
    <t>864</t>
  </si>
  <si>
    <t>2022-11-22 15:44:29.0</t>
  </si>
  <si>
    <t xml:space="preserve">servicio de apoyo logístico en alimentación en el marco del desarrollo de las actividades de bienestar universitario, en la universidad de cundinamarca seccional girardot para el segundo periodo académico de 2022._x000D_
</t>
  </si>
  <si>
    <t>770</t>
  </si>
  <si>
    <t>2022-11-02 15:47:58.0</t>
  </si>
  <si>
    <t>servicio de apoyo logístico en alimentación en el marco del desarrollo de las actividades de bienestar universitario, en la universidad de cundinamarca seccional girardot para el segundo periodo académico de 2022.</t>
  </si>
  <si>
    <t>771</t>
  </si>
  <si>
    <t>2022-11-02 15:48:38.0</t>
  </si>
  <si>
    <t>mantenimiento de cubierta y techo de la rampa ubicada en el bloque a extensión facatativá.</t>
  </si>
  <si>
    <t>667</t>
  </si>
  <si>
    <t>2022-10-04 09:14:06.0</t>
  </si>
  <si>
    <t>beneficios educativos a la comunidad universitaria - estrategias de apoyo socio económicos para la optimizacion de la retencion estudiantil en estudiantes de pregrado extension facatativa</t>
  </si>
  <si>
    <t>704</t>
  </si>
  <si>
    <t>2022-10-13 16:20:41.0</t>
  </si>
  <si>
    <t>adquisición de elementos de papelería para la conservación de la memoria documental en la extensión facatativá para la vigencia 2022</t>
  </si>
  <si>
    <t>739</t>
  </si>
  <si>
    <t>2022-10-26 17:31:35.0</t>
  </si>
  <si>
    <t>servicios de construcción - mantenimiento y adecuación del terreno para el ingreso de la extensión facatativa</t>
  </si>
  <si>
    <t>743</t>
  </si>
  <si>
    <t>2022-10-27 09:56:05.0</t>
  </si>
  <si>
    <t xml:space="preserve">adecuacion de espacios fisicos para las oficinas administrativas de la extension facatativa._x000D_
</t>
  </si>
  <si>
    <t>828</t>
  </si>
  <si>
    <t>2022-11-17 15:25:33.0</t>
  </si>
  <si>
    <t>iv convocatoria interna - periodo 2022- 2 ucundinamarca generacion siglo 21 conformacion del banco de proyectos elegibles y establecer la planeacion y dedicacion de los profesores a la funcion sustantiva de ciencia tecnologia e innovacion, con el fin de obtener productos academicos en el marco de los indicadores minciencias a fin de fortalecer los grupos de investigacion mediante la financiacion de proyectos de ctei translocales de alto impacto para el departamento de cundinamarca</t>
  </si>
  <si>
    <t>857</t>
  </si>
  <si>
    <t>2022-11-22 08:25:35.0</t>
  </si>
  <si>
    <t>860</t>
  </si>
  <si>
    <t>2022-11-22 08:27:15.0</t>
  </si>
  <si>
    <t>reconocimientos (tipo trofeo y certificado) para actividades de ciencia tecnologia e innovación con ocasión los resultados obtenidos en la ultima convocatoria de medición de grupos e investigadores categorizados por el ministerio de ciencia tecnología e innovación</t>
  </si>
  <si>
    <t>742</t>
  </si>
  <si>
    <t>2022-10-27 09:53:12.0</t>
  </si>
  <si>
    <t>contratar el servicio de impresión de catálogo de muestra y fotografías, con sus respectivas estructuras, incluido el servicio de curaduría, para el desarrollo de la convocatoria i bienal de fotografía udec 30 añ;os</t>
  </si>
  <si>
    <t>782</t>
  </si>
  <si>
    <t>2022-11-04 19:46:37.0</t>
  </si>
  <si>
    <t>prestar servicios profesionales en la dirección de investigación para fortalecer y visibilizar las redes de cooperación existentes redlut y crear nuevas alianzas con pares internacionales en articulación con el proceso dialogando con el mundo.</t>
  </si>
  <si>
    <t>669</t>
  </si>
  <si>
    <t>2022-10-04 09:28:38.0</t>
  </si>
  <si>
    <t xml:space="preserve"> pares externos que realizaran la evaluación de proyectos de investigación en el marco de la iv convocatoria interna - periodo 2022- 2 ucundinamarca generación siglo 2021</t>
  </si>
  <si>
    <t>685</t>
  </si>
  <si>
    <t>2022-10-10 17:57:34.0</t>
  </si>
  <si>
    <t>prestar los servicios profesionales como corrector ortográfico y gramatical y revisión de estilo de libros derivados de proyectos de investigación como productos de ciencia,_x000D_
tecnología e innovación de los grupos de investigación de la universidad de cundinamarca</t>
  </si>
  <si>
    <t>712</t>
  </si>
  <si>
    <t>2022-10-18 09:30:27.0</t>
  </si>
  <si>
    <t>783</t>
  </si>
  <si>
    <t>2022-11-04 19:48:43.0</t>
  </si>
  <si>
    <t>856</t>
  </si>
  <si>
    <t>2022-11-22 08:24:42.0</t>
  </si>
  <si>
    <t>prestar los servicios profesionales para brindar asesoria en los procesos de cualificación , evaluacion y producción docente.</t>
  </si>
  <si>
    <t>876</t>
  </si>
  <si>
    <t>2022-11-30 11:31:12.0</t>
  </si>
  <si>
    <t>contratar los servicios de corrección de estilo por cuartilla, caratula, edición de imágenes y diagramación por pagina para 29 libros de la colección 30 añ;os udec_x000D_
2022</t>
  </si>
  <si>
    <t>881</t>
  </si>
  <si>
    <t>2022-11-30 17:34:24.0</t>
  </si>
  <si>
    <t xml:space="preserve">certificados sapiens research de cinco (5) investigadores integrantes del grupos de investigación sispros </t>
  </si>
  <si>
    <t>884</t>
  </si>
  <si>
    <t>2022-12-05 08:03:35.0</t>
  </si>
  <si>
    <t>fortalecimiento y visibilización de la producción científica y académica generada a través de la editorial de la universidad de cundinamarca mediante el servicio de alquiler de espacio, internet, energía y stand para participación en la feria internacional del libro organizada por corporación de ferias y exposiciones s.a. usuario operador de zona franca beneficio e interés colectivo (corferias)</t>
  </si>
  <si>
    <t>701</t>
  </si>
  <si>
    <t>2022-10-12 15:43:16.0</t>
  </si>
  <si>
    <t>apoyo económico a la docente de carrera vilma moreno melo, para garantizar su participación en el viii encuentro de profesionales graduados de la ex a urss, europa del este, asia central y cuba, el cual tendrá lugar del 24 al 28 de octubre de 2022 en lima - cusco (perú),</t>
  </si>
  <si>
    <t>677</t>
  </si>
  <si>
    <t>2022-10-07 15:02:35.0</t>
  </si>
  <si>
    <t>apoyo económico al docente tiempo completo ocasional juan david firigua bejarano, para garantizar su participación en el i congreso internacional de investigación interdisciplinar en educación: voces, miradas y perspectivas, y iv congreso internacional psicología en la educación que temdra lugar del 19 al 21 de octubre de 2022 en concepción - chile</t>
  </si>
  <si>
    <t>680</t>
  </si>
  <si>
    <t>2022-10-07 15:26:25.0</t>
  </si>
  <si>
    <t>apoyo económico al docente tiempo completo ocasional juan felipe avila dallos para garantizar su participación en el ix festival internacional de guitarra aa cuerda vivaa, a realizarse del 27 al 31 de octubre de 2022 ciudad de san salvador, el salvador</t>
  </si>
  <si>
    <t>682</t>
  </si>
  <si>
    <t>2022-10-07 15:31:43.0</t>
  </si>
  <si>
    <t>858</t>
  </si>
  <si>
    <t>2022-11-22 08:26:10.0</t>
  </si>
  <si>
    <t>apoyo económico a la docente de carrera vilma moreno melo, para garantizar su participación en el viii encuentro de profesionales graduados de la ex a urss, europa del este, asia central y cuba, el cual tendra lugar del 24 al 28 de octubre de 2022 en lima - cusco (perú),</t>
  </si>
  <si>
    <t>676</t>
  </si>
  <si>
    <t>2022-10-07 15:00:55.0</t>
  </si>
  <si>
    <t>apoyo económico al docente tiempo completo ocasional juan david firigua bejarano, para garantizar su participación en el i congreso internacional de investigación interdisciplinar en educación: voces, miradas y perspectivas, y iv congreso internacional psicología en la educación que tendra lugar del 19 al 21 de octubre de 2022 en concepción - chile</t>
  </si>
  <si>
    <t>681</t>
  </si>
  <si>
    <t>2022-10-07 15:27:38.0</t>
  </si>
  <si>
    <t>contratar el servicio logístico para desarrollo del evento de reconocimiento de investigadores y grupos categorizados en la ultima medición realizada por el ministerio de ciencia tecnología e innovación</t>
  </si>
  <si>
    <t>772</t>
  </si>
  <si>
    <t>2022-11-02 15:50:04.0</t>
  </si>
  <si>
    <t>adquisición de licencias software: nvivo 12 requerido para proyecto de investigación avalado institucionalmente.</t>
  </si>
  <si>
    <t>705</t>
  </si>
  <si>
    <t>2022-10-13 16:23:57.0</t>
  </si>
  <si>
    <t>contratar la impresión de libros de la editorial de la universidad de cundinamarca en el marco de los 30 añ;os de vida universitaria</t>
  </si>
  <si>
    <t>2022-11-03 21:52:52.0</t>
  </si>
  <si>
    <t>859</t>
  </si>
  <si>
    <t>2022-11-22 08:26:44.0</t>
  </si>
  <si>
    <t>678</t>
  </si>
  <si>
    <t>2022-10-07 15:04:11.0</t>
  </si>
  <si>
    <t>679</t>
  </si>
  <si>
    <t>2022-10-07 15:24:57.0</t>
  </si>
  <si>
    <t>contratar evaluación externa a los productos editoriales presentados en la convocatoria para la publicación de libros colección 30 añ;os universidad de cundinamarca</t>
  </si>
  <si>
    <t>706</t>
  </si>
  <si>
    <t>2022-10-14 14:35:01.0</t>
  </si>
  <si>
    <t>773</t>
  </si>
  <si>
    <t>2022-11-02 15:53:03.0</t>
  </si>
  <si>
    <t>adicion al apoyo economico para la participacion universitaria en los juegos fisuamerica games.</t>
  </si>
  <si>
    <t>700</t>
  </si>
  <si>
    <t>2022-10-11 20:31:54.0</t>
  </si>
  <si>
    <t xml:space="preserve"> becas como apoyo económico académico de la movilidad saliente en el primer periodo académico del 2023._x000D_
</t>
  </si>
  <si>
    <t>865</t>
  </si>
  <si>
    <t>2022-11-22 16:14:49.0</t>
  </si>
  <si>
    <t>exoneraciones de matrícula para el primer periodo académico 2023.</t>
  </si>
  <si>
    <t>899</t>
  </si>
  <si>
    <t>2022-12-15 08:33:23.0</t>
  </si>
  <si>
    <t>servicio de apoyo logístico en alimentación en el marco del desarrollo de las actividades de bienestar universitario de la universidad de cundinamarca seccional ubaté para el segundo periodo académico 2022.</t>
  </si>
  <si>
    <t>670</t>
  </si>
  <si>
    <t>2022-10-04 10:05:35.0</t>
  </si>
  <si>
    <t>contratar el servicio de apoyo logistico para las i olimpiadas deportivas generación s21 de la universidad de cundinamarca, extensión soacha.</t>
  </si>
  <si>
    <t>791</t>
  </si>
  <si>
    <t>2022-11-10 15:22:48.0</t>
  </si>
  <si>
    <t>prestar servicios de apoyo logístico para el desarrollo de las actividades específicas de fomento de los hábitos, estilos de vida saludables, aprovechamiento del tiempo libre y fortalecimiento de las aptitudes y actitudes de la comunidad universitaria.</t>
  </si>
  <si>
    <t>714</t>
  </si>
  <si>
    <t>2022-10-18 10:10:43.0</t>
  </si>
  <si>
    <t>fondo renovable no. 02 bienestar universitario.</t>
  </si>
  <si>
    <t>720</t>
  </si>
  <si>
    <t>2022-10-20 14:24:46.0</t>
  </si>
  <si>
    <t>fondo renovable no 03 bienestar universitario</t>
  </si>
  <si>
    <t>794</t>
  </si>
  <si>
    <t>2022-11-11 16:34:10.0</t>
  </si>
  <si>
    <t>prestar servicios de apoyo logístico para el desarrollo del vii encuentro cultural y  deportivo generación siglo 21 sede fusagasugá.</t>
  </si>
  <si>
    <t>837</t>
  </si>
  <si>
    <t>2022-11-17 15:49:40.0</t>
  </si>
  <si>
    <t>pago de inscripciones ascun para la participación de los grupos culturales en los juegos nacionales 2022.</t>
  </si>
  <si>
    <t>759</t>
  </si>
  <si>
    <t>2022-10-28 12:03:15.0</t>
  </si>
  <si>
    <t>comprar elementos institucionales para las competencias representativas con el fin de fomentar la identidad institucional, fortalecer el sentido de pertenencia y garantizar la participación oportuna de la comunidad universitaria.</t>
  </si>
  <si>
    <t>752</t>
  </si>
  <si>
    <t>2022-10-27 16:22:37.0</t>
  </si>
  <si>
    <t>adquirir trajes de artes escénicas para el aprendizaje y puesta en escena de los procesos de formación y competencia artística de los miembros de la comunidad universitaria.</t>
  </si>
  <si>
    <t>824</t>
  </si>
  <si>
    <t>2022-11-17 13:20:50.0</t>
  </si>
  <si>
    <t>adquirir equipacion indispensable para los estudiantes que representan a la universidad de cundinamarca a nivel regional, local y nacional en los grupos formativos y competitivos de taekwondo y karate.</t>
  </si>
  <si>
    <t>826</t>
  </si>
  <si>
    <t>2022-11-17 13:25:59.0</t>
  </si>
  <si>
    <t>adquirir indumentaria para los estudiantes que representan a la universidad de cundinamarca a nivel regional, local y nacional en los grupos formativos y competitivos de porrismo.</t>
  </si>
  <si>
    <t>2022-11-17 15:51:43.0</t>
  </si>
  <si>
    <t>adquirir elementos culturales de consumo para los procesos aprovechamiento del tiempo libre y fortalecimiento de las aptitudes y actitudes de la comunidad universitaria</t>
  </si>
  <si>
    <t>825</t>
  </si>
  <si>
    <t>2022-11-17 13:23:22.0</t>
  </si>
  <si>
    <t>insumos para primeros auxilios y las actividades de bienestar físico y mental</t>
  </si>
  <si>
    <t>760</t>
  </si>
  <si>
    <t>2022-10-31 10:28:24.0</t>
  </si>
  <si>
    <t>761</t>
  </si>
  <si>
    <t>2022-10-31 10:51:51.0</t>
  </si>
  <si>
    <t>716</t>
  </si>
  <si>
    <t>2022-10-20 14:21:50.0</t>
  </si>
  <si>
    <t>797</t>
  </si>
  <si>
    <t>2022-11-11 16:59:42.0</t>
  </si>
  <si>
    <t>795</t>
  </si>
  <si>
    <t>2022-11-11 16:35:06.0</t>
  </si>
  <si>
    <t>adquisición de pruebas psicotécnicas para realizar proceso de selección de estudiantes nuevos en la universidad de cundinamarca.</t>
  </si>
  <si>
    <t>710</t>
  </si>
  <si>
    <t>2022-10-14 14:52:00.0</t>
  </si>
  <si>
    <t>718</t>
  </si>
  <si>
    <t>2022-10-20 14:23:34.0</t>
  </si>
  <si>
    <t>otrosi no. 01 al anexo de personal académico no.123 de 2022 que tiene por objeto prestar servicios como instructor de artes musicales para la comunidad universitaria de la universidad de cundinamarca sede fusagasuga</t>
  </si>
  <si>
    <t>725</t>
  </si>
  <si>
    <t>2022-10-20 19:07:15.0</t>
  </si>
  <si>
    <t>otrosi no. 01 al anexo de personal academico no.131 de 2022, que tiene por objeto prestar servicios como instructor de musica para la comunidad universitaria de la universidad de cundinamarca seccional ubate</t>
  </si>
  <si>
    <t>767</t>
  </si>
  <si>
    <t>2022-11-02 08:58:44.0</t>
  </si>
  <si>
    <t>otrosi no. 01 al anexo personal académico no. 134 de 2022, el cual tiene por objeto aprestar servicios como instructor de música para la comunidad universitaria de la universidad de cundinamarca seccional girardota</t>
  </si>
  <si>
    <t>775</t>
  </si>
  <si>
    <t>2022-11-03 18:27:36.0</t>
  </si>
  <si>
    <t>719</t>
  </si>
  <si>
    <t>2022-10-20 14:24:13.0</t>
  </si>
  <si>
    <t>796</t>
  </si>
  <si>
    <t>2022-11-11 16:35:38.0</t>
  </si>
  <si>
    <t>793</t>
  </si>
  <si>
    <t>2022-11-11 16:33:17.0</t>
  </si>
  <si>
    <t xml:space="preserve">suministrar elementos deportivos para el aprovechamiento del tiempo libre y los procesos de formación y competencia para la comunidad universitaria._x000D_
</t>
  </si>
  <si>
    <t>846</t>
  </si>
  <si>
    <t>2022-11-18 18:29:35.0</t>
  </si>
  <si>
    <t>otrosi na° 01 reconocimiento para la conmemoración de la labor docente y demás actividades de aprovechamiento del tiempo libre y fortalecimiento de las aptitudes y las actitudes de bienestar universitario</t>
  </si>
  <si>
    <t>842</t>
  </si>
  <si>
    <t>2022-11-17 17:29:01.0</t>
  </si>
  <si>
    <t>contratar el servicio de soporte y adecuación de nuevas funcionalidades (servicio de desarrollo) para la plataforma académica, academusoft y de gestión administrativa y financiera gestasoft</t>
  </si>
  <si>
    <t>890</t>
  </si>
  <si>
    <t>2022-12-12 10:13:38.0</t>
  </si>
  <si>
    <t>adquirir las licencias autocad y archicad , para la operacion interna de los procesos administrativos de la universidad de cundinamarca.</t>
  </si>
  <si>
    <t>737</t>
  </si>
  <si>
    <t>2022-10-26 10:51:59.0</t>
  </si>
  <si>
    <t>adquisición del licenciamiento de la suite adobe para las oficinas administrativas de la universidad de cundinamarca</t>
  </si>
  <si>
    <t>740</t>
  </si>
  <si>
    <t>2022-10-26 17:42:03.0</t>
  </si>
  <si>
    <t>contratar el servicio de integracion  de nomina electronica para los sistemas de informacion administrativa de la universidad de cundinamarca</t>
  </si>
  <si>
    <t>763</t>
  </si>
  <si>
    <t>2022-10-31 10:54:54.0</t>
  </si>
  <si>
    <t>servicio de integracion  de facturacion electronica para los sistemas de informacion administrativa de la universidad de cundinamarca</t>
  </si>
  <si>
    <t>781</t>
  </si>
  <si>
    <t>2022-11-04 18:04:03.0</t>
  </si>
  <si>
    <t>adquisición de unidades de certificados ssl (secure sockets layer), para los servicios web de la universidad de cundinamarca</t>
  </si>
  <si>
    <t>831</t>
  </si>
  <si>
    <t>2022-11-17 00:00:00.0</t>
  </si>
  <si>
    <t>renovar la licencia de software de la herramienta intelliboard por 12 meses, para la generación de reportes, la analítica de operación y el comportamiento de los campos de aprendizaje digitales cadi a través de los recursos educativos digitales e instrumentos de recolección de datos dispuestos dentro de un periodo académico, para la plataforma de aprendizaje moodle de la universidad de cundinamarca.</t>
  </si>
  <si>
    <t>832</t>
  </si>
  <si>
    <t xml:space="preserve">contratar el servicio de renovación del software como servicio para la gestión crm (customers relationship management) y procesos de marketing de la universidad de cundinamarca. </t>
  </si>
  <si>
    <t>847</t>
  </si>
  <si>
    <t>2022-11-18 00:00:00.0</t>
  </si>
  <si>
    <t xml:space="preserve">adquirir sistema de gestion por suscripcion de herramienta para la administracion y gestion del parque automotor de la universidad de cundinamarca </t>
  </si>
  <si>
    <t>2022-11-24 12:30:12.0</t>
  </si>
  <si>
    <t>renovar el consumo de nube publica aws y servicios conexos para la publicación, mantenimiento del componente lms moodle de la universidad de cundinamarca</t>
  </si>
  <si>
    <t>882</t>
  </si>
  <si>
    <t>2022-12-01 00:00:00.0</t>
  </si>
  <si>
    <t>renovar el soporte de la licencia oracle version 12c de la universidad de cundinamarca</t>
  </si>
  <si>
    <t>893</t>
  </si>
  <si>
    <t>2022-12-13 16:38:21.0</t>
  </si>
  <si>
    <t>renovar el soporte y actualización del oracle database appliance x7 de la universidad de cundinamarca</t>
  </si>
  <si>
    <t>894</t>
  </si>
  <si>
    <t>2022-12-13 16:39:50.0</t>
  </si>
  <si>
    <t>adquision dea 4 token para el registro en ministerio de hacienda para el proceso de siif nación de la directora financiera, jefe de presupuestpo, jefe de contabilidad y tesorera general.</t>
  </si>
  <si>
    <t>909</t>
  </si>
  <si>
    <t>2022-12-23 16:41:23.0</t>
  </si>
  <si>
    <t>adicion pago contra factura por concepto de adquisición de 4 token para el registro en ministerio de hacienda para el proceso de siif nación de la directora financiera, jefe de presupuesto, jefe de contabilidad y tesorera general</t>
  </si>
  <si>
    <t>910</t>
  </si>
  <si>
    <t>2022-12-29 18:50:51.0</t>
  </si>
  <si>
    <t>644</t>
  </si>
  <si>
    <t>800</t>
  </si>
  <si>
    <t>2022-11-15 08:34:43.0</t>
  </si>
  <si>
    <t>822</t>
  </si>
  <si>
    <t>2022-11-16 21:06:06.0</t>
  </si>
  <si>
    <t>adquirir equipos de cómputo (portátiles) para la renovación del parque tecnológico por obsolescencia, con el propósito de fortalecer las herramientas tecnológicas que se encuentran al servicio de las áreas administrativas de la universidad de cundinamarca.</t>
  </si>
  <si>
    <t>adquirir equipos de cómputo (equipos todo en uno) para la renovación del parque tecnológico por obsolescencia, con el propósito de fortalecer las herramientas tecnológicas que se encuentran al servicio de las áreas administrativas de la universidad de cundinamarca.</t>
  </si>
  <si>
    <t>139</t>
  </si>
  <si>
    <t>adquirir el material de impresion, para la carnetizacion de los estudiantes admitidos, docentes y personal administrativo de la universidad de cundinamarca, como elemento de control de acceso fisico a las sedes universitarias.</t>
  </si>
  <si>
    <t>790</t>
  </si>
  <si>
    <t>2022-11-10 00:00:00.0</t>
  </si>
  <si>
    <t>adquirir la solución e implementación del del plan de recuperación ante desastres (drp) para la universidad de cundinamarca en cuanto a la infraestructura tecnológica para soportar los servicios de misión crítica (plataforma institucional, página web institucional e integradoc)</t>
  </si>
  <si>
    <t>823</t>
  </si>
  <si>
    <t>2022-11-16 21:10:25.0</t>
  </si>
  <si>
    <t>adquirir servicio de renovación de firma digitales para los directivos, jefes y decanos de la universidad de cundinamarca.</t>
  </si>
  <si>
    <t>827</t>
  </si>
  <si>
    <t>desarrollar los requerimientos planteados para el módulo de gestasoft, acompañ;amiento y soporte para la actualización del entornos de aplicaciones de la plataforma institucional, instalación del visor para configuración y gestión de reportes institucionales y  sistematización del reglamento estudiantil</t>
  </si>
  <si>
    <t>848</t>
  </si>
  <si>
    <t>2022-11-18 18:38:42.0</t>
  </si>
  <si>
    <t>contratación de dos profesionales con experiencia idónea para apoyar las actividades de la dirección de sistemas y tecnología</t>
  </si>
  <si>
    <t>811</t>
  </si>
  <si>
    <t>2022-11-15 17:58:37.0</t>
  </si>
  <si>
    <t>desarrollar aplicativo para la gestión e integración de los sistemas de información institucionales, basado en mínimo 8 módulos que atienden las necesidades de despliegue y operación del campo multidimensional de aprendizaje declarado en el modelo educativo digital transmodeno - medit de la universidad de cundinamarca.</t>
  </si>
  <si>
    <t>843</t>
  </si>
  <si>
    <t>2022-11-17 17:37:21.0</t>
  </si>
  <si>
    <t>contratar el servicio de suministro de comidas y bebidas para el encuentro cultural y deportivo gs21 de la universidad de cundinamarca, extensión soacha.</t>
  </si>
  <si>
    <t>792</t>
  </si>
  <si>
    <t>2022-11-10 15:23:59.0</t>
  </si>
  <si>
    <t>servicio de apoyo logistico en alimentación en el marco del desarrollo de las actividades de bienestar universitario de la universidad de cundinamarca seccional ubaté para el segundo periodo académico 2022.</t>
  </si>
  <si>
    <t>666</t>
  </si>
  <si>
    <t>2022-10-04 09:10:54.0</t>
  </si>
  <si>
    <t>861</t>
  </si>
  <si>
    <t>2022-11-22 08:28:13.0</t>
  </si>
  <si>
    <t>862</t>
  </si>
  <si>
    <t>2022-11-22 08:29:00.0</t>
  </si>
  <si>
    <t>mejora locativa del tramo número uno (1) del sendero del c.a.d</t>
  </si>
  <si>
    <t>871</t>
  </si>
  <si>
    <t>2022-11-28 11:10:22.0</t>
  </si>
  <si>
    <t>sostenibilidad de los recursos informaticos, controles de la seguridad informática y licencias de software para la universidad de cundinamarca</t>
  </si>
  <si>
    <t>4020201040716-1</t>
  </si>
  <si>
    <t>II FASE - Diseño pedagógico y tecnológico para la creación de especializaciones y maestrías de posgrado en modalidad virtual.</t>
  </si>
  <si>
    <t>13-10-2022</t>
  </si>
  <si>
    <t>08-11-2022</t>
  </si>
  <si>
    <t>11-11-2022</t>
  </si>
  <si>
    <t>22-11-2022</t>
  </si>
  <si>
    <t>31-10-2022</t>
  </si>
  <si>
    <t>04-11-2022</t>
  </si>
  <si>
    <t>14-10-2022</t>
  </si>
  <si>
    <t>10-10-2022</t>
  </si>
  <si>
    <t>15-11-2022</t>
  </si>
  <si>
    <t>11-10-2022</t>
  </si>
  <si>
    <t>28-10-2022</t>
  </si>
  <si>
    <t>29-11-2022</t>
  </si>
  <si>
    <t>01-11-2022</t>
  </si>
  <si>
    <t>24-11-2022</t>
  </si>
  <si>
    <t>13-12-2022</t>
  </si>
  <si>
    <t>09-12-2022</t>
  </si>
  <si>
    <t>18-10-2022</t>
  </si>
  <si>
    <t>20-10-2022</t>
  </si>
  <si>
    <t>16-11-2022</t>
  </si>
  <si>
    <t>23-11-2022</t>
  </si>
  <si>
    <t>14-12-2022</t>
  </si>
  <si>
    <t>06-12-2022</t>
  </si>
  <si>
    <t>02-12-2022</t>
  </si>
  <si>
    <t>26-10-2022</t>
  </si>
  <si>
    <t>01-12-2022</t>
  </si>
  <si>
    <t>15-12-2022</t>
  </si>
  <si>
    <t>18-11-2022</t>
  </si>
  <si>
    <t>10-11-2022</t>
  </si>
  <si>
    <t>05-12-2022</t>
  </si>
  <si>
    <t>12-12-2022</t>
  </si>
  <si>
    <t>22-12-2022</t>
  </si>
  <si>
    <t>03-11-2022</t>
  </si>
  <si>
    <t>06-10-2022</t>
  </si>
  <si>
    <t>27-10-2022</t>
  </si>
  <si>
    <t>09-11-2022</t>
  </si>
  <si>
    <t>25-11-2022</t>
  </si>
  <si>
    <t>28-11-2022</t>
  </si>
  <si>
    <t>30-11-2022</t>
  </si>
  <si>
    <t>27-12-2022</t>
  </si>
  <si>
    <t>21-07-2022</t>
  </si>
  <si>
    <t>16-12-2022</t>
  </si>
  <si>
    <t>24-10-2022</t>
  </si>
  <si>
    <t>12-10-2022</t>
  </si>
  <si>
    <t>04-10-2022</t>
  </si>
  <si>
    <t>07-10-2022</t>
  </si>
  <si>
    <t>prestar servicios profesionales en la escuela de formacion y_x000D_ aprendizaje docente coordinando el desarrollo de recursos,_x000D_ metodologias y estrategias para implementar los circuitos de_x000D_ formación de la efad en el marco del modelo educativo de la_x000D_ universidad de cundinamarca</t>
  </si>
  <si>
    <t>4020202050404-5</t>
  </si>
  <si>
    <t>30-12-2022</t>
  </si>
  <si>
    <t>18-04-2022</t>
  </si>
  <si>
    <t>16-05-2022</t>
  </si>
  <si>
    <t>23-06-2022</t>
  </si>
  <si>
    <t>26-08-2022</t>
  </si>
  <si>
    <t>02-09-2022</t>
  </si>
  <si>
    <t>06-09-2022</t>
  </si>
  <si>
    <t>08-09-2022</t>
  </si>
  <si>
    <t>14-09-2022</t>
  </si>
  <si>
    <t>19-09-2022</t>
  </si>
  <si>
    <t>20-09-2022</t>
  </si>
  <si>
    <t>21-09-2022</t>
  </si>
  <si>
    <t>27-09-2022</t>
  </si>
  <si>
    <t>07-12-2022</t>
  </si>
  <si>
    <t>23-12-2022</t>
  </si>
  <si>
    <t>28-12-2022</t>
  </si>
  <si>
    <t>29-12-2022</t>
  </si>
  <si>
    <t>30-09-2022</t>
  </si>
  <si>
    <t>21-12-2022</t>
  </si>
  <si>
    <t>28-07-2022</t>
  </si>
  <si>
    <t>17-11-2022</t>
  </si>
  <si>
    <t>29-07-2022</t>
  </si>
  <si>
    <t>10-03-2022</t>
  </si>
  <si>
    <t>11-05-2022</t>
  </si>
  <si>
    <t>16-06-2022</t>
  </si>
  <si>
    <t>10-08-2022</t>
  </si>
  <si>
    <t>19-08-2022</t>
  </si>
  <si>
    <t>30-08-2022</t>
  </si>
  <si>
    <t>01-09-2022</t>
  </si>
  <si>
    <t>05-09-2022</t>
  </si>
  <si>
    <t>07-09-2022</t>
  </si>
  <si>
    <t>13-09-2022</t>
  </si>
  <si>
    <t>12-09-2022</t>
  </si>
  <si>
    <t>23-09-2022</t>
  </si>
  <si>
    <t>29-09-2022</t>
  </si>
  <si>
    <t>05-10-2022</t>
  </si>
  <si>
    <t>09-09-2022</t>
  </si>
  <si>
    <t>19-12-2022</t>
  </si>
  <si>
    <t>19-10-2022</t>
  </si>
  <si>
    <t>26-07-2022</t>
  </si>
  <si>
    <t>03-10-2022</t>
  </si>
  <si>
    <t>18-08-2022</t>
  </si>
  <si>
    <t>28-09-2022</t>
  </si>
  <si>
    <t>01-08-2022</t>
  </si>
  <si>
    <t>12-08-2022</t>
  </si>
  <si>
    <t>25-10-2022</t>
  </si>
  <si>
    <t>03-08-2022</t>
  </si>
  <si>
    <t>27-04-2022</t>
  </si>
  <si>
    <t>06-05-2022</t>
  </si>
  <si>
    <t>03-06-2022</t>
  </si>
  <si>
    <t>12-07-2022</t>
  </si>
  <si>
    <t>11-08-2022</t>
  </si>
  <si>
    <t>16-08-2022</t>
  </si>
  <si>
    <t>17-08-2022</t>
  </si>
  <si>
    <t>21-11-2022</t>
  </si>
  <si>
    <t>21-01-2022</t>
  </si>
  <si>
    <t>24-01-2022</t>
  </si>
  <si>
    <t>06-07-2022</t>
  </si>
  <si>
    <t>14-07-2022</t>
  </si>
  <si>
    <t>15-07-2022</t>
  </si>
  <si>
    <t>15-09-2022</t>
  </si>
  <si>
    <t>16-09-2022</t>
  </si>
  <si>
    <t>05-08-2022</t>
  </si>
  <si>
    <t>07-07-2022</t>
  </si>
  <si>
    <t>08-08-2022</t>
  </si>
  <si>
    <t>05-05-2022</t>
  </si>
  <si>
    <t>12-05-2022</t>
  </si>
  <si>
    <t>20-05-2022</t>
  </si>
  <si>
    <t>08-07-2022</t>
  </si>
  <si>
    <t>11-07-2022</t>
  </si>
  <si>
    <t>02-08-2022</t>
  </si>
  <si>
    <t>04-08-2022</t>
  </si>
  <si>
    <t>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</si>
</sst>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_€_-;\-* #,##0.00\ _€_-;_-* &quot;-&quot;??\ _€_-;_-@_-"/>
    <numFmt numFmtId="165" formatCode="[$$-240A]\ #,##0"/>
    <numFmt numFmtId="166" formatCode="_(* #,##0_);_(* \(#,##0\);_(* &quot;-&quot;??_);_(@_)"/>
    <numFmt numFmtId="167" formatCode="###,###"/>
    <numFmt numFmtId="168" formatCode="###,###,##0.00"/>
    <numFmt numFmtId="169" formatCode="###,###.00"/>
  </numFmts>
  <fonts count="35"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b/>
      <sz val="10"/>
      <color theme="0"/>
      <name val="Century Gothic"/>
      <family val="2"/>
    </font>
    <font>
      <sz val="11"/>
      <color theme="1"/>
      <name val="Century Gothic"/>
      <family val="2"/>
    </font>
    <font>
      <sz val="10"/>
      <color theme="1"/>
      <name val="Century Gothic"/>
      <family val="2"/>
    </font>
    <font>
      <sz val="10"/>
      <name val="Century Gothic"/>
      <family val="2"/>
    </font>
    <font>
      <b/>
      <sz val="10"/>
      <name val="Century Gothic"/>
      <family val="2"/>
    </font>
    <font>
      <sz val="11"/>
      <color rgb="FFFF0000"/>
      <name val="Calibri"/>
      <family val="2"/>
      <scheme val="minor"/>
    </font>
    <font>
      <sz val="11"/>
      <name val="Century Gothic"/>
      <family val="2"/>
    </font>
    <font>
      <b/>
      <sz val="11"/>
      <color theme="0"/>
      <name val="Century Gothic"/>
      <family val="2"/>
    </font>
    <font>
      <sz val="11"/>
      <color theme="9" tint="-0.499984740745262"/>
      <name val="Century Gothic"/>
      <family val="2"/>
    </font>
    <font>
      <sz val="11"/>
      <color theme="1"/>
      <name val="Arial"/>
      <family val="2"/>
    </font>
    <font>
      <sz val="11"/>
      <color rgb="FF000000"/>
      <name val="Arial"/>
      <family val="2"/>
    </font>
    <font>
      <b/>
      <sz val="10"/>
      <color rgb="FF292929"/>
      <name val="Arial"/>
      <family val="2"/>
    </font>
    <font>
      <sz val="10"/>
      <color theme="1"/>
      <name val="Arial"/>
      <family val="2"/>
    </font>
    <font>
      <b/>
      <sz val="10"/>
      <color rgb="FFFFFFFF"/>
      <name val="Arial"/>
      <family val="2"/>
    </font>
    <font>
      <sz val="10"/>
      <color theme="1"/>
      <name val="Arial Narrow"/>
      <family val="2"/>
    </font>
    <font>
      <b/>
      <sz val="10"/>
      <color rgb="FF0F3D38"/>
      <name val="Arial Narrow"/>
      <family val="2"/>
    </font>
    <font>
      <b/>
      <sz val="10"/>
      <color theme="1"/>
      <name val="Arial Narrow"/>
      <family val="2"/>
    </font>
    <font>
      <b/>
      <sz val="10"/>
      <color theme="1"/>
      <name val="Arial"/>
      <family val="2"/>
    </font>
    <font>
      <sz val="11"/>
      <name val="Calibri"/>
      <family val="2"/>
      <scheme val="minor"/>
    </font>
    <font>
      <b/>
      <sz val="11"/>
      <name val="Calibri"/>
      <family val="2"/>
      <scheme val="minor"/>
    </font>
    <font>
      <b/>
      <sz val="11"/>
      <color theme="1"/>
      <name val="Calibri"/>
      <family val="2"/>
      <scheme val="minor"/>
    </font>
    <font>
      <sz val="11"/>
      <name val="Times New Roman"/>
      <family val="1"/>
    </font>
    <font>
      <b/>
      <sz val="11"/>
      <name val="Times New Roman"/>
      <family val="1"/>
    </font>
    <font>
      <sz val="11"/>
      <name val="Times New Roman"/>
      <family val="1"/>
    </font>
    <font>
      <sz val="12"/>
      <color theme="1"/>
      <name val="Arial"/>
      <family val="2"/>
    </font>
    <font>
      <sz val="9"/>
      <name val="Century Gothic"/>
      <family val="2"/>
    </font>
    <font>
      <sz val="11"/>
      <name val="Times New Roman"/>
      <family val="1"/>
    </font>
    <font>
      <b/>
      <sz val="9"/>
      <color theme="1"/>
      <name val="Calibri"/>
      <family val="2"/>
      <scheme val="minor"/>
    </font>
    <font>
      <b/>
      <sz val="9"/>
      <name val="Century Gothic"/>
      <family val="2"/>
    </font>
    <font>
      <sz val="8"/>
      <color rgb="FF000000"/>
      <name val="Arial"/>
      <family val="2"/>
    </font>
    <font>
      <sz val="8"/>
      <color theme="1"/>
      <name val="Arial"/>
      <family val="2"/>
    </font>
  </fonts>
  <fills count="18">
    <fill>
      <patternFill patternType="none"/>
    </fill>
    <fill>
      <patternFill patternType="gray125"/>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rgb="FFFF0000"/>
        <bgColor indexed="64"/>
      </patternFill>
    </fill>
    <fill>
      <patternFill patternType="solid">
        <fgColor rgb="FFCC3399"/>
        <bgColor indexed="64"/>
      </patternFill>
    </fill>
    <fill>
      <patternFill patternType="solid">
        <fgColor rgb="FF99FF66"/>
        <bgColor indexed="64"/>
      </patternFill>
    </fill>
    <fill>
      <patternFill patternType="solid">
        <fgColor rgb="FFCC3399"/>
        <bgColor rgb="FF000000"/>
      </patternFill>
    </fill>
    <fill>
      <patternFill patternType="solid">
        <fgColor rgb="FFFF6699"/>
        <bgColor indexed="64"/>
      </patternFill>
    </fill>
    <fill>
      <patternFill patternType="solid">
        <fgColor rgb="FFCCCCFF"/>
        <bgColor indexed="64"/>
      </patternFill>
    </fill>
    <fill>
      <patternFill patternType="solid">
        <fgColor rgb="FFCCFF99"/>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F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right style="thin">
        <color theme="1"/>
      </right>
      <top/>
      <bottom/>
      <diagonal/>
    </border>
    <border>
      <left style="thin">
        <color theme="1"/>
      </left>
      <right style="thin">
        <color theme="1"/>
      </right>
      <top style="thin">
        <color theme="1"/>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64"/>
      </right>
      <top/>
      <bottom style="thin">
        <color indexed="64"/>
      </bottom>
      <diagonal/>
    </border>
  </borders>
  <cellStyleXfs count="10">
    <xf numFmtId="0" fontId="0" fillId="0" borderId="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3" fillId="0" borderId="0"/>
    <xf numFmtId="9" fontId="1" fillId="0" borderId="0" applyFont="0" applyFill="0" applyBorder="0" applyAlignment="0" applyProtection="0"/>
    <xf numFmtId="42" fontId="1" fillId="0" borderId="0" applyFont="0" applyFill="0" applyBorder="0" applyAlignment="0" applyProtection="0"/>
    <xf numFmtId="0" fontId="28" fillId="0" borderId="0"/>
    <xf numFmtId="41" fontId="1" fillId="0" borderId="0" applyFont="0" applyFill="0" applyBorder="0" applyAlignment="0" applyProtection="0"/>
    <xf numFmtId="44" fontId="1" fillId="0" borderId="0" applyFont="0" applyFill="0" applyBorder="0" applyAlignment="0" applyProtection="0"/>
  </cellStyleXfs>
  <cellXfs count="843">
    <xf numFmtId="0" fontId="0" fillId="0" borderId="0" xfId="0"/>
    <xf numFmtId="165" fontId="0" fillId="0" borderId="0" xfId="0" applyNumberFormat="1"/>
    <xf numFmtId="9" fontId="0" fillId="0" borderId="0" xfId="5" applyFont="1"/>
    <xf numFmtId="9" fontId="0" fillId="0" borderId="0" xfId="5" applyNumberFormat="1" applyFont="1"/>
    <xf numFmtId="9" fontId="0" fillId="0" borderId="4" xfId="5" applyNumberFormat="1" applyFont="1" applyFill="1" applyBorder="1" applyAlignment="1">
      <alignment vertical="center" wrapText="1"/>
    </xf>
    <xf numFmtId="0" fontId="0" fillId="0" borderId="0" xfId="0" applyBorder="1"/>
    <xf numFmtId="9" fontId="0" fillId="0" borderId="0" xfId="5" applyNumberFormat="1" applyFont="1" applyFill="1" applyBorder="1" applyAlignment="1">
      <alignment vertical="center" wrapText="1"/>
    </xf>
    <xf numFmtId="9" fontId="0" fillId="0" borderId="0" xfId="5" applyNumberFormat="1" applyFont="1" applyBorder="1"/>
    <xf numFmtId="0" fontId="7" fillId="0" borderId="2" xfId="0" applyFont="1" applyFill="1" applyBorder="1" applyAlignment="1">
      <alignment horizontal="left" vertical="center" wrapText="1"/>
    </xf>
    <xf numFmtId="0" fontId="9" fillId="0" borderId="0" xfId="0" applyFont="1"/>
    <xf numFmtId="9" fontId="12" fillId="3" borderId="2" xfId="5"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9" fontId="5" fillId="0" borderId="2" xfId="5" applyFont="1" applyBorder="1" applyAlignment="1">
      <alignment horizontal="center" vertical="center" wrapText="1"/>
    </xf>
    <xf numFmtId="0" fontId="13" fillId="5" borderId="0" xfId="0" applyFont="1" applyFill="1"/>
    <xf numFmtId="0" fontId="15" fillId="5" borderId="12" xfId="0" applyFont="1" applyFill="1" applyBorder="1" applyAlignment="1">
      <alignment horizontal="center" vertical="center" wrapText="1"/>
    </xf>
    <xf numFmtId="0" fontId="0" fillId="5" borderId="0" xfId="0" applyFill="1" applyBorder="1"/>
    <xf numFmtId="165" fontId="0" fillId="5" borderId="0" xfId="0" applyNumberFormat="1" applyFill="1" applyBorder="1"/>
    <xf numFmtId="165" fontId="0" fillId="5" borderId="0" xfId="0" applyNumberFormat="1" applyFill="1"/>
    <xf numFmtId="0" fontId="16" fillId="5" borderId="0" xfId="0" applyFont="1" applyFill="1"/>
    <xf numFmtId="0" fontId="0" fillId="5" borderId="0" xfId="0" applyFill="1"/>
    <xf numFmtId="0" fontId="17" fillId="6" borderId="23" xfId="0" applyFont="1" applyFill="1" applyBorder="1" applyAlignment="1">
      <alignment horizontal="center" vertical="center" wrapText="1"/>
    </xf>
    <xf numFmtId="9" fontId="11" fillId="2" borderId="1" xfId="5" applyFont="1" applyFill="1" applyBorder="1" applyAlignment="1">
      <alignment horizontal="center" vertical="center" wrapText="1"/>
    </xf>
    <xf numFmtId="165" fontId="5" fillId="5" borderId="2" xfId="0" applyNumberFormat="1" applyFont="1" applyFill="1" applyBorder="1" applyAlignment="1">
      <alignment horizontal="center" vertical="center" wrapText="1"/>
    </xf>
    <xf numFmtId="9" fontId="5" fillId="5" borderId="2" xfId="5" applyFont="1" applyFill="1" applyBorder="1" applyAlignment="1">
      <alignment horizontal="center" vertical="center" wrapText="1"/>
    </xf>
    <xf numFmtId="0" fontId="2" fillId="5" borderId="0" xfId="0" applyFont="1" applyFill="1"/>
    <xf numFmtId="0" fontId="18" fillId="5" borderId="0" xfId="0" applyFont="1" applyFill="1"/>
    <xf numFmtId="0" fontId="18" fillId="5" borderId="0" xfId="0" applyFont="1" applyFill="1" applyAlignment="1">
      <alignment horizontal="center"/>
    </xf>
    <xf numFmtId="0" fontId="19" fillId="5" borderId="0" xfId="0" applyFont="1" applyFill="1"/>
    <xf numFmtId="0" fontId="20" fillId="5" borderId="0" xfId="0" applyFont="1" applyFill="1"/>
    <xf numFmtId="9" fontId="19" fillId="5" borderId="0" xfId="0" applyNumberFormat="1" applyFont="1" applyFill="1"/>
    <xf numFmtId="165" fontId="11" fillId="6" borderId="1" xfId="0" applyNumberFormat="1" applyFont="1" applyFill="1" applyBorder="1" applyAlignment="1">
      <alignment horizontal="center" vertical="center"/>
    </xf>
    <xf numFmtId="0" fontId="4" fillId="6" borderId="2" xfId="0" applyFont="1" applyFill="1" applyBorder="1" applyAlignment="1">
      <alignment horizontal="center" vertical="center" wrapText="1"/>
    </xf>
    <xf numFmtId="9" fontId="4" fillId="6" borderId="2" xfId="5" applyNumberFormat="1" applyFont="1" applyFill="1" applyBorder="1" applyAlignment="1">
      <alignment horizontal="center" vertical="center" wrapText="1"/>
    </xf>
    <xf numFmtId="0" fontId="0" fillId="6" borderId="0" xfId="0" applyFill="1" applyBorder="1"/>
    <xf numFmtId="0" fontId="0" fillId="6" borderId="0" xfId="0" applyFill="1"/>
    <xf numFmtId="14" fontId="0" fillId="0" borderId="0" xfId="0" applyNumberFormat="1"/>
    <xf numFmtId="14" fontId="2" fillId="5" borderId="0" xfId="0" applyNumberFormat="1" applyFont="1" applyFill="1"/>
    <xf numFmtId="14" fontId="4" fillId="6"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Border="1"/>
    <xf numFmtId="0" fontId="0" fillId="0" borderId="0" xfId="0"/>
    <xf numFmtId="0" fontId="4" fillId="6"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9" fontId="8" fillId="0" borderId="4" xfId="5" applyNumberFormat="1"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22" fillId="0" borderId="0" xfId="0" applyFont="1" applyFill="1" applyBorder="1"/>
    <xf numFmtId="0" fontId="22" fillId="0" borderId="0" xfId="0" applyFont="1" applyFill="1"/>
    <xf numFmtId="0" fontId="10" fillId="0" borderId="2" xfId="0" applyFont="1" applyBorder="1"/>
    <xf numFmtId="165" fontId="7" fillId="0" borderId="2" xfId="0" applyNumberFormat="1" applyFont="1" applyBorder="1" applyAlignment="1">
      <alignment horizontal="center" vertical="center" wrapText="1"/>
    </xf>
    <xf numFmtId="0" fontId="8" fillId="0" borderId="24" xfId="0" applyFont="1" applyBorder="1" applyAlignment="1">
      <alignment horizontal="center" vertical="center" wrapText="1"/>
    </xf>
    <xf numFmtId="0" fontId="8" fillId="0" borderId="11" xfId="0" applyFont="1" applyBorder="1" applyAlignment="1">
      <alignment horizontal="center" vertical="center" wrapText="1"/>
    </xf>
    <xf numFmtId="166" fontId="8"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9" fontId="8" fillId="0" borderId="8" xfId="5" applyNumberFormat="1" applyFont="1" applyFill="1" applyBorder="1" applyAlignment="1">
      <alignment horizontal="center" vertical="center" wrapText="1"/>
    </xf>
    <xf numFmtId="0" fontId="8" fillId="0" borderId="8" xfId="0" applyFont="1" applyBorder="1" applyAlignment="1">
      <alignment horizontal="center" vertical="center" wrapText="1"/>
    </xf>
    <xf numFmtId="14" fontId="8" fillId="0" borderId="8" xfId="0" applyNumberFormat="1" applyFont="1" applyBorder="1" applyAlignment="1">
      <alignment horizontal="center" vertical="center" wrapText="1"/>
    </xf>
    <xf numFmtId="168" fontId="8" fillId="0" borderId="8" xfId="0" applyNumberFormat="1" applyFont="1" applyBorder="1" applyAlignment="1">
      <alignment horizontal="center" vertical="center" wrapText="1"/>
    </xf>
    <xf numFmtId="168" fontId="8" fillId="0" borderId="5" xfId="0" applyNumberFormat="1" applyFont="1" applyBorder="1" applyAlignment="1">
      <alignment horizontal="center" vertical="center" wrapText="1"/>
    </xf>
    <xf numFmtId="0" fontId="22" fillId="0" borderId="0" xfId="0" applyFont="1" applyBorder="1"/>
    <xf numFmtId="0" fontId="22" fillId="0" borderId="0" xfId="0" applyFont="1"/>
    <xf numFmtId="164" fontId="8" fillId="0" borderId="2" xfId="2"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2" xfId="2" applyFont="1" applyFill="1" applyBorder="1" applyAlignment="1">
      <alignment horizontal="center" vertical="center" wrapText="1"/>
    </xf>
    <xf numFmtId="167" fontId="8" fillId="0" borderId="10" xfId="0" applyNumberFormat="1" applyFont="1" applyBorder="1" applyAlignment="1">
      <alignment horizontal="center"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xf numFmtId="0" fontId="0" fillId="0" borderId="0" xfId="0"/>
    <xf numFmtId="167" fontId="8"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2" fillId="5" borderId="0" xfId="0" applyFont="1" applyFill="1" applyAlignment="1">
      <alignment horizontal="center"/>
    </xf>
    <xf numFmtId="0" fontId="0" fillId="0" borderId="0" xfId="0" applyAlignment="1">
      <alignment horizontal="center"/>
    </xf>
    <xf numFmtId="0" fontId="7" fillId="0" borderId="2" xfId="0" applyFont="1" applyFill="1" applyBorder="1" applyAlignment="1">
      <alignment horizontal="left" vertical="center"/>
    </xf>
    <xf numFmtId="14"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0" fontId="0" fillId="0" borderId="0" xfId="0" applyBorder="1" applyAlignment="1">
      <alignment horizont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5"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7" xfId="0" applyFont="1" applyFill="1" applyBorder="1" applyAlignment="1">
      <alignment horizontal="center" vertical="center" wrapText="1"/>
    </xf>
    <xf numFmtId="164" fontId="8" fillId="7" borderId="2" xfId="0" applyNumberFormat="1" applyFont="1" applyFill="1" applyBorder="1" applyAlignment="1">
      <alignment horizontal="center" vertical="center" wrapText="1"/>
    </xf>
    <xf numFmtId="9" fontId="8" fillId="7" borderId="4" xfId="5" applyNumberFormat="1" applyFont="1" applyFill="1" applyBorder="1" applyAlignment="1">
      <alignment horizontal="center" vertical="center" wrapText="1"/>
    </xf>
    <xf numFmtId="0" fontId="8" fillId="7" borderId="4" xfId="0" applyFont="1" applyFill="1" applyBorder="1" applyAlignment="1">
      <alignment horizontal="center" vertical="center" wrapText="1"/>
    </xf>
    <xf numFmtId="14" fontId="8" fillId="7" borderId="4"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5" xfId="0" applyFont="1" applyFill="1" applyBorder="1" applyAlignment="1">
      <alignment horizontal="center" vertical="center" wrapText="1"/>
    </xf>
    <xf numFmtId="164" fontId="8" fillId="7" borderId="4" xfId="2" applyFont="1" applyFill="1" applyBorder="1" applyAlignment="1">
      <alignment horizontal="center" vertical="center" wrapText="1"/>
    </xf>
    <xf numFmtId="14" fontId="8" fillId="7" borderId="2" xfId="0" applyNumberFormat="1" applyFont="1" applyFill="1" applyBorder="1" applyAlignment="1">
      <alignment horizontal="center" vertical="center" wrapText="1"/>
    </xf>
    <xf numFmtId="164" fontId="7" fillId="7" borderId="2" xfId="2"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quotePrefix="1" applyFont="1" applyFill="1" applyBorder="1" applyAlignment="1">
      <alignment horizontal="center" vertical="center" wrapText="1"/>
    </xf>
    <xf numFmtId="0" fontId="8" fillId="7" borderId="26" xfId="0" applyFont="1" applyFill="1" applyBorder="1" applyAlignment="1">
      <alignment horizontal="center" vertical="center" wrapText="1"/>
    </xf>
    <xf numFmtId="164" fontId="8" fillId="7" borderId="3" xfId="2" applyFont="1" applyFill="1" applyBorder="1" applyAlignment="1">
      <alignment vertical="center" wrapText="1"/>
    </xf>
    <xf numFmtId="164" fontId="8" fillId="7" borderId="1" xfId="2"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64" fontId="8" fillId="7" borderId="2" xfId="2"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2" xfId="0" applyFont="1" applyFill="1" applyBorder="1" applyAlignment="1">
      <alignment horizontal="left" vertical="center"/>
    </xf>
    <xf numFmtId="0" fontId="23" fillId="7" borderId="0" xfId="0" applyFont="1" applyFill="1" applyBorder="1"/>
    <xf numFmtId="0" fontId="23" fillId="7" borderId="0" xfId="0" applyFont="1" applyFill="1"/>
    <xf numFmtId="0" fontId="8" fillId="7" borderId="3" xfId="0" applyFont="1" applyFill="1" applyBorder="1" applyAlignment="1">
      <alignment vertical="center" wrapText="1"/>
    </xf>
    <xf numFmtId="0" fontId="8" fillId="7" borderId="3" xfId="0" applyFont="1" applyFill="1" applyBorder="1" applyAlignment="1">
      <alignment horizontal="left" vertical="center" wrapText="1"/>
    </xf>
    <xf numFmtId="164" fontId="8" fillId="7" borderId="3" xfId="2" applyFont="1" applyFill="1" applyBorder="1" applyAlignment="1">
      <alignment horizontal="center" vertical="center" wrapText="1"/>
    </xf>
    <xf numFmtId="0" fontId="23" fillId="0" borderId="0" xfId="0" applyFont="1" applyFill="1" applyBorder="1"/>
    <xf numFmtId="0" fontId="23" fillId="0" borderId="0" xfId="0" applyFont="1" applyFill="1"/>
    <xf numFmtId="14" fontId="8" fillId="0" borderId="10" xfId="0" applyNumberFormat="1" applyFont="1" applyBorder="1" applyAlignment="1">
      <alignment horizontal="center" vertical="center" wrapText="1"/>
    </xf>
    <xf numFmtId="168" fontId="8" fillId="0" borderId="10" xfId="0" applyNumberFormat="1" applyFont="1" applyBorder="1" applyAlignment="1">
      <alignment horizontal="center" vertical="center" wrapText="1"/>
    </xf>
    <xf numFmtId="168" fontId="8" fillId="0" borderId="27" xfId="0" applyNumberFormat="1" applyFont="1" applyBorder="1" applyAlignment="1">
      <alignment horizontal="center" vertical="center" wrapText="1"/>
    </xf>
    <xf numFmtId="0" fontId="8" fillId="7" borderId="2" xfId="0" applyFont="1" applyFill="1" applyBorder="1" applyAlignment="1">
      <alignment horizontal="left" vertical="center" wrapText="1"/>
    </xf>
    <xf numFmtId="0" fontId="7" fillId="7" borderId="2" xfId="0" applyFont="1" applyFill="1" applyBorder="1" applyAlignment="1">
      <alignment vertical="center" wrapText="1"/>
    </xf>
    <xf numFmtId="0" fontId="7" fillId="7" borderId="2" xfId="0" applyFont="1" applyFill="1" applyBorder="1" applyAlignment="1">
      <alignment horizontal="left" vertical="center" wrapText="1"/>
    </xf>
    <xf numFmtId="9" fontId="8" fillId="7" borderId="2" xfId="5" applyNumberFormat="1" applyFont="1" applyFill="1" applyBorder="1" applyAlignment="1">
      <alignment horizontal="center" vertical="center" wrapText="1"/>
    </xf>
    <xf numFmtId="0" fontId="22" fillId="7" borderId="2" xfId="0" applyFont="1" applyFill="1" applyBorder="1"/>
    <xf numFmtId="164" fontId="8" fillId="7" borderId="6" xfId="2"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0" fillId="0" borderId="0" xfId="0"/>
    <xf numFmtId="0" fontId="8" fillId="0" borderId="10" xfId="0" applyFont="1" applyBorder="1" applyAlignment="1">
      <alignment horizontal="center" vertical="center" wrapText="1"/>
    </xf>
    <xf numFmtId="0" fontId="4" fillId="6" borderId="3" xfId="0" applyFont="1" applyFill="1" applyBorder="1" applyAlignment="1">
      <alignment horizontal="center" vertical="center" wrapText="1"/>
    </xf>
    <xf numFmtId="14" fontId="4" fillId="6" borderId="3" xfId="0" applyNumberFormat="1" applyFont="1" applyFill="1" applyBorder="1" applyAlignment="1">
      <alignment horizontal="center" vertical="center" wrapText="1"/>
    </xf>
    <xf numFmtId="0" fontId="22" fillId="0" borderId="2" xfId="0" applyFont="1" applyFill="1" applyBorder="1"/>
    <xf numFmtId="9" fontId="8" fillId="0" borderId="8" xfId="5"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164" fontId="8" fillId="0" borderId="10" xfId="2" applyFont="1" applyBorder="1" applyAlignment="1">
      <alignment horizontal="center" vertical="center" wrapText="1"/>
    </xf>
    <xf numFmtId="9" fontId="11" fillId="6" borderId="1" xfId="5"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8" fillId="5" borderId="1" xfId="0" applyFont="1" applyFill="1" applyBorder="1" applyAlignment="1">
      <alignment horizontal="center" vertical="center" wrapText="1"/>
    </xf>
    <xf numFmtId="164" fontId="8" fillId="5" borderId="1" xfId="2" applyFont="1" applyFill="1" applyBorder="1" applyAlignment="1">
      <alignment horizontal="center" vertical="center" wrapText="1"/>
    </xf>
    <xf numFmtId="0" fontId="8" fillId="5" borderId="25" xfId="0" applyFont="1" applyFill="1" applyBorder="1" applyAlignment="1">
      <alignment horizontal="center" vertical="center" wrapText="1"/>
    </xf>
    <xf numFmtId="9" fontId="8" fillId="5" borderId="4" xfId="5" applyNumberFormat="1" applyFont="1" applyFill="1" applyBorder="1" applyAlignment="1">
      <alignment horizontal="center" vertical="center" wrapText="1"/>
    </xf>
    <xf numFmtId="0" fontId="23" fillId="5" borderId="0" xfId="0" applyFont="1" applyFill="1" applyBorder="1"/>
    <xf numFmtId="0" fontId="23" fillId="5" borderId="0" xfId="0" applyFont="1" applyFill="1"/>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164" fontId="7" fillId="7" borderId="1" xfId="2" applyFont="1" applyFill="1" applyBorder="1" applyAlignment="1">
      <alignment horizontal="center" vertical="center" wrapText="1"/>
    </xf>
    <xf numFmtId="164" fontId="7" fillId="5" borderId="1" xfId="2" applyFont="1" applyFill="1" applyBorder="1" applyAlignment="1">
      <alignment horizontal="center" vertical="center" wrapText="1"/>
    </xf>
    <xf numFmtId="0" fontId="8" fillId="5" borderId="2" xfId="0" applyFont="1" applyFill="1" applyBorder="1" applyAlignment="1">
      <alignment horizontal="center" vertical="center" wrapText="1"/>
    </xf>
    <xf numFmtId="164" fontId="8" fillId="5" borderId="2" xfId="2"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25" fillId="0" borderId="29" xfId="0" applyFont="1" applyBorder="1" applyAlignment="1">
      <alignment horizontal="left" vertical="center"/>
    </xf>
    <xf numFmtId="0" fontId="27" fillId="0" borderId="29" xfId="0" applyFont="1" applyBorder="1" applyAlignment="1">
      <alignment horizontal="left" vertical="center"/>
    </xf>
    <xf numFmtId="0" fontId="8" fillId="8" borderId="2" xfId="0" applyFont="1" applyFill="1" applyBorder="1" applyAlignment="1">
      <alignment horizontal="center" vertical="center" wrapText="1"/>
    </xf>
    <xf numFmtId="42" fontId="8" fillId="0" borderId="2" xfId="6" applyFont="1" applyFill="1" applyBorder="1" applyAlignment="1">
      <alignment horizontal="center" vertical="center" wrapText="1"/>
    </xf>
    <xf numFmtId="42" fontId="0" fillId="0" borderId="29" xfId="6" applyFont="1" applyBorder="1" applyAlignment="1">
      <alignment horizontal="center" vertical="center" wrapText="1"/>
    </xf>
    <xf numFmtId="14" fontId="27" fillId="0" borderId="29" xfId="0" applyNumberFormat="1" applyFont="1" applyFill="1" applyBorder="1" applyAlignment="1">
      <alignment horizontal="right" vertical="center"/>
    </xf>
    <xf numFmtId="14" fontId="27" fillId="5" borderId="29" xfId="0" applyNumberFormat="1" applyFont="1" applyFill="1" applyBorder="1" applyAlignment="1">
      <alignment horizontal="right" vertical="center"/>
    </xf>
    <xf numFmtId="14" fontId="7" fillId="0" borderId="2" xfId="0" applyNumberFormat="1" applyFont="1" applyFill="1" applyBorder="1" applyAlignment="1">
      <alignment horizontal="left" vertical="center"/>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7" fillId="0" borderId="4" xfId="2"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Border="1" applyAlignment="1">
      <alignment horizontal="center" vertical="center" wrapText="1"/>
    </xf>
    <xf numFmtId="164" fontId="8" fillId="0" borderId="2" xfId="2"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64" fontId="7" fillId="0" borderId="6" xfId="2" applyFont="1" applyFill="1" applyBorder="1" applyAlignment="1">
      <alignment horizontal="center" vertical="center" wrapText="1"/>
    </xf>
    <xf numFmtId="164" fontId="0" fillId="0" borderId="29" xfId="2" applyFont="1" applyBorder="1" applyAlignment="1">
      <alignment horizontal="center" vertical="center" wrapText="1"/>
    </xf>
    <xf numFmtId="164" fontId="8" fillId="0" borderId="27" xfId="2" applyFont="1" applyBorder="1" applyAlignment="1">
      <alignment horizontal="center" vertical="center" wrapText="1"/>
    </xf>
    <xf numFmtId="164" fontId="8" fillId="0" borderId="5" xfId="2" applyFont="1" applyBorder="1" applyAlignment="1">
      <alignment horizontal="center" vertical="center" wrapText="1"/>
    </xf>
    <xf numFmtId="164" fontId="8" fillId="0" borderId="8" xfId="2" applyFont="1" applyBorder="1" applyAlignment="1">
      <alignment horizontal="center" vertical="center" wrapText="1"/>
    </xf>
    <xf numFmtId="164" fontId="7" fillId="0" borderId="1" xfId="2"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8" fillId="0" borderId="4" xfId="2" applyFont="1" applyFill="1" applyBorder="1" applyAlignment="1">
      <alignment horizontal="center" vertical="center" wrapText="1"/>
    </xf>
    <xf numFmtId="164" fontId="8" fillId="0" borderId="1" xfId="2"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0" xfId="0"/>
    <xf numFmtId="0" fontId="0" fillId="0" borderId="0" xfId="0" applyBorder="1"/>
    <xf numFmtId="0" fontId="8" fillId="0" borderId="10" xfId="0" applyFont="1" applyBorder="1" applyAlignment="1">
      <alignment horizontal="center" vertical="center" wrapText="1"/>
    </xf>
    <xf numFmtId="164" fontId="8" fillId="0" borderId="2" xfId="2"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64" fontId="8" fillId="0" borderId="4" xfId="2" applyFont="1" applyFill="1" applyBorder="1" applyAlignment="1">
      <alignment horizontal="center" vertical="center" wrapText="1"/>
    </xf>
    <xf numFmtId="164" fontId="8" fillId="0" borderId="1" xfId="2"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0" xfId="0"/>
    <xf numFmtId="0" fontId="8" fillId="0" borderId="1" xfId="0" quotePrefix="1" applyFont="1" applyFill="1" applyBorder="1" applyAlignment="1">
      <alignment horizontal="center" vertical="center" wrapText="1"/>
    </xf>
    <xf numFmtId="164" fontId="20" fillId="5" borderId="0" xfId="2" applyFont="1" applyFill="1"/>
    <xf numFmtId="164" fontId="19" fillId="5" borderId="0" xfId="2" applyFont="1" applyFill="1"/>
    <xf numFmtId="164" fontId="2" fillId="5" borderId="0" xfId="2" applyFont="1" applyFill="1"/>
    <xf numFmtId="164" fontId="4" fillId="6" borderId="2" xfId="2" applyFont="1" applyFill="1" applyBorder="1" applyAlignment="1">
      <alignment horizontal="center" vertical="center" wrapText="1"/>
    </xf>
    <xf numFmtId="164" fontId="8" fillId="0" borderId="24" xfId="2" applyFont="1" applyBorder="1" applyAlignment="1">
      <alignment horizontal="center" vertical="center" wrapText="1"/>
    </xf>
    <xf numFmtId="164" fontId="8" fillId="0" borderId="11" xfId="2" applyFont="1" applyBorder="1" applyAlignment="1">
      <alignment horizontal="center" vertical="center" wrapText="1"/>
    </xf>
    <xf numFmtId="164" fontId="0" fillId="0" borderId="0" xfId="2" applyFont="1"/>
    <xf numFmtId="164" fontId="8" fillId="0" borderId="6" xfId="2" applyFont="1" applyFill="1" applyBorder="1" applyAlignment="1">
      <alignment horizontal="center" vertical="center" wrapText="1"/>
    </xf>
    <xf numFmtId="0" fontId="29" fillId="5" borderId="2" xfId="0" applyFont="1" applyFill="1" applyBorder="1" applyAlignment="1">
      <alignment horizontal="justify" vertical="center" wrapText="1"/>
    </xf>
    <xf numFmtId="0" fontId="29" fillId="5" borderId="2" xfId="0" applyFont="1" applyFill="1" applyBorder="1" applyAlignment="1">
      <alignment horizontal="center" vertical="center" wrapText="1"/>
    </xf>
    <xf numFmtId="0" fontId="29" fillId="5" borderId="2" xfId="0" applyFont="1" applyFill="1" applyBorder="1" applyAlignment="1">
      <alignment vertical="center" wrapText="1"/>
    </xf>
    <xf numFmtId="0" fontId="8" fillId="0" borderId="4" xfId="0" applyFont="1" applyFill="1" applyBorder="1" applyAlignment="1">
      <alignment horizontal="left" vertical="center"/>
    </xf>
    <xf numFmtId="0" fontId="8" fillId="0" borderId="28" xfId="0"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7" fillId="0" borderId="25" xfId="0" applyFont="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164" fontId="7" fillId="0" borderId="1" xfId="2"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0" xfId="0"/>
    <xf numFmtId="164" fontId="8" fillId="0" borderId="2" xfId="2" applyFont="1" applyFill="1" applyBorder="1" applyAlignment="1">
      <alignment horizontal="center" vertical="center" wrapText="1"/>
    </xf>
    <xf numFmtId="0" fontId="7" fillId="0" borderId="0" xfId="0" applyFont="1" applyBorder="1" applyAlignment="1">
      <alignment horizontal="center" vertical="center" wrapText="1"/>
    </xf>
    <xf numFmtId="164" fontId="7" fillId="0" borderId="7" xfId="2" applyFont="1" applyFill="1" applyBorder="1" applyAlignment="1">
      <alignment horizontal="center" vertical="center" wrapText="1"/>
    </xf>
    <xf numFmtId="164" fontId="7" fillId="0" borderId="25" xfId="2" applyFont="1" applyFill="1" applyBorder="1" applyAlignment="1">
      <alignment horizontal="center" vertical="center" wrapText="1"/>
    </xf>
    <xf numFmtId="164" fontId="7" fillId="5" borderId="25" xfId="2" applyFont="1" applyFill="1" applyBorder="1" applyAlignment="1">
      <alignment horizontal="center" vertical="center" wrapText="1"/>
    </xf>
    <xf numFmtId="0" fontId="8" fillId="0" borderId="2" xfId="0" quotePrefix="1" applyFont="1" applyFill="1" applyBorder="1" applyAlignment="1">
      <alignment vertical="center" wrapText="1"/>
    </xf>
    <xf numFmtId="164" fontId="7" fillId="0" borderId="2" xfId="2" applyFont="1" applyFill="1" applyBorder="1" applyAlignment="1">
      <alignment vertical="center" wrapText="1"/>
    </xf>
    <xf numFmtId="164" fontId="7" fillId="0" borderId="2" xfId="0" applyNumberFormat="1" applyFont="1" applyFill="1" applyBorder="1" applyAlignment="1">
      <alignment vertical="center" wrapText="1"/>
    </xf>
    <xf numFmtId="164" fontId="7" fillId="0" borderId="2" xfId="2" applyFont="1" applyBorder="1" applyAlignment="1">
      <alignment horizontal="center" vertical="center" wrapText="1"/>
    </xf>
    <xf numFmtId="164" fontId="7" fillId="7" borderId="25" xfId="2"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Border="1" applyAlignment="1">
      <alignment horizontal="center" vertical="center" wrapText="1"/>
    </xf>
    <xf numFmtId="164" fontId="8" fillId="0" borderId="2" xfId="2" applyFont="1" applyFill="1" applyBorder="1" applyAlignment="1">
      <alignment horizontal="center" vertical="center" wrapText="1"/>
    </xf>
    <xf numFmtId="0" fontId="7" fillId="0" borderId="3" xfId="0" applyFont="1" applyFill="1" applyBorder="1" applyAlignment="1">
      <alignment horizontal="center" vertical="center"/>
    </xf>
    <xf numFmtId="14" fontId="7" fillId="0" borderId="3" xfId="0" applyNumberFormat="1" applyFont="1" applyFill="1" applyBorder="1" applyAlignment="1">
      <alignment horizontal="center" vertical="center" wrapText="1"/>
    </xf>
    <xf numFmtId="0" fontId="27" fillId="5" borderId="2" xfId="0" applyFont="1" applyFill="1" applyBorder="1" applyAlignment="1">
      <alignment horizontal="left" vertical="center"/>
    </xf>
    <xf numFmtId="14" fontId="27" fillId="5" borderId="2" xfId="0" applyNumberFormat="1" applyFont="1" applyFill="1" applyBorder="1" applyAlignment="1">
      <alignment horizontal="right" vertical="center"/>
    </xf>
    <xf numFmtId="164" fontId="0" fillId="5" borderId="2" xfId="2" applyFont="1" applyFill="1" applyBorder="1" applyAlignment="1">
      <alignment horizontal="center" vertical="center" wrapText="1"/>
    </xf>
    <xf numFmtId="0" fontId="7" fillId="0" borderId="2" xfId="0" applyFont="1" applyFill="1" applyBorder="1" applyAlignment="1">
      <alignment horizontal="center" vertical="center" wrapText="1"/>
    </xf>
    <xf numFmtId="43" fontId="0" fillId="0" borderId="0" xfId="0" applyNumberFormat="1"/>
    <xf numFmtId="0" fontId="7" fillId="5" borderId="2" xfId="0" applyFont="1" applyFill="1" applyBorder="1" applyAlignment="1">
      <alignment horizontal="left" vertical="center"/>
    </xf>
    <xf numFmtId="0" fontId="31" fillId="5" borderId="0" xfId="0" applyFont="1" applyFill="1"/>
    <xf numFmtId="0" fontId="24" fillId="0" borderId="0" xfId="0" applyFont="1"/>
    <xf numFmtId="0" fontId="8" fillId="0" borderId="4" xfId="0" applyFont="1" applyFill="1" applyBorder="1" applyAlignment="1">
      <alignment vertical="center"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164" fontId="7" fillId="0" borderId="3" xfId="2" applyFont="1" applyFill="1" applyBorder="1" applyAlignment="1">
      <alignment vertical="center" wrapText="1"/>
    </xf>
    <xf numFmtId="164" fontId="7" fillId="0" borderId="4" xfId="2" applyFont="1" applyFill="1" applyBorder="1" applyAlignment="1">
      <alignment vertical="center" wrapText="1"/>
    </xf>
    <xf numFmtId="0" fontId="7" fillId="0" borderId="4" xfId="0" applyFont="1" applyFill="1" applyBorder="1" applyAlignment="1">
      <alignment horizontal="left" vertical="center"/>
    </xf>
    <xf numFmtId="0" fontId="7" fillId="0" borderId="2" xfId="0" applyFont="1" applyFill="1" applyBorder="1" applyAlignment="1">
      <alignment vertical="center"/>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64" fontId="7" fillId="0" borderId="2" xfId="2" applyFont="1" applyFill="1" applyBorder="1" applyAlignment="1">
      <alignment horizontal="center" vertical="center" wrapText="1"/>
    </xf>
    <xf numFmtId="0" fontId="7" fillId="0" borderId="2" xfId="0" applyFont="1" applyFill="1" applyBorder="1" applyAlignment="1">
      <alignment horizontal="center" vertical="center" wrapText="1"/>
    </xf>
    <xf numFmtId="164" fontId="7" fillId="0" borderId="3" xfId="2"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14" fontId="7" fillId="0" borderId="2" xfId="0" applyNumberFormat="1" applyFont="1" applyFill="1" applyBorder="1" applyAlignment="1">
      <alignment horizontal="center" vertical="center" wrapText="1"/>
    </xf>
    <xf numFmtId="164" fontId="7" fillId="0" borderId="2" xfId="2" applyFont="1" applyFill="1" applyBorder="1" applyAlignment="1">
      <alignment horizontal="center" vertical="center" wrapText="1"/>
    </xf>
    <xf numFmtId="164" fontId="7" fillId="5" borderId="2" xfId="2" applyFont="1" applyFill="1" applyBorder="1" applyAlignment="1">
      <alignment horizontal="center" vertical="center" wrapText="1"/>
    </xf>
    <xf numFmtId="41" fontId="7" fillId="0" borderId="4" xfId="8" applyFont="1" applyFill="1" applyBorder="1" applyAlignment="1">
      <alignment horizontal="center" vertical="center" wrapText="1"/>
    </xf>
    <xf numFmtId="41" fontId="7" fillId="0" borderId="6" xfId="8" applyFont="1" applyFill="1" applyBorder="1" applyAlignment="1">
      <alignment horizontal="center" vertical="center" wrapText="1"/>
    </xf>
    <xf numFmtId="41" fontId="7" fillId="0" borderId="2" xfId="8" applyFont="1" applyFill="1" applyBorder="1" applyAlignment="1">
      <alignment horizontal="center" vertical="center" wrapText="1"/>
    </xf>
    <xf numFmtId="14" fontId="7" fillId="0" borderId="2" xfId="0" applyNumberFormat="1" applyFont="1" applyFill="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14" fontId="7" fillId="0" borderId="3" xfId="0" applyNumberFormat="1" applyFont="1" applyFill="1" applyBorder="1" applyAlignment="1">
      <alignment vertical="center" wrapText="1"/>
    </xf>
    <xf numFmtId="14" fontId="7" fillId="0" borderId="4"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166" fontId="0" fillId="0" borderId="0" xfId="0" applyNumberFormat="1"/>
    <xf numFmtId="0" fontId="7" fillId="0" borderId="2" xfId="0" applyFont="1" applyFill="1" applyBorder="1" applyAlignment="1">
      <alignment horizontal="center" vertical="center" wrapText="1"/>
    </xf>
    <xf numFmtId="164" fontId="7" fillId="9" borderId="25" xfId="2"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7" fillId="9" borderId="2" xfId="2" applyFont="1" applyFill="1" applyBorder="1" applyAlignment="1">
      <alignment horizontal="center" vertical="center" wrapText="1"/>
    </xf>
    <xf numFmtId="164" fontId="7" fillId="9" borderId="7" xfId="2" applyFont="1" applyFill="1" applyBorder="1" applyAlignment="1">
      <alignment horizontal="center" vertical="center" wrapText="1"/>
    </xf>
    <xf numFmtId="164" fontId="7" fillId="9" borderId="4" xfId="2"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8" fillId="5" borderId="4" xfId="2" applyFont="1" applyFill="1" applyBorder="1" applyAlignment="1">
      <alignment horizontal="center" vertical="center" wrapText="1"/>
    </xf>
    <xf numFmtId="164" fontId="7" fillId="9" borderId="2" xfId="2" applyFont="1" applyFill="1" applyBorder="1" applyAlignment="1">
      <alignment vertical="center" wrapText="1"/>
    </xf>
    <xf numFmtId="164" fontId="8" fillId="5" borderId="1" xfId="2" applyFont="1" applyFill="1" applyBorder="1" applyAlignment="1">
      <alignment horizontal="center" vertical="center" wrapText="1"/>
    </xf>
    <xf numFmtId="164" fontId="8" fillId="5" borderId="2" xfId="2" applyFont="1" applyFill="1" applyBorder="1" applyAlignment="1">
      <alignment horizontal="center" vertical="center" wrapText="1"/>
    </xf>
    <xf numFmtId="164" fontId="8" fillId="5" borderId="2" xfId="2" applyFont="1" applyFill="1" applyBorder="1" applyAlignment="1">
      <alignment vertical="center" wrapText="1"/>
    </xf>
    <xf numFmtId="164" fontId="8" fillId="5" borderId="1" xfId="2" applyFont="1" applyFill="1" applyBorder="1" applyAlignment="1">
      <alignment vertical="center" wrapText="1"/>
    </xf>
    <xf numFmtId="0" fontId="8" fillId="0" borderId="1" xfId="0"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7" fillId="0" borderId="1"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8" fillId="5"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164" fontId="8" fillId="5" borderId="4" xfId="2" applyFont="1" applyFill="1" applyBorder="1" applyAlignment="1">
      <alignment horizontal="center" vertical="center" wrapText="1"/>
    </xf>
    <xf numFmtId="0" fontId="8" fillId="0" borderId="4" xfId="0"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7" fillId="9" borderId="3" xfId="2" applyFont="1" applyFill="1" applyBorder="1" applyAlignment="1">
      <alignment horizontal="center" vertical="center" wrapText="1"/>
    </xf>
    <xf numFmtId="164" fontId="7" fillId="9" borderId="4" xfId="2" applyFont="1" applyFill="1" applyBorder="1" applyAlignment="1">
      <alignment horizontal="center" vertical="center" wrapText="1"/>
    </xf>
    <xf numFmtId="164" fontId="7" fillId="9" borderId="1" xfId="2" applyFont="1" applyFill="1" applyBorder="1" applyAlignment="1">
      <alignment horizontal="center" vertical="center" wrapText="1"/>
    </xf>
    <xf numFmtId="0" fontId="7" fillId="0" borderId="1" xfId="0" applyFont="1" applyFill="1" applyBorder="1" applyAlignment="1">
      <alignment horizontal="left" vertical="center" wrapText="1"/>
    </xf>
    <xf numFmtId="164" fontId="7" fillId="0" borderId="3"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0" borderId="1" xfId="2" applyFont="1" applyFill="1" applyBorder="1" applyAlignment="1">
      <alignment horizontal="center" vertical="center" wrapText="1"/>
    </xf>
    <xf numFmtId="0" fontId="7" fillId="0" borderId="4" xfId="0" applyFont="1" applyFill="1" applyBorder="1" applyAlignment="1">
      <alignment horizontal="center" vertical="center" wrapText="1"/>
    </xf>
    <xf numFmtId="164" fontId="8" fillId="0" borderId="3" xfId="2" applyFont="1" applyFill="1" applyBorder="1" applyAlignment="1">
      <alignment horizontal="center" vertical="center" wrapText="1"/>
    </xf>
    <xf numFmtId="164" fontId="8" fillId="0" borderId="1" xfId="2" applyFont="1" applyFill="1" applyBorder="1" applyAlignment="1">
      <alignment horizontal="center" vertical="center" wrapText="1"/>
    </xf>
    <xf numFmtId="0" fontId="0" fillId="9" borderId="1" xfId="0" applyFill="1" applyBorder="1" applyAlignment="1">
      <alignment horizontal="left" vertical="center" wrapText="1"/>
    </xf>
    <xf numFmtId="0" fontId="0" fillId="0" borderId="1" xfId="0" applyBorder="1" applyAlignment="1">
      <alignment horizontal="left" vertical="center" wrapText="1"/>
    </xf>
    <xf numFmtId="0" fontId="8" fillId="0" borderId="1" xfId="0" applyFont="1" applyFill="1" applyBorder="1" applyAlignment="1">
      <alignment horizontal="left" vertical="center" wrapText="1"/>
    </xf>
    <xf numFmtId="164" fontId="8" fillId="0" borderId="4"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0" borderId="0" xfId="0"/>
    <xf numFmtId="0" fontId="8" fillId="0" borderId="10" xfId="0" applyFont="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164" fontId="7" fillId="0"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8" fillId="0" borderId="4" xfId="2"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1" xfId="0" applyFont="1" applyBorder="1"/>
    <xf numFmtId="9" fontId="8" fillId="0" borderId="10" xfId="5" applyNumberFormat="1" applyFont="1" applyFill="1" applyBorder="1" applyAlignment="1">
      <alignment horizontal="center" vertical="center" wrapText="1"/>
    </xf>
    <xf numFmtId="0" fontId="23" fillId="7" borderId="2" xfId="0" applyFont="1" applyFill="1" applyBorder="1"/>
    <xf numFmtId="0" fontId="7" fillId="0" borderId="9" xfId="0" applyFont="1" applyBorder="1" applyAlignment="1">
      <alignment horizontal="center" vertical="center" wrapText="1"/>
    </xf>
    <xf numFmtId="0" fontId="7" fillId="0" borderId="0" xfId="0" applyFont="1" applyFill="1" applyBorder="1" applyAlignment="1">
      <alignment horizontal="left" vertical="center"/>
    </xf>
    <xf numFmtId="0" fontId="8" fillId="0" borderId="26" xfId="0" applyFont="1" applyFill="1" applyBorder="1" applyAlignment="1">
      <alignment horizontal="center" vertical="center" wrapText="1"/>
    </xf>
    <xf numFmtId="164" fontId="7" fillId="0" borderId="2" xfId="2" applyFont="1" applyFill="1" applyBorder="1" applyAlignment="1">
      <alignment horizontal="center" vertical="center"/>
    </xf>
    <xf numFmtId="14" fontId="8" fillId="0" borderId="2" xfId="0" applyNumberFormat="1" applyFont="1" applyFill="1" applyBorder="1" applyAlignment="1">
      <alignment horizontal="center" vertical="center"/>
    </xf>
    <xf numFmtId="164" fontId="7" fillId="0" borderId="4" xfId="2" applyFont="1" applyFill="1" applyBorder="1" applyAlignment="1">
      <alignment horizontal="center" vertical="center"/>
    </xf>
    <xf numFmtId="0" fontId="30" fillId="0" borderId="0" xfId="0" applyFont="1" applyBorder="1" applyAlignment="1">
      <alignment horizontal="left" vertical="center"/>
    </xf>
    <xf numFmtId="164" fontId="7" fillId="5" borderId="2" xfId="2" applyFont="1" applyFill="1" applyBorder="1" applyAlignment="1">
      <alignment horizontal="center" vertical="center"/>
    </xf>
    <xf numFmtId="0" fontId="25" fillId="0" borderId="0" xfId="0" applyFont="1" applyBorder="1" applyAlignment="1">
      <alignment horizontal="left" vertical="center"/>
    </xf>
    <xf numFmtId="0" fontId="7" fillId="0" borderId="3" xfId="0" applyFont="1" applyFill="1" applyBorder="1" applyAlignment="1">
      <alignment horizontal="left" vertical="center"/>
    </xf>
    <xf numFmtId="14" fontId="8" fillId="0" borderId="3" xfId="0" applyNumberFormat="1" applyFont="1" applyFill="1" applyBorder="1" applyAlignment="1">
      <alignment horizontal="center" vertical="center" wrapText="1"/>
    </xf>
    <xf numFmtId="0" fontId="25" fillId="0" borderId="31" xfId="0" applyFont="1" applyBorder="1" applyAlignment="1">
      <alignment horizontal="left" vertical="center"/>
    </xf>
    <xf numFmtId="0" fontId="8" fillId="8" borderId="1" xfId="0" applyFont="1" applyFill="1" applyBorder="1" applyAlignment="1">
      <alignment horizontal="center" vertical="center" wrapText="1"/>
    </xf>
    <xf numFmtId="14" fontId="7" fillId="5" borderId="2" xfId="0" applyNumberFormat="1" applyFont="1" applyFill="1" applyBorder="1" applyAlignment="1">
      <alignment horizontal="center" vertical="center"/>
    </xf>
    <xf numFmtId="0" fontId="25" fillId="0" borderId="30" xfId="0" applyFont="1" applyBorder="1" applyAlignment="1">
      <alignment horizontal="left" vertical="center"/>
    </xf>
    <xf numFmtId="0" fontId="25" fillId="0" borderId="2" xfId="0" applyFont="1" applyBorder="1" applyAlignment="1">
      <alignment horizontal="left"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8" fillId="0" borderId="4" xfId="2" applyFont="1" applyFill="1" applyBorder="1" applyAlignment="1">
      <alignment horizontal="center" vertical="center" wrapText="1"/>
    </xf>
    <xf numFmtId="0" fontId="7" fillId="0" borderId="4"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42" fontId="7" fillId="0" borderId="2" xfId="6"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8" fillId="5"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0" borderId="1" xfId="2" applyFont="1" applyFill="1" applyBorder="1" applyAlignment="1">
      <alignment horizontal="center" vertical="center" wrapText="1"/>
    </xf>
    <xf numFmtId="0" fontId="0" fillId="9" borderId="1" xfId="0" applyFill="1" applyBorder="1" applyAlignment="1">
      <alignment horizontal="left" vertical="center" wrapText="1"/>
    </xf>
    <xf numFmtId="0" fontId="0" fillId="0" borderId="1" xfId="0" applyBorder="1" applyAlignment="1">
      <alignment horizontal="left" vertical="center" wrapText="1"/>
    </xf>
    <xf numFmtId="0" fontId="7" fillId="0" borderId="2" xfId="0" applyFont="1" applyFill="1" applyBorder="1" applyAlignment="1">
      <alignment horizontal="center" vertical="center" wrapText="1"/>
    </xf>
    <xf numFmtId="164" fontId="0" fillId="0" borderId="0" xfId="2" applyFont="1" applyBorder="1" applyAlignment="1">
      <alignment horizontal="center" vertical="center" wrapText="1"/>
    </xf>
    <xf numFmtId="164" fontId="0" fillId="0" borderId="2" xfId="2" applyFont="1" applyBorder="1" applyAlignment="1">
      <alignment horizontal="center" vertical="center" wrapText="1"/>
    </xf>
    <xf numFmtId="164" fontId="0" fillId="0" borderId="2" xfId="2" applyFont="1" applyBorder="1"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164" fontId="7" fillId="0" borderId="3"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164" fontId="1" fillId="0" borderId="29" xfId="2" applyFont="1" applyBorder="1" applyAlignment="1">
      <alignment horizontal="center" vertical="center" wrapText="1"/>
    </xf>
    <xf numFmtId="4" fontId="0" fillId="0" borderId="0" xfId="0" applyNumberFormat="1"/>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7" fillId="0" borderId="3"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0" borderId="1" xfId="2"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9" fontId="5" fillId="0" borderId="2" xfId="5" applyNumberFormat="1" applyFont="1" applyBorder="1" applyAlignment="1">
      <alignment horizontal="center" vertical="center" wrapText="1"/>
    </xf>
    <xf numFmtId="164"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3"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0" borderId="1" xfId="2"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164" fontId="7" fillId="9" borderId="3" xfId="2" applyFont="1" applyFill="1" applyBorder="1" applyAlignment="1">
      <alignment horizontal="center" vertical="center" wrapText="1"/>
    </xf>
    <xf numFmtId="164" fontId="7" fillId="9" borderId="4" xfId="2"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8" fillId="5" borderId="25" xfId="2"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8" fillId="5" borderId="4" xfId="2" applyFont="1" applyFill="1" applyBorder="1" applyAlignment="1">
      <alignment horizontal="center" vertical="center" wrapText="1"/>
    </xf>
    <xf numFmtId="164" fontId="8" fillId="5" borderId="1" xfId="2" applyFont="1" applyFill="1" applyBorder="1" applyAlignment="1">
      <alignment horizontal="center" vertical="center" wrapText="1"/>
    </xf>
    <xf numFmtId="164" fontId="8" fillId="0" borderId="4" xfId="2" applyFont="1" applyFill="1" applyBorder="1" applyAlignment="1">
      <alignment horizontal="center" vertical="center" wrapText="1"/>
    </xf>
    <xf numFmtId="164" fontId="8" fillId="0" borderId="1" xfId="2" applyFont="1" applyFill="1" applyBorder="1" applyAlignment="1">
      <alignment horizontal="center" vertical="center" wrapText="1"/>
    </xf>
    <xf numFmtId="164" fontId="8" fillId="0" borderId="2" xfId="2"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64" fontId="7" fillId="5" borderId="1"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41" fontId="7" fillId="5" borderId="2" xfId="8" applyFont="1" applyFill="1" applyBorder="1" applyAlignment="1">
      <alignment horizontal="center" vertical="center" wrapText="1"/>
    </xf>
    <xf numFmtId="164" fontId="7" fillId="5" borderId="3" xfId="2"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8" fillId="5" borderId="2" xfId="2" applyFont="1" applyFill="1" applyBorder="1" applyAlignment="1">
      <alignment horizontal="center" vertical="center" wrapText="1"/>
    </xf>
    <xf numFmtId="0" fontId="8" fillId="0" borderId="10" xfId="0" applyFont="1" applyBorder="1" applyAlignment="1">
      <alignment horizontal="center" vertical="center" wrapText="1"/>
    </xf>
    <xf numFmtId="0" fontId="7" fillId="0" borderId="1" xfId="0" applyFont="1" applyFill="1" applyBorder="1" applyAlignment="1">
      <alignment horizontal="left" vertical="center" wrapText="1"/>
    </xf>
    <xf numFmtId="0" fontId="26" fillId="10" borderId="29" xfId="0" applyFont="1" applyFill="1" applyBorder="1" applyAlignment="1">
      <alignment horizontal="center" vertical="center"/>
    </xf>
    <xf numFmtId="0" fontId="26" fillId="10" borderId="30" xfId="0" applyFont="1" applyFill="1" applyBorder="1" applyAlignment="1">
      <alignment horizontal="center" vertical="center"/>
    </xf>
    <xf numFmtId="0" fontId="26" fillId="10" borderId="2" xfId="0" applyFont="1" applyFill="1" applyBorder="1" applyAlignment="1">
      <alignment horizontal="center" vertical="center"/>
    </xf>
    <xf numFmtId="0" fontId="8" fillId="10" borderId="2" xfId="0" applyFont="1" applyFill="1" applyBorder="1" applyAlignment="1">
      <alignment horizontal="center" vertical="center" wrapText="1"/>
    </xf>
    <xf numFmtId="0" fontId="7" fillId="10" borderId="2" xfId="0" applyFont="1" applyFill="1" applyBorder="1" applyAlignment="1">
      <alignment horizontal="center" vertical="center"/>
    </xf>
    <xf numFmtId="0" fontId="8" fillId="10" borderId="2" xfId="0" applyFont="1" applyFill="1" applyBorder="1" applyAlignment="1">
      <alignment horizontal="center" vertical="center"/>
    </xf>
    <xf numFmtId="0" fontId="34" fillId="0" borderId="0" xfId="0" applyFont="1"/>
    <xf numFmtId="0" fontId="8" fillId="10" borderId="4" xfId="0" applyFont="1" applyFill="1" applyBorder="1" applyAlignment="1">
      <alignment horizontal="center" vertical="center" wrapText="1"/>
    </xf>
    <xf numFmtId="0" fontId="34" fillId="0" borderId="2" xfId="0" applyFont="1" applyBorder="1" applyAlignment="1">
      <alignment vertical="center"/>
    </xf>
    <xf numFmtId="164" fontId="7" fillId="0" borderId="6" xfId="2" applyFont="1" applyFill="1" applyBorder="1" applyAlignment="1">
      <alignment horizontal="center" vertical="center"/>
    </xf>
    <xf numFmtId="14" fontId="7" fillId="0" borderId="4" xfId="0" applyNumberFormat="1" applyFont="1" applyFill="1" applyBorder="1" applyAlignment="1">
      <alignment horizontal="center" vertical="center"/>
    </xf>
    <xf numFmtId="164" fontId="7" fillId="0" borderId="2" xfId="2" applyFont="1" applyFill="1" applyBorder="1" applyAlignment="1">
      <alignment horizontal="right" vertical="center"/>
    </xf>
    <xf numFmtId="0" fontId="7" fillId="10" borderId="2"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7" fillId="0" borderId="1" xfId="0" applyFont="1" applyFill="1" applyBorder="1" applyAlignment="1">
      <alignment horizontal="left" vertical="center"/>
    </xf>
    <xf numFmtId="14" fontId="7" fillId="0" borderId="1" xfId="0" applyNumberFormat="1" applyFont="1" applyFill="1" applyBorder="1" applyAlignment="1">
      <alignment horizontal="center" vertical="center"/>
    </xf>
    <xf numFmtId="164" fontId="7" fillId="0" borderId="1" xfId="2" applyFont="1" applyFill="1" applyBorder="1" applyAlignment="1">
      <alignment horizontal="center" vertical="center"/>
    </xf>
    <xf numFmtId="0" fontId="27" fillId="10" borderId="29" xfId="0" applyFont="1" applyFill="1" applyBorder="1" applyAlignment="1">
      <alignment horizontal="center" vertical="center"/>
    </xf>
    <xf numFmtId="0" fontId="27" fillId="0" borderId="0" xfId="0" applyFont="1" applyBorder="1" applyAlignment="1">
      <alignment horizontal="left" vertical="center"/>
    </xf>
    <xf numFmtId="0" fontId="27" fillId="10" borderId="0" xfId="0" applyFont="1" applyFill="1" applyBorder="1" applyAlignment="1">
      <alignment horizontal="center" vertical="center"/>
    </xf>
    <xf numFmtId="14" fontId="27" fillId="0" borderId="0" xfId="0" applyNumberFormat="1" applyFont="1" applyFill="1" applyBorder="1" applyAlignment="1">
      <alignment horizontal="right" vertical="center"/>
    </xf>
    <xf numFmtId="42" fontId="0" fillId="0" borderId="0" xfId="6" applyFont="1" applyBorder="1" applyAlignment="1">
      <alignment horizontal="center" vertical="center" wrapText="1"/>
    </xf>
    <xf numFmtId="0" fontId="8" fillId="0" borderId="35"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27" fillId="10" borderId="2" xfId="0" applyFont="1" applyFill="1" applyBorder="1" applyAlignment="1">
      <alignment horizontal="center" vertical="center"/>
    </xf>
    <xf numFmtId="0" fontId="23" fillId="5" borderId="2" xfId="0" applyFont="1" applyFill="1" applyBorder="1"/>
    <xf numFmtId="164" fontId="8" fillId="5" borderId="1" xfId="0" applyNumberFormat="1" applyFont="1" applyFill="1" applyBorder="1" applyAlignment="1">
      <alignment horizontal="center" vertical="center" wrapText="1"/>
    </xf>
    <xf numFmtId="164" fontId="7" fillId="9" borderId="6" xfId="2" applyFont="1" applyFill="1" applyBorder="1" applyAlignment="1">
      <alignment horizontal="center" vertical="center" wrapText="1"/>
    </xf>
    <xf numFmtId="0" fontId="8" fillId="10" borderId="3"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right" vertical="center" wrapText="1"/>
    </xf>
    <xf numFmtId="0" fontId="8" fillId="10" borderId="3" xfId="0" applyFont="1" applyFill="1" applyBorder="1" applyAlignment="1">
      <alignment horizontal="right" vertical="center" wrapText="1"/>
    </xf>
    <xf numFmtId="0" fontId="8" fillId="10" borderId="3" xfId="0" applyFont="1" applyFill="1" applyBorder="1" applyAlignment="1">
      <alignment vertical="center"/>
    </xf>
    <xf numFmtId="0" fontId="8" fillId="10" borderId="4" xfId="0" applyFont="1" applyFill="1" applyBorder="1" applyAlignment="1">
      <alignment horizontal="right" vertical="center"/>
    </xf>
    <xf numFmtId="0" fontId="8" fillId="10" borderId="4" xfId="0" applyFont="1" applyFill="1" applyBorder="1" applyAlignment="1">
      <alignment vertical="center" wrapText="1"/>
    </xf>
    <xf numFmtId="0" fontId="8" fillId="10" borderId="2" xfId="0" applyFont="1" applyFill="1" applyBorder="1" applyAlignment="1">
      <alignment horizontal="center" vertical="center" wrapText="1"/>
    </xf>
    <xf numFmtId="0" fontId="8" fillId="10" borderId="2" xfId="0" applyFont="1" applyFill="1" applyBorder="1" applyAlignment="1">
      <alignment vertical="center" wrapText="1"/>
    </xf>
    <xf numFmtId="0" fontId="8" fillId="10" borderId="3" xfId="0" applyFont="1" applyFill="1" applyBorder="1" applyAlignment="1">
      <alignment horizontal="center" vertical="center" wrapText="1"/>
    </xf>
    <xf numFmtId="0" fontId="8" fillId="5" borderId="3" xfId="0" applyFont="1" applyFill="1" applyBorder="1" applyAlignment="1">
      <alignment vertical="center" wrapText="1"/>
    </xf>
    <xf numFmtId="164" fontId="7" fillId="9" borderId="26" xfId="2"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8" borderId="2" xfId="2" applyFont="1" applyFill="1" applyBorder="1" applyAlignment="1">
      <alignment horizontal="center" vertical="center" wrapText="1"/>
    </xf>
    <xf numFmtId="42" fontId="8" fillId="0" borderId="2" xfId="0" applyNumberFormat="1" applyFont="1" applyFill="1" applyBorder="1" applyAlignment="1">
      <alignment horizontal="center" vertical="center" wrapText="1"/>
    </xf>
    <xf numFmtId="42" fontId="7" fillId="0" borderId="1" xfId="0" applyNumberFormat="1" applyFont="1" applyFill="1" applyBorder="1" applyAlignment="1">
      <alignment horizontal="center" vertical="center" wrapText="1"/>
    </xf>
    <xf numFmtId="164" fontId="7" fillId="0" borderId="1" xfId="2" applyFont="1" applyFill="1" applyBorder="1" applyAlignment="1">
      <alignment vertical="center" wrapText="1"/>
    </xf>
    <xf numFmtId="0" fontId="29" fillId="12" borderId="2" xfId="0" applyFont="1" applyFill="1" applyBorder="1" applyAlignment="1">
      <alignment vertical="center" wrapText="1"/>
    </xf>
    <xf numFmtId="0" fontId="29" fillId="12" borderId="2" xfId="0" applyFont="1" applyFill="1" applyBorder="1" applyAlignment="1">
      <alignment horizontal="justify" vertical="center" wrapText="1"/>
    </xf>
    <xf numFmtId="0" fontId="7" fillId="12" borderId="1" xfId="0" applyFont="1" applyFill="1" applyBorder="1" applyAlignment="1">
      <alignment horizontal="center" vertical="center" wrapText="1"/>
    </xf>
    <xf numFmtId="43" fontId="8" fillId="0" borderId="2" xfId="0" applyNumberFormat="1" applyFont="1" applyFill="1" applyBorder="1" applyAlignment="1">
      <alignment horizontal="center" vertical="center" wrapText="1"/>
    </xf>
    <xf numFmtId="164" fontId="7" fillId="12" borderId="2" xfId="2" applyFont="1" applyFill="1" applyBorder="1" applyAlignment="1">
      <alignment horizontal="center" vertical="center" wrapText="1"/>
    </xf>
    <xf numFmtId="0" fontId="29" fillId="12" borderId="2" xfId="0"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0" fontId="7" fillId="12" borderId="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4"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6" fillId="12" borderId="2" xfId="0" applyFont="1" applyFill="1" applyBorder="1" applyAlignment="1">
      <alignment wrapText="1"/>
    </xf>
    <xf numFmtId="0" fontId="6" fillId="12" borderId="2" xfId="0" applyFont="1" applyFill="1" applyBorder="1" applyAlignment="1">
      <alignment vertical="center" wrapText="1"/>
    </xf>
    <xf numFmtId="164" fontId="7" fillId="12"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8" fillId="12" borderId="4" xfId="0" applyNumberFormat="1" applyFont="1" applyFill="1" applyBorder="1" applyAlignment="1">
      <alignment horizontal="center" vertical="center" wrapText="1"/>
    </xf>
    <xf numFmtId="164" fontId="8" fillId="0" borderId="4" xfId="2" applyFont="1" applyFill="1" applyBorder="1" applyAlignment="1">
      <alignment horizontal="center" vertical="center" wrapText="1"/>
    </xf>
    <xf numFmtId="0" fontId="8" fillId="0" borderId="4" xfId="0" applyFont="1" applyFill="1" applyBorder="1" applyAlignment="1">
      <alignment horizontal="center" vertical="center" wrapText="1"/>
    </xf>
    <xf numFmtId="164" fontId="7" fillId="0" borderId="4" xfId="2" applyFont="1" applyFill="1" applyBorder="1" applyAlignment="1">
      <alignment horizontal="center" vertical="center" wrapText="1"/>
    </xf>
    <xf numFmtId="43"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64" fontId="7" fillId="9" borderId="2" xfId="2" applyFont="1" applyFill="1" applyBorder="1" applyAlignment="1">
      <alignment horizontal="center" vertical="center"/>
    </xf>
    <xf numFmtId="44" fontId="7" fillId="0" borderId="2" xfId="9" applyFont="1" applyFill="1" applyBorder="1" applyAlignment="1">
      <alignment horizontal="center" vertical="center" wrapText="1"/>
    </xf>
    <xf numFmtId="42" fontId="0" fillId="0" borderId="2" xfId="6" applyFont="1" applyBorder="1" applyAlignment="1">
      <alignment horizontal="center" vertical="center" wrapText="1"/>
    </xf>
    <xf numFmtId="164" fontId="1" fillId="0" borderId="2" xfId="2" applyFont="1" applyBorder="1" applyAlignment="1">
      <alignment horizontal="center" vertical="center" wrapText="1"/>
    </xf>
    <xf numFmtId="42" fontId="0" fillId="9" borderId="29" xfId="6" applyFont="1" applyFill="1" applyBorder="1" applyAlignment="1">
      <alignment horizontal="center" vertical="center" wrapText="1"/>
    </xf>
    <xf numFmtId="169" fontId="8" fillId="0" borderId="10" xfId="0" applyNumberFormat="1" applyFont="1" applyBorder="1" applyAlignment="1">
      <alignment horizontal="center" vertical="center" wrapText="1"/>
    </xf>
    <xf numFmtId="164" fontId="8" fillId="0" borderId="4" xfId="2" applyFont="1" applyFill="1" applyBorder="1" applyAlignment="1">
      <alignment horizontal="center" vertical="center" wrapText="1"/>
    </xf>
    <xf numFmtId="164" fontId="7" fillId="0" borderId="4" xfId="2" applyFont="1" applyFill="1" applyBorder="1" applyAlignment="1">
      <alignment horizontal="center" vertical="center" wrapText="1"/>
    </xf>
    <xf numFmtId="0" fontId="33" fillId="0" borderId="0" xfId="0" applyFont="1" applyFill="1" applyAlignment="1">
      <alignment horizontal="left" vertical="center" wrapText="1"/>
    </xf>
    <xf numFmtId="165" fontId="10" fillId="0" borderId="2" xfId="0" applyNumberFormat="1" applyFont="1" applyFill="1" applyBorder="1" applyAlignment="1">
      <alignment horizontal="center" vertical="center" wrapText="1"/>
    </xf>
    <xf numFmtId="0" fontId="29" fillId="0" borderId="2" xfId="0" applyFont="1" applyFill="1" applyBorder="1" applyAlignment="1">
      <alignment horizontal="justify" vertical="center" wrapText="1"/>
    </xf>
    <xf numFmtId="164" fontId="7" fillId="0" borderId="3" xfId="2" applyFont="1" applyFill="1" applyBorder="1" applyAlignment="1">
      <alignment horizontal="center" vertical="center" wrapText="1"/>
    </xf>
    <xf numFmtId="164" fontId="8" fillId="0" borderId="4" xfId="2" applyFont="1" applyFill="1" applyBorder="1" applyAlignment="1">
      <alignment horizontal="center" vertical="center" wrapText="1"/>
    </xf>
    <xf numFmtId="0" fontId="8" fillId="8" borderId="2" xfId="0" applyFont="1" applyFill="1" applyBorder="1" applyAlignment="1">
      <alignment horizontal="center" vertical="center"/>
    </xf>
    <xf numFmtId="0" fontId="25" fillId="8" borderId="2" xfId="0" applyFont="1" applyFill="1" applyBorder="1" applyAlignment="1">
      <alignment horizontal="center" vertical="center"/>
    </xf>
    <xf numFmtId="164" fontId="0" fillId="0" borderId="2" xfId="2" applyFont="1" applyFill="1" applyBorder="1" applyAlignment="1">
      <alignment horizontal="center" vertical="center" wrapText="1"/>
    </xf>
    <xf numFmtId="164" fontId="7" fillId="0" borderId="3"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0" fillId="0" borderId="0" xfId="2" applyFont="1" applyBorder="1"/>
    <xf numFmtId="167" fontId="0" fillId="0" borderId="0" xfId="0" applyNumberFormat="1"/>
    <xf numFmtId="164" fontId="8" fillId="5" borderId="1"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9" borderId="4" xfId="2" applyFont="1" applyFill="1" applyBorder="1" applyAlignment="1">
      <alignment horizontal="center" vertical="center" wrapText="1"/>
    </xf>
    <xf numFmtId="164" fontId="8" fillId="0" borderId="4" xfId="2"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0" fillId="9" borderId="1" xfId="0" applyFill="1" applyBorder="1" applyAlignment="1">
      <alignment horizontal="left" vertical="center" wrapText="1"/>
    </xf>
    <xf numFmtId="0" fontId="0" fillId="0" borderId="1" xfId="0" applyBorder="1" applyAlignment="1">
      <alignment horizontal="left" vertical="center" wrapText="1"/>
    </xf>
    <xf numFmtId="0" fontId="7"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64" fontId="7" fillId="0" borderId="2" xfId="2"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8" fillId="0" borderId="1" xfId="2" applyFont="1" applyFill="1" applyBorder="1" applyAlignment="1">
      <alignment horizontal="center" vertical="center" wrapText="1"/>
    </xf>
    <xf numFmtId="0" fontId="7" fillId="0" borderId="1" xfId="0" applyFont="1" applyFill="1" applyBorder="1" applyAlignment="1">
      <alignment horizontal="left" vertical="center" wrapText="1"/>
    </xf>
    <xf numFmtId="164" fontId="7" fillId="0" borderId="3"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8" fillId="5" borderId="1" xfId="2"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64" fontId="7" fillId="5" borderId="3" xfId="2" applyFont="1" applyFill="1" applyBorder="1" applyAlignment="1">
      <alignment horizontal="center" vertical="center" wrapText="1"/>
    </xf>
    <xf numFmtId="42" fontId="1" fillId="0" borderId="2" xfId="6"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7" fillId="0" borderId="4" xfId="2" applyFont="1" applyFill="1" applyBorder="1" applyAlignment="1">
      <alignment horizontal="center" vertical="center" wrapText="1"/>
    </xf>
    <xf numFmtId="164" fontId="7" fillId="9" borderId="4" xfId="2"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164" fontId="7" fillId="12" borderId="4" xfId="0" applyNumberFormat="1" applyFont="1" applyFill="1" applyBorder="1" applyAlignment="1">
      <alignment horizontal="right" vertical="center" wrapText="1"/>
    </xf>
    <xf numFmtId="0" fontId="7"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29" fillId="5" borderId="1" xfId="0" applyFont="1" applyFill="1" applyBorder="1" applyAlignment="1">
      <alignment horizontal="justify" vertical="center" wrapText="1"/>
    </xf>
    <xf numFmtId="168" fontId="0" fillId="0" borderId="0" xfId="0" applyNumberFormat="1"/>
    <xf numFmtId="0" fontId="8" fillId="0" borderId="1" xfId="0"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165" fontId="7" fillId="13" borderId="2" xfId="0" applyNumberFormat="1" applyFont="1" applyFill="1" applyBorder="1" applyAlignment="1">
      <alignment horizontal="center" vertical="center" wrapText="1"/>
    </xf>
    <xf numFmtId="165" fontId="10" fillId="13" borderId="2" xfId="0" applyNumberFormat="1" applyFont="1" applyFill="1" applyBorder="1" applyAlignment="1">
      <alignment horizontal="center" vertical="center" wrapText="1"/>
    </xf>
    <xf numFmtId="164" fontId="0" fillId="0" borderId="0" xfId="0" applyNumberFormat="1"/>
    <xf numFmtId="164" fontId="7" fillId="13" borderId="1" xfId="0" applyNumberFormat="1" applyFont="1" applyFill="1" applyBorder="1" applyAlignment="1">
      <alignment horizontal="center" vertical="center" wrapText="1"/>
    </xf>
    <xf numFmtId="164" fontId="7" fillId="13" borderId="1" xfId="0" applyNumberFormat="1" applyFont="1" applyFill="1" applyBorder="1" applyAlignment="1">
      <alignment horizontal="center" vertical="center" wrapText="1"/>
    </xf>
    <xf numFmtId="164" fontId="8" fillId="13" borderId="2" xfId="2" applyFont="1" applyFill="1" applyBorder="1" applyAlignment="1">
      <alignment horizontal="center" vertical="center" wrapText="1"/>
    </xf>
    <xf numFmtId="164" fontId="7" fillId="13" borderId="2" xfId="2" applyFont="1" applyFill="1" applyBorder="1" applyAlignment="1">
      <alignment horizontal="center" vertical="center" wrapText="1"/>
    </xf>
    <xf numFmtId="164" fontId="8" fillId="13" borderId="2" xfId="0" applyNumberFormat="1" applyFont="1" applyFill="1" applyBorder="1" applyAlignment="1">
      <alignment horizontal="center" vertical="center" wrapText="1"/>
    </xf>
    <xf numFmtId="164" fontId="7" fillId="13" borderId="2" xfId="0" applyNumberFormat="1"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2" xfId="0" quotePrefix="1" applyFont="1" applyFill="1" applyBorder="1" applyAlignment="1">
      <alignment horizontal="center" vertical="center" wrapText="1"/>
    </xf>
    <xf numFmtId="0" fontId="7" fillId="14" borderId="2" xfId="0" applyFont="1" applyFill="1" applyBorder="1" applyAlignment="1">
      <alignment horizontal="left" vertical="center" wrapText="1"/>
    </xf>
    <xf numFmtId="0" fontId="8" fillId="14" borderId="1" xfId="0" applyFont="1" applyFill="1" applyBorder="1" applyAlignment="1">
      <alignment horizontal="center" vertical="center" wrapText="1"/>
    </xf>
    <xf numFmtId="0" fontId="8" fillId="14" borderId="7" xfId="0" applyFont="1" applyFill="1" applyBorder="1" applyAlignment="1">
      <alignment horizontal="center" vertical="center" wrapText="1"/>
    </xf>
    <xf numFmtId="164" fontId="7" fillId="14" borderId="2" xfId="2" applyFont="1" applyFill="1" applyBorder="1" applyAlignment="1">
      <alignment horizontal="center" vertical="center" wrapText="1"/>
    </xf>
    <xf numFmtId="164" fontId="8" fillId="14" borderId="2" xfId="0" applyNumberFormat="1" applyFont="1" applyFill="1" applyBorder="1" applyAlignment="1">
      <alignment horizontal="center" vertical="center" wrapText="1"/>
    </xf>
    <xf numFmtId="0" fontId="34" fillId="14" borderId="2" xfId="0" applyFont="1" applyFill="1" applyBorder="1" applyAlignment="1">
      <alignment vertical="center"/>
    </xf>
    <xf numFmtId="14" fontId="7" fillId="14" borderId="2" xfId="0" applyNumberFormat="1" applyFont="1" applyFill="1" applyBorder="1" applyAlignment="1">
      <alignment horizontal="center" vertical="center" wrapText="1"/>
    </xf>
    <xf numFmtId="164" fontId="7" fillId="14" borderId="2" xfId="2" applyFont="1" applyFill="1" applyBorder="1" applyAlignment="1">
      <alignment horizontal="center" vertical="center"/>
    </xf>
    <xf numFmtId="9" fontId="8" fillId="14" borderId="4" xfId="5" applyNumberFormat="1" applyFont="1" applyFill="1" applyBorder="1" applyAlignment="1">
      <alignment horizontal="center" vertical="center" wrapText="1"/>
    </xf>
    <xf numFmtId="0" fontId="8" fillId="14" borderId="4" xfId="0" applyFont="1" applyFill="1" applyBorder="1" applyAlignment="1">
      <alignment horizontal="center" vertical="center" wrapText="1"/>
    </xf>
    <xf numFmtId="14" fontId="8" fillId="14" borderId="4" xfId="0" applyNumberFormat="1" applyFont="1" applyFill="1" applyBorder="1" applyAlignment="1">
      <alignment horizontal="center" vertical="center" wrapText="1"/>
    </xf>
    <xf numFmtId="164" fontId="8" fillId="14" borderId="4" xfId="2" applyFont="1" applyFill="1" applyBorder="1" applyAlignment="1">
      <alignment horizontal="center" vertical="center" wrapText="1"/>
    </xf>
    <xf numFmtId="164" fontId="8" fillId="14" borderId="6" xfId="2" applyFont="1" applyFill="1" applyBorder="1" applyAlignment="1">
      <alignment horizontal="center" vertical="center" wrapText="1"/>
    </xf>
    <xf numFmtId="0" fontId="23" fillId="14" borderId="0" xfId="0" applyFont="1" applyFill="1" applyBorder="1"/>
    <xf numFmtId="0" fontId="23" fillId="14" borderId="0" xfId="0" applyFont="1" applyFill="1"/>
    <xf numFmtId="0" fontId="29" fillId="14" borderId="2" xfId="0" applyFont="1" applyFill="1" applyBorder="1" applyAlignment="1">
      <alignment vertical="center" wrapText="1"/>
    </xf>
    <xf numFmtId="0" fontId="29" fillId="14" borderId="2" xfId="0" applyFont="1" applyFill="1" applyBorder="1" applyAlignment="1">
      <alignment horizontal="center" vertical="center" wrapText="1"/>
    </xf>
    <xf numFmtId="0" fontId="7" fillId="14" borderId="4" xfId="0" applyFont="1" applyFill="1" applyBorder="1" applyAlignment="1">
      <alignment horizontal="left" vertical="center"/>
    </xf>
    <xf numFmtId="0" fontId="7" fillId="14" borderId="4" xfId="0" applyFont="1" applyFill="1" applyBorder="1" applyAlignment="1">
      <alignment horizontal="center" vertical="center"/>
    </xf>
    <xf numFmtId="164" fontId="8" fillId="14" borderId="2" xfId="2" applyFont="1" applyFill="1" applyBorder="1" applyAlignment="1">
      <alignment horizontal="center" vertical="center" wrapText="1"/>
    </xf>
    <xf numFmtId="0" fontId="7" fillId="14" borderId="28" xfId="0" applyFont="1" applyFill="1" applyBorder="1" applyAlignment="1">
      <alignment horizontal="left" vertical="center"/>
    </xf>
    <xf numFmtId="14" fontId="8" fillId="14" borderId="2" xfId="0" applyNumberFormat="1" applyFont="1" applyFill="1" applyBorder="1" applyAlignment="1">
      <alignment horizontal="center" vertical="center" wrapText="1"/>
    </xf>
    <xf numFmtId="0" fontId="7" fillId="14" borderId="2" xfId="0" applyFont="1" applyFill="1" applyBorder="1" applyAlignment="1">
      <alignment horizontal="center" vertical="center" wrapText="1"/>
    </xf>
    <xf numFmtId="164" fontId="7" fillId="14" borderId="2" xfId="2" applyFont="1" applyFill="1" applyBorder="1" applyAlignment="1">
      <alignment horizontal="right" vertical="center" wrapText="1"/>
    </xf>
    <xf numFmtId="0" fontId="22" fillId="14" borderId="0" xfId="0" applyFont="1" applyFill="1" applyBorder="1"/>
    <xf numFmtId="0" fontId="22" fillId="14" borderId="0" xfId="0" applyFont="1" applyFill="1"/>
    <xf numFmtId="0" fontId="27" fillId="14" borderId="32" xfId="0" applyFont="1" applyFill="1" applyBorder="1" applyAlignment="1">
      <alignment horizontal="left" vertical="center"/>
    </xf>
    <xf numFmtId="0" fontId="26" fillId="14" borderId="29" xfId="0" applyFont="1" applyFill="1" applyBorder="1" applyAlignment="1">
      <alignment horizontal="center" vertical="center"/>
    </xf>
    <xf numFmtId="164" fontId="0" fillId="14" borderId="29" xfId="2" applyFont="1" applyFill="1" applyBorder="1" applyAlignment="1">
      <alignment horizontal="center" vertical="center" wrapText="1"/>
    </xf>
    <xf numFmtId="164" fontId="1" fillId="14" borderId="29" xfId="2" applyFont="1" applyFill="1" applyBorder="1" applyAlignment="1">
      <alignment horizontal="right" vertical="center" wrapText="1"/>
    </xf>
    <xf numFmtId="0" fontId="30" fillId="14" borderId="32" xfId="0" applyFont="1" applyFill="1" applyBorder="1" applyAlignment="1">
      <alignment horizontal="left" vertical="center"/>
    </xf>
    <xf numFmtId="0" fontId="26" fillId="14" borderId="30" xfId="0" applyFont="1" applyFill="1" applyBorder="1" applyAlignment="1">
      <alignment horizontal="center" vertical="center"/>
    </xf>
    <xf numFmtId="164" fontId="0" fillId="14" borderId="30" xfId="2" applyFont="1" applyFill="1" applyBorder="1" applyAlignment="1">
      <alignment horizontal="center" vertical="center" wrapText="1"/>
    </xf>
    <xf numFmtId="0" fontId="30" fillId="14" borderId="0" xfId="0" applyFont="1" applyFill="1" applyBorder="1" applyAlignment="1">
      <alignment horizontal="left" vertical="center"/>
    </xf>
    <xf numFmtId="0" fontId="26" fillId="14" borderId="2" xfId="0" applyFont="1" applyFill="1" applyBorder="1" applyAlignment="1">
      <alignment horizontal="center" vertical="center"/>
    </xf>
    <xf numFmtId="14" fontId="8" fillId="14" borderId="2" xfId="0" applyNumberFormat="1" applyFont="1" applyFill="1" applyBorder="1" applyAlignment="1">
      <alignment horizontal="center" vertical="center"/>
    </xf>
    <xf numFmtId="164" fontId="0" fillId="14" borderId="2" xfId="2" applyFont="1" applyFill="1" applyBorder="1" applyAlignment="1">
      <alignment horizontal="center" vertical="center"/>
    </xf>
    <xf numFmtId="164" fontId="7" fillId="15" borderId="2" xfId="2" applyFont="1" applyFill="1" applyBorder="1" applyAlignment="1">
      <alignment horizontal="center" vertical="center" wrapText="1"/>
    </xf>
    <xf numFmtId="165" fontId="5" fillId="16" borderId="2" xfId="0" applyNumberFormat="1" applyFont="1" applyFill="1" applyBorder="1" applyAlignment="1">
      <alignment horizontal="center" vertical="center" wrapText="1"/>
    </xf>
    <xf numFmtId="165" fontId="5" fillId="17" borderId="2" xfId="0" applyNumberFormat="1" applyFont="1" applyFill="1" applyBorder="1" applyAlignment="1">
      <alignment horizontal="center" vertical="center" wrapText="1"/>
    </xf>
    <xf numFmtId="164" fontId="7" fillId="17" borderId="2" xfId="2" applyFont="1" applyFill="1" applyBorder="1" applyAlignment="1">
      <alignment horizontal="center" vertical="center" wrapText="1"/>
    </xf>
    <xf numFmtId="164" fontId="7" fillId="17" borderId="2" xfId="2"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7" fillId="0" borderId="1" xfId="2"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4" fontId="7" fillId="0" borderId="2" xfId="0" applyNumberFormat="1" applyFont="1" applyFill="1" applyBorder="1" applyAlignment="1">
      <alignment horizontal="right" vertical="center"/>
    </xf>
    <xf numFmtId="0" fontId="11" fillId="6"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4" fillId="5" borderId="12" xfId="0" applyFont="1" applyFill="1" applyBorder="1" applyAlignment="1">
      <alignment vertical="top"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22" xfId="0" applyFont="1" applyFill="1" applyBorder="1" applyAlignment="1">
      <alignment horizontal="center" vertical="center" wrapText="1"/>
    </xf>
    <xf numFmtId="164" fontId="8" fillId="0" borderId="3" xfId="2" applyFont="1" applyFill="1" applyBorder="1" applyAlignment="1">
      <alignment horizontal="center" vertical="center" wrapText="1"/>
    </xf>
    <xf numFmtId="164" fontId="8" fillId="0" borderId="4" xfId="2"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8" fillId="0" borderId="3" xfId="2" applyFont="1" applyFill="1" applyBorder="1" applyAlignment="1">
      <alignment horizontal="center" vertical="center"/>
    </xf>
    <xf numFmtId="164" fontId="8" fillId="0" borderId="4" xfId="2" applyFont="1" applyFill="1" applyBorder="1" applyAlignment="1">
      <alignment horizontal="center" vertical="center"/>
    </xf>
    <xf numFmtId="164" fontId="8" fillId="0" borderId="1" xfId="2" applyFont="1" applyFill="1" applyBorder="1" applyAlignment="1">
      <alignment horizontal="center" vertical="center"/>
    </xf>
    <xf numFmtId="164" fontId="8" fillId="0" borderId="1" xfId="2"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5" borderId="2" xfId="0" applyFont="1" applyFill="1" applyBorder="1" applyAlignment="1">
      <alignment horizontal="center" vertical="top" wrapText="1"/>
    </xf>
    <xf numFmtId="0" fontId="15" fillId="5" borderId="2" xfId="0" applyFont="1" applyFill="1" applyBorder="1" applyAlignment="1">
      <alignment horizontal="center" vertical="center"/>
    </xf>
    <xf numFmtId="164" fontId="7" fillId="9" borderId="3" xfId="2" applyFont="1" applyFill="1" applyBorder="1" applyAlignment="1">
      <alignment horizontal="center" vertical="center" wrapText="1"/>
    </xf>
    <xf numFmtId="164" fontId="7" fillId="9" borderId="4" xfId="2" applyFont="1" applyFill="1" applyBorder="1" applyAlignment="1">
      <alignment horizontal="center" vertical="center" wrapText="1"/>
    </xf>
    <xf numFmtId="164" fontId="7" fillId="9" borderId="1" xfId="2" applyFont="1" applyFill="1" applyBorder="1" applyAlignment="1">
      <alignment horizontal="center" vertical="center" wrapText="1"/>
    </xf>
    <xf numFmtId="164" fontId="8" fillId="5" borderId="26" xfId="2" applyFont="1" applyFill="1" applyBorder="1" applyAlignment="1">
      <alignment horizontal="center" vertical="center" wrapText="1"/>
    </xf>
    <xf numFmtId="164" fontId="8" fillId="5" borderId="6" xfId="2" applyFont="1" applyFill="1" applyBorder="1" applyAlignment="1">
      <alignment horizontal="center" vertical="center" wrapText="1"/>
    </xf>
    <xf numFmtId="164" fontId="8" fillId="5" borderId="25" xfId="2" applyFont="1" applyFill="1" applyBorder="1" applyAlignment="1">
      <alignment horizontal="center" vertical="center" wrapText="1"/>
    </xf>
    <xf numFmtId="0" fontId="8" fillId="14" borderId="3" xfId="0" quotePrefix="1" applyFont="1" applyFill="1" applyBorder="1" applyAlignment="1">
      <alignment horizontal="center" vertical="center" wrapText="1"/>
    </xf>
    <xf numFmtId="0" fontId="8" fillId="14" borderId="4" xfId="0" quotePrefix="1" applyFont="1" applyFill="1" applyBorder="1" applyAlignment="1">
      <alignment horizontal="center" vertical="center" wrapText="1"/>
    </xf>
    <xf numFmtId="0" fontId="8" fillId="14" borderId="1" xfId="0" quotePrefix="1"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1" xfId="0" applyFont="1" applyFill="1" applyBorder="1" applyAlignment="1">
      <alignment horizontal="center" vertical="center" wrapText="1"/>
    </xf>
    <xf numFmtId="164" fontId="7" fillId="14" borderId="3" xfId="2" applyFont="1" applyFill="1" applyBorder="1" applyAlignment="1">
      <alignment horizontal="center" vertical="center" wrapText="1"/>
    </xf>
    <xf numFmtId="164" fontId="7" fillId="14" borderId="4" xfId="2" applyFont="1" applyFill="1" applyBorder="1" applyAlignment="1">
      <alignment horizontal="center" vertical="center" wrapText="1"/>
    </xf>
    <xf numFmtId="164" fontId="7" fillId="14" borderId="1" xfId="2"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 xfId="0" applyFont="1" applyFill="1" applyBorder="1" applyAlignment="1">
      <alignment horizontal="center" vertical="center" wrapText="1"/>
    </xf>
    <xf numFmtId="164" fontId="7" fillId="0" borderId="3" xfId="2" applyFont="1" applyFill="1" applyBorder="1" applyAlignment="1">
      <alignment horizontal="center" vertical="center" wrapText="1"/>
    </xf>
    <xf numFmtId="164" fontId="7" fillId="0" borderId="1" xfId="2" applyFont="1" applyFill="1" applyBorder="1" applyAlignment="1">
      <alignment horizontal="center" vertical="center" wrapText="1"/>
    </xf>
    <xf numFmtId="0" fontId="21" fillId="5"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164" fontId="7" fillId="0" borderId="4" xfId="2" applyFont="1" applyFill="1" applyBorder="1" applyAlignment="1">
      <alignment horizontal="center" vertical="center" wrapText="1"/>
    </xf>
    <xf numFmtId="0" fontId="8" fillId="0" borderId="3" xfId="0" quotePrefix="1" applyFont="1" applyFill="1" applyBorder="1" applyAlignment="1">
      <alignment horizontal="center" vertical="center" wrapText="1"/>
    </xf>
    <xf numFmtId="0" fontId="8" fillId="0" borderId="4"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164" fontId="7" fillId="13" borderId="1" xfId="0" applyNumberFormat="1" applyFont="1" applyFill="1" applyBorder="1" applyAlignment="1">
      <alignment horizontal="center" vertical="center" wrapText="1"/>
    </xf>
    <xf numFmtId="164" fontId="8" fillId="5" borderId="3" xfId="2" applyFont="1" applyFill="1" applyBorder="1" applyAlignment="1">
      <alignment horizontal="center" vertical="center" wrapText="1"/>
    </xf>
    <xf numFmtId="164" fontId="8" fillId="5" borderId="4" xfId="2" applyFont="1" applyFill="1" applyBorder="1" applyAlignment="1">
      <alignment horizontal="center" vertical="center" wrapText="1"/>
    </xf>
    <xf numFmtId="164" fontId="8" fillId="5" borderId="1" xfId="2" applyFont="1" applyFill="1" applyBorder="1" applyAlignment="1">
      <alignment horizontal="center" vertical="center" wrapText="1"/>
    </xf>
    <xf numFmtId="164" fontId="7" fillId="14" borderId="3" xfId="0" applyNumberFormat="1" applyFont="1" applyFill="1" applyBorder="1" applyAlignment="1">
      <alignment horizontal="center" vertical="center" wrapText="1"/>
    </xf>
    <xf numFmtId="164" fontId="7" fillId="14" borderId="4" xfId="0" applyNumberFormat="1" applyFont="1" applyFill="1" applyBorder="1" applyAlignment="1">
      <alignment horizontal="center" vertical="center" wrapText="1"/>
    </xf>
    <xf numFmtId="164" fontId="7" fillId="14" borderId="1" xfId="0" applyNumberFormat="1" applyFont="1" applyFill="1" applyBorder="1" applyAlignment="1">
      <alignment horizontal="center" vertical="center" wrapText="1"/>
    </xf>
    <xf numFmtId="164" fontId="8" fillId="14" borderId="2" xfId="2" applyFont="1" applyFill="1" applyBorder="1" applyAlignment="1">
      <alignment horizontal="center" vertical="center" wrapText="1"/>
    </xf>
    <xf numFmtId="164" fontId="7" fillId="13" borderId="3" xfId="2" applyFont="1" applyFill="1" applyBorder="1" applyAlignment="1">
      <alignment horizontal="center" vertical="center" wrapText="1"/>
    </xf>
    <xf numFmtId="164" fontId="7" fillId="13" borderId="4" xfId="2" applyFont="1" applyFill="1" applyBorder="1" applyAlignment="1">
      <alignment horizontal="center" vertical="center" wrapText="1"/>
    </xf>
    <xf numFmtId="164" fontId="7" fillId="13" borderId="1" xfId="2"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12" borderId="3"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1" xfId="0" applyFont="1" applyFill="1" applyBorder="1" applyAlignment="1">
      <alignment horizontal="left" vertical="center" wrapText="1"/>
    </xf>
    <xf numFmtId="164" fontId="7" fillId="0" borderId="4" xfId="0" applyNumberFormat="1"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1" xfId="0" applyFont="1" applyFill="1" applyBorder="1" applyAlignment="1">
      <alignment horizontal="center" vertical="center" wrapText="1"/>
    </xf>
    <xf numFmtId="164" fontId="8" fillId="5" borderId="2" xfId="2"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 xfId="0" applyFont="1" applyFill="1" applyBorder="1" applyAlignment="1">
      <alignment horizontal="center" vertical="center"/>
    </xf>
    <xf numFmtId="164" fontId="7" fillId="5" borderId="3" xfId="0" applyNumberFormat="1" applyFont="1" applyFill="1" applyBorder="1" applyAlignment="1">
      <alignment horizontal="center" vertical="center" wrapText="1"/>
    </xf>
    <xf numFmtId="164" fontId="7" fillId="5" borderId="4"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0" fillId="0" borderId="0" xfId="0"/>
    <xf numFmtId="0" fontId="0" fillId="0" borderId="0" xfId="0" applyBorder="1"/>
    <xf numFmtId="167" fontId="8"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164" fontId="7" fillId="9" borderId="3" xfId="2" applyFont="1" applyFill="1" applyBorder="1" applyAlignment="1">
      <alignment horizontal="left" vertical="center" wrapText="1"/>
    </xf>
    <xf numFmtId="0" fontId="0" fillId="9" borderId="4" xfId="0" applyFill="1" applyBorder="1" applyAlignment="1">
      <alignment horizontal="left" vertical="center" wrapText="1"/>
    </xf>
    <xf numFmtId="0" fontId="0" fillId="9" borderId="1" xfId="0" applyFill="1" applyBorder="1" applyAlignment="1">
      <alignment horizontal="left" vertical="center" wrapText="1"/>
    </xf>
    <xf numFmtId="164" fontId="7" fillId="0" borderId="3" xfId="2" applyFont="1" applyFill="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29" fillId="0" borderId="3"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12" borderId="3" xfId="0" applyFont="1" applyFill="1" applyBorder="1" applyAlignment="1">
      <alignment horizontal="center" vertical="center" wrapText="1"/>
    </xf>
    <xf numFmtId="0" fontId="29" fillId="12" borderId="4"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12" borderId="3" xfId="0" applyFont="1" applyFill="1" applyBorder="1" applyAlignment="1">
      <alignment horizontal="left" vertical="center" wrapText="1"/>
    </xf>
    <xf numFmtId="0" fontId="29" fillId="12" borderId="4" xfId="0" applyFont="1" applyFill="1" applyBorder="1" applyAlignment="1">
      <alignment horizontal="left" vertical="center" wrapText="1"/>
    </xf>
    <xf numFmtId="0" fontId="29" fillId="12" borderId="1" xfId="0" applyFont="1" applyFill="1" applyBorder="1" applyAlignment="1">
      <alignment horizontal="left" vertical="center" wrapText="1"/>
    </xf>
    <xf numFmtId="164" fontId="7" fillId="0" borderId="3" xfId="0" applyNumberFormat="1" applyFont="1" applyFill="1" applyBorder="1" applyAlignment="1">
      <alignment horizontal="left" vertical="center" wrapText="1"/>
    </xf>
    <xf numFmtId="164" fontId="7" fillId="0" borderId="4" xfId="0" applyNumberFormat="1" applyFont="1" applyFill="1" applyBorder="1" applyAlignment="1">
      <alignment horizontal="left" vertical="center" wrapText="1"/>
    </xf>
    <xf numFmtId="0" fontId="0" fillId="0" borderId="1" xfId="0" applyBorder="1" applyAlignment="1">
      <alignment horizontal="center" vertical="center" wrapText="1"/>
    </xf>
    <xf numFmtId="164" fontId="7" fillId="9" borderId="4" xfId="2" applyFont="1" applyFill="1" applyBorder="1" applyAlignment="1">
      <alignment horizontal="left" vertical="center" wrapText="1"/>
    </xf>
    <xf numFmtId="164" fontId="7" fillId="0" borderId="4" xfId="2" applyFont="1" applyFill="1" applyBorder="1" applyAlignment="1">
      <alignment horizontal="left" vertical="center" wrapText="1"/>
    </xf>
    <xf numFmtId="0" fontId="0" fillId="0" borderId="4" xfId="0" applyBorder="1" applyAlignment="1">
      <alignment horizontal="center"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164" fontId="8" fillId="5" borderId="33" xfId="2" applyFont="1" applyFill="1" applyBorder="1" applyAlignment="1">
      <alignment horizontal="center" vertical="center" wrapText="1"/>
    </xf>
    <xf numFmtId="164" fontId="8" fillId="5" borderId="34" xfId="2" applyFont="1" applyFill="1" applyBorder="1" applyAlignment="1">
      <alignment horizontal="center" vertical="center" wrapText="1"/>
    </xf>
    <xf numFmtId="0" fontId="7" fillId="12" borderId="3"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7" fillId="12" borderId="4" xfId="0" applyFont="1" applyFill="1" applyBorder="1" applyAlignment="1">
      <alignment horizontal="left" vertical="center" wrapText="1"/>
    </xf>
    <xf numFmtId="164" fontId="7" fillId="12" borderId="3"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7" fillId="12" borderId="3" xfId="0" applyNumberFormat="1" applyFont="1" applyFill="1" applyBorder="1" applyAlignment="1">
      <alignment horizontal="right" vertical="center" wrapText="1"/>
    </xf>
    <xf numFmtId="164" fontId="7" fillId="12" borderId="4" xfId="0" applyNumberFormat="1" applyFont="1" applyFill="1" applyBorder="1" applyAlignment="1">
      <alignment horizontal="right" vertical="center" wrapText="1"/>
    </xf>
    <xf numFmtId="164" fontId="7" fillId="12" borderId="1" xfId="0" applyNumberFormat="1" applyFont="1" applyFill="1" applyBorder="1" applyAlignment="1">
      <alignment horizontal="right"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43" fontId="7" fillId="0" borderId="3" xfId="0" applyNumberFormat="1" applyFont="1" applyFill="1" applyBorder="1" applyAlignment="1">
      <alignment horizontal="center" vertical="center" wrapText="1"/>
    </xf>
    <xf numFmtId="43" fontId="7" fillId="0" borderId="4"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 fontId="7" fillId="11" borderId="3" xfId="0" applyNumberFormat="1" applyFont="1" applyFill="1" applyBorder="1" applyAlignment="1">
      <alignment horizontal="center" vertical="center" wrapText="1"/>
    </xf>
    <xf numFmtId="4" fontId="7" fillId="11" borderId="4"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64" fontId="7" fillId="5" borderId="3" xfId="2" applyFont="1" applyFill="1" applyBorder="1" applyAlignment="1">
      <alignment horizontal="center" vertical="center" wrapText="1"/>
    </xf>
    <xf numFmtId="164" fontId="7" fillId="5" borderId="4" xfId="2" applyFont="1" applyFill="1" applyBorder="1" applyAlignment="1">
      <alignment horizontal="center" vertical="center" wrapText="1"/>
    </xf>
    <xf numFmtId="164" fontId="7" fillId="5" borderId="1" xfId="2" applyFont="1" applyFill="1" applyBorder="1" applyAlignment="1">
      <alignment horizontal="center" vertical="center" wrapText="1"/>
    </xf>
    <xf numFmtId="164" fontId="7" fillId="9" borderId="3" xfId="2" applyFont="1" applyFill="1" applyBorder="1" applyAlignment="1">
      <alignment horizontal="center" vertical="center"/>
    </xf>
    <xf numFmtId="164" fontId="7" fillId="9" borderId="4" xfId="2" applyFont="1" applyFill="1" applyBorder="1" applyAlignment="1">
      <alignment horizontal="center" vertical="center"/>
    </xf>
    <xf numFmtId="164" fontId="7" fillId="9" borderId="1" xfId="2" applyFont="1" applyFill="1" applyBorder="1" applyAlignment="1">
      <alignment horizontal="center" vertical="center"/>
    </xf>
    <xf numFmtId="4" fontId="7" fillId="0" borderId="3"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cellXfs>
  <cellStyles count="10">
    <cellStyle name="Millares" xfId="2" builtinId="3"/>
    <cellStyle name="Millares [0]" xfId="8" builtinId="6"/>
    <cellStyle name="Millares [0] 2" xfId="1" xr:uid="{00000000-0005-0000-0000-000002000000}"/>
    <cellStyle name="Millares 2" xfId="3" xr:uid="{00000000-0005-0000-0000-000003000000}"/>
    <cellStyle name="Moneda" xfId="9" builtinId="4"/>
    <cellStyle name="Moneda [0]" xfId="6" builtinId="7"/>
    <cellStyle name="Normal" xfId="0" builtinId="0"/>
    <cellStyle name="Normal 2" xfId="4" xr:uid="{00000000-0005-0000-0000-000007000000}"/>
    <cellStyle name="Normal 3 2" xfId="7" xr:uid="{00000000-0005-0000-0000-000008000000}"/>
    <cellStyle name="Porcentaje" xfId="5" builtinId="5"/>
  </cellStyles>
  <dxfs count="120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CCCCFF"/>
      <color rgb="FFCCFF99"/>
      <color rgb="FFCC3399"/>
      <color rgb="FF00482B"/>
      <color rgb="FFFF6699"/>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256592</xdr:colOff>
      <xdr:row>1</xdr:row>
      <xdr:rowOff>1</xdr:rowOff>
    </xdr:from>
    <xdr:to>
      <xdr:col>0</xdr:col>
      <xdr:colOff>714376</xdr:colOff>
      <xdr:row>9</xdr:row>
      <xdr:rowOff>245759</xdr:rowOff>
    </xdr:to>
    <xdr:pic>
      <xdr:nvPicPr>
        <xdr:cNvPr id="2" name="Imagen 1">
          <a:extLst>
            <a:ext uri="{FF2B5EF4-FFF2-40B4-BE49-F238E27FC236}">
              <a16:creationId xmlns:a16="http://schemas.microsoft.com/office/drawing/2014/main" id="{D992CFB0-F632-4A7B-A4D4-40D9860E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8592" y="190501"/>
          <a:ext cx="457784" cy="87017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1CF09A85-699A-42F4-9FEE-4206D509C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379D49BF-CB51-4C21-BC42-462AB5A21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64D5137A-4599-4B85-90B9-C7EE2998F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1EFD3BC2-3915-4B46-8E84-73E0CCBD9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3DF5705A-72AA-4AFF-ADC2-C98F38530B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C358D9FD-F629-4075-AE16-634C7F888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0B0B63A7-AF58-4053-80CF-12DE56EE3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CFB72700-0494-4848-96AA-450F038B0A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871D43A2-3F0A-4713-8DE3-3F96F3A8D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33AE1E08-B8EF-4D42-B01C-A32F4EE34C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884714F4-2888-4C18-BA7E-DA40AAE1D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E42EC221-AACC-4612-879E-3D133E47C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9DBB0B25-C0ED-4B3A-B0E8-E0D8B0E7C7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E76BF885-369A-4915-AE79-C6A9A30BC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0EDCE8E2-741C-413E-A48C-FAAF80C8EC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4EC41AEE-FF7A-4D8C-94E3-62AF16466A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172E8722-78F7-450E-BD55-F6D722012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2167D767-DDF5-4990-A765-89241B221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6A13D86C-3999-4D72-A23C-EB9A805C7D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2D18AE03-8567-4D23-AA36-672365B3F0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72FBC23F-A119-46F3-8A8B-27BCFC2BE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19449BC4-EA4A-4A14-BE8A-987F2195DC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59930301-F8C8-4C88-B163-D0F561F36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9D404A53-8F7A-4B5B-A48F-509EA694B4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7257CBA4-324B-4304-AA3C-2FDC8E616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1BC8D4D2-8819-47B0-9D76-5AE162C85C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02F95E42-3F47-4B24-A66E-27886D338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BDF6A307-1FA4-4294-A611-B3EE49BD1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C5146B27-96F3-4C03-AD15-E7EA9733C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96DA5C8C-8B8D-4960-A417-4794A96E5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F54D38F5-D532-4BAE-B0FC-35CCB743A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14ADF83C-6105-4861-AF27-1C4FE2F98F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2A3D5815-7ADE-456E-ABA0-E5DA6191D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8398214B-37C0-4292-A2E0-6609BFFD9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3D31F10D-1BBD-400E-A723-F40CEFABF7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2D1F0AC9-C753-4E16-A96A-D06B53882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1813C6DA-EF7A-445C-9D81-DAC8DF62D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89D07550-1B5C-44AF-9552-05C725525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2A916DA1-C90C-40DE-A027-55726C4E2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1D024C55-3E41-4357-9330-9283D8AFD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BA034978-586A-4089-A90B-1C3FC6131C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04245867-23D4-45C3-81E3-EFD70F8052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F83D80E2-5F09-47A4-9130-93C274CC3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239662C6-92B0-4C72-BB06-053AD5FBA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692181C7-A0B8-4994-8B79-8866D4CE82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16D26E20-10DD-4BA6-97DA-D7F11FF33E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24120497-7A55-4999-8010-20579976F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4040E637-BC2B-4700-AFFA-04F860F92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51D8CAC4-E769-4609-A5F2-A2BF9D899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41F6A60F-771B-493B-B007-D07F4A8A48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726EA692-CFCD-4381-885F-E13FDFA4B6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BBDE6D8B-56D8-4096-92F1-8E8565D080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5B4CBB77-E09C-4DD2-815C-FD0C62ADD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8D995539-2939-47FB-828A-15F7E24D9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AF9D75BA-9B65-48BB-98A1-D8E8C6CBCF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F89AD140-6E88-429F-9084-DF46424082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9980E4E3-CA9E-4BD6-851A-097C1712F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47832771-4466-49D1-9705-590059FC7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FF748B9A-2C85-4705-8983-7844FC8CB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1C52971C-5EAB-4C54-84B1-5F8BA8E5E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F88899D7-7726-46C2-8E0C-B187FC3388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4F62EAB7-DAED-4651-9281-035C77B3D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4E1B3586-F787-472D-B542-0AFD9B1167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CF16C094-DDC6-4A54-BE16-5217B78A4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FF5EA218-AD2A-4AA1-880F-E8230F73C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66E7D788-EC84-410C-87BD-26FEB7CE3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68243050-12F8-4A76-A7BE-C2F74EEF55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B1C483D1-DB0F-4A5C-8835-1E2BB9D25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0F0EC326-74AB-43CA-A083-46AE851447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6FB61F18-4237-40D0-96AB-0FC655741A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EB9F2073-D0AE-4E07-9E1E-3E26C3DA8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6612FDE5-A1C7-4667-A627-516DA5919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65AD1B4A-EC99-48FA-A516-04C8C6D2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470E6C7C-B9B8-432D-9269-485388954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C41C312B-9398-4BD2-8D04-4B738651C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6" name="Imagen 5">
          <a:extLst>
            <a:ext uri="{FF2B5EF4-FFF2-40B4-BE49-F238E27FC236}">
              <a16:creationId xmlns:a16="http://schemas.microsoft.com/office/drawing/2014/main" id="{78F0AD92-7260-44CA-AAD0-8593D24AD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AC80A940-E81E-41D0-915C-B6C3F7CCE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0850E9C9-B691-4D2B-B15C-78B75578B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91897939-98BE-4D91-BE71-DEB0C857AC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12DACF90-AC87-4A98-8591-40C3F87EA5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9D80AB83-0211-4DD6-9DCA-04F4B908A3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7D4E2E85-BBBC-4A18-9D42-49897A63D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4DFCD8A9-5FBA-4F01-90F4-8EA6DD0C1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63078C77-DFD5-4BDF-A97A-4AA3D72A5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8981A8BC-EC38-4B03-878B-496C43A1B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19AB8CE9-DFC8-4862-9094-CCD49998A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AD38BA7B-3469-49E1-B7ED-818E5E232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D88FCADB-6365-44C2-B832-6DA236FC6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228741</xdr:colOff>
      <xdr:row>1</xdr:row>
      <xdr:rowOff>8211</xdr:rowOff>
    </xdr:from>
    <xdr:ext cx="313625" cy="636367"/>
    <xdr:pic>
      <xdr:nvPicPr>
        <xdr:cNvPr id="2" name="Imagen 1">
          <a:extLst>
            <a:ext uri="{FF2B5EF4-FFF2-40B4-BE49-F238E27FC236}">
              <a16:creationId xmlns:a16="http://schemas.microsoft.com/office/drawing/2014/main" id="{2B64F0FE-B1C1-4EF7-A15F-A68F35784E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3" name="Imagen 2">
          <a:extLst>
            <a:ext uri="{FF2B5EF4-FFF2-40B4-BE49-F238E27FC236}">
              <a16:creationId xmlns:a16="http://schemas.microsoft.com/office/drawing/2014/main" id="{689F50F6-51D1-495C-A5FB-D2CB295E8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4" name="Imagen 3">
          <a:extLst>
            <a:ext uri="{FF2B5EF4-FFF2-40B4-BE49-F238E27FC236}">
              <a16:creationId xmlns:a16="http://schemas.microsoft.com/office/drawing/2014/main" id="{E20C4185-5767-45AC-A4CE-C5E9838F3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228741</xdr:colOff>
      <xdr:row>1</xdr:row>
      <xdr:rowOff>8211</xdr:rowOff>
    </xdr:from>
    <xdr:ext cx="313625" cy="636367"/>
    <xdr:pic>
      <xdr:nvPicPr>
        <xdr:cNvPr id="5" name="Imagen 4">
          <a:extLst>
            <a:ext uri="{FF2B5EF4-FFF2-40B4-BE49-F238E27FC236}">
              <a16:creationId xmlns:a16="http://schemas.microsoft.com/office/drawing/2014/main" id="{347280BD-B3C3-479A-9870-3BAF33E8E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741" y="198711"/>
          <a:ext cx="313625" cy="636367"/>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J85"/>
  <sheetViews>
    <sheetView tabSelected="1" zoomScale="90" zoomScaleNormal="90" workbookViewId="0">
      <pane ySplit="9" topLeftCell="A10" activePane="bottomLeft" state="frozen"/>
      <selection pane="bottomLeft" activeCell="E18" sqref="E18"/>
    </sheetView>
  </sheetViews>
  <sheetFormatPr baseColWidth="10" defaultColWidth="0" defaultRowHeight="15" zeroHeight="1" x14ac:dyDescent="0.25"/>
  <cols>
    <col min="1" max="1" width="31.85546875" customWidth="1"/>
    <col min="2" max="2" width="17.140625" style="1" customWidth="1"/>
    <col min="3" max="3" width="20.42578125" style="1" customWidth="1"/>
    <col min="4" max="4" width="19.140625" style="2" bestFit="1" customWidth="1"/>
    <col min="5" max="5" width="17.140625" style="1" customWidth="1"/>
    <col min="6" max="6" width="18.5703125" style="2" bestFit="1" customWidth="1"/>
    <col min="7" max="7" width="17.140625" style="1" bestFit="1" customWidth="1"/>
    <col min="8" max="8" width="18.85546875" style="2" bestFit="1" customWidth="1"/>
    <col min="9" max="9" width="22.5703125" customWidth="1"/>
    <col min="10" max="10" width="0" hidden="1" customWidth="1"/>
    <col min="11" max="16384" width="11.42578125" hidden="1"/>
  </cols>
  <sheetData>
    <row r="1" spans="1:9" hidden="1" x14ac:dyDescent="0.25">
      <c r="A1" s="13"/>
      <c r="B1" s="13"/>
      <c r="C1" s="13"/>
      <c r="D1" s="13"/>
      <c r="E1" s="13"/>
      <c r="F1" s="13"/>
      <c r="G1" s="13"/>
      <c r="H1" s="13"/>
      <c r="I1" s="13"/>
    </row>
    <row r="2" spans="1:9" hidden="1" x14ac:dyDescent="0.25">
      <c r="A2" s="675"/>
      <c r="B2" s="676" t="s">
        <v>85</v>
      </c>
      <c r="C2" s="677"/>
      <c r="D2" s="677"/>
      <c r="E2" s="677"/>
      <c r="F2" s="677"/>
      <c r="G2" s="677"/>
      <c r="H2" s="678"/>
      <c r="I2" s="14" t="s">
        <v>86</v>
      </c>
    </row>
    <row r="3" spans="1:9" hidden="1" x14ac:dyDescent="0.25">
      <c r="A3" s="675"/>
      <c r="B3" s="676" t="s">
        <v>87</v>
      </c>
      <c r="C3" s="677"/>
      <c r="D3" s="677"/>
      <c r="E3" s="677"/>
      <c r="F3" s="677"/>
      <c r="G3" s="677"/>
      <c r="H3" s="678"/>
      <c r="I3" s="14" t="s">
        <v>88</v>
      </c>
    </row>
    <row r="4" spans="1:9" hidden="1" x14ac:dyDescent="0.25">
      <c r="A4" s="675"/>
      <c r="B4" s="679" t="s">
        <v>89</v>
      </c>
      <c r="C4" s="680"/>
      <c r="D4" s="680"/>
      <c r="E4" s="680"/>
      <c r="F4" s="680"/>
      <c r="G4" s="680"/>
      <c r="H4" s="681"/>
      <c r="I4" s="14" t="s">
        <v>90</v>
      </c>
    </row>
    <row r="5" spans="1:9" hidden="1" x14ac:dyDescent="0.25">
      <c r="A5" s="675"/>
      <c r="B5" s="682"/>
      <c r="C5" s="683"/>
      <c r="D5" s="683"/>
      <c r="E5" s="683"/>
      <c r="F5" s="683"/>
      <c r="G5" s="683"/>
      <c r="H5" s="684"/>
      <c r="I5" s="14" t="s">
        <v>91</v>
      </c>
    </row>
    <row r="6" spans="1:9" hidden="1" x14ac:dyDescent="0.25">
      <c r="A6" s="15"/>
      <c r="B6" s="15"/>
      <c r="C6" s="16"/>
      <c r="D6" s="16"/>
      <c r="E6" s="17"/>
      <c r="F6" s="17"/>
      <c r="G6" s="17"/>
      <c r="H6" s="17"/>
      <c r="I6" s="17"/>
    </row>
    <row r="7" spans="1:9" hidden="1" x14ac:dyDescent="0.25">
      <c r="A7" s="18" t="s">
        <v>92</v>
      </c>
      <c r="B7" s="19"/>
      <c r="C7" s="17"/>
      <c r="D7" s="17"/>
      <c r="E7" s="17"/>
      <c r="F7" s="17"/>
      <c r="G7" s="17"/>
      <c r="H7" s="17"/>
      <c r="I7" s="17"/>
    </row>
    <row r="8" spans="1:9" hidden="1" x14ac:dyDescent="0.25">
      <c r="A8" s="19"/>
      <c r="B8" s="19"/>
      <c r="C8" s="17"/>
      <c r="D8" s="17"/>
      <c r="E8" s="17"/>
      <c r="F8" s="17"/>
      <c r="G8" s="17"/>
      <c r="H8" s="17"/>
      <c r="I8" s="17"/>
    </row>
    <row r="9" spans="1:9" ht="48.75" customHeight="1" x14ac:dyDescent="0.25">
      <c r="A9" s="685" t="s">
        <v>66</v>
      </c>
      <c r="B9" s="686"/>
      <c r="C9" s="20" t="s">
        <v>67</v>
      </c>
      <c r="D9" s="20" t="s">
        <v>68</v>
      </c>
      <c r="E9" s="20" t="s">
        <v>62</v>
      </c>
      <c r="F9" s="20" t="s">
        <v>69</v>
      </c>
      <c r="G9" s="20" t="s">
        <v>70</v>
      </c>
      <c r="H9" s="20" t="s">
        <v>79</v>
      </c>
      <c r="I9" s="20" t="s">
        <v>71</v>
      </c>
    </row>
    <row r="10" spans="1:9" ht="23.25" customHeight="1" x14ac:dyDescent="0.25">
      <c r="A10" s="674" t="s">
        <v>83</v>
      </c>
      <c r="B10" s="674"/>
      <c r="C10" s="608">
        <f>+ambiental!L28</f>
        <v>265900000</v>
      </c>
      <c r="D10" s="11">
        <f>+ambiental!Q28</f>
        <v>207018869</v>
      </c>
      <c r="E10" s="12">
        <f>D10/C10</f>
        <v>0.77855911620910112</v>
      </c>
      <c r="F10" s="657">
        <f>+ambiental!U28</f>
        <v>207018869</v>
      </c>
      <c r="G10" s="12">
        <f>F10/C10</f>
        <v>0.77855911620910112</v>
      </c>
      <c r="H10" s="22">
        <f>+ambiental!X28</f>
        <v>207018869</v>
      </c>
      <c r="I10" s="12">
        <f>H10/C10</f>
        <v>0.77855911620910112</v>
      </c>
    </row>
    <row r="11" spans="1:9" ht="33" customHeight="1" x14ac:dyDescent="0.25">
      <c r="A11" s="674" t="s">
        <v>5</v>
      </c>
      <c r="B11" s="674"/>
      <c r="C11" s="609">
        <f>+Archivo!N19</f>
        <v>719000000</v>
      </c>
      <c r="D11" s="11">
        <f>+Archivo!S19</f>
        <v>555124376</v>
      </c>
      <c r="E11" s="12">
        <f>D11/C11</f>
        <v>0.77207840890125179</v>
      </c>
      <c r="F11" s="657">
        <f>+Archivo!W19</f>
        <v>555124376</v>
      </c>
      <c r="G11" s="12">
        <f t="shared" ref="G11:G37" si="0">F11/C11</f>
        <v>0.77207840890125179</v>
      </c>
      <c r="H11" s="22">
        <f>+Archivo!Z19</f>
        <v>555124376</v>
      </c>
      <c r="I11" s="12">
        <f t="shared" ref="I11:I38" si="1">H11/C11</f>
        <v>0.77207840890125179</v>
      </c>
    </row>
    <row r="12" spans="1:9" ht="33" customHeight="1" x14ac:dyDescent="0.25">
      <c r="A12" s="674" t="s">
        <v>73</v>
      </c>
      <c r="B12" s="674"/>
      <c r="C12" s="609">
        <f>+'bienes y servicios'!O34</f>
        <v>7638188344</v>
      </c>
      <c r="D12" s="11">
        <f>+'bienes y servicios'!T34</f>
        <v>4901221841.7399998</v>
      </c>
      <c r="E12" s="10">
        <f t="shared" ref="E12:E37" si="2">D12/C12</f>
        <v>0.64167334202881232</v>
      </c>
      <c r="F12" s="657">
        <f>+'bienes y servicios'!X34</f>
        <v>4614849531.7399998</v>
      </c>
      <c r="G12" s="12">
        <f t="shared" si="0"/>
        <v>0.60418116494405205</v>
      </c>
      <c r="H12" s="22">
        <f>+'bienes y servicios'!AA34</f>
        <v>4614849531.7399998</v>
      </c>
      <c r="I12" s="12">
        <f t="shared" si="1"/>
        <v>0.60418116494405205</v>
      </c>
    </row>
    <row r="13" spans="1:9" ht="33" customHeight="1" x14ac:dyDescent="0.25">
      <c r="A13" s="674" t="s">
        <v>84</v>
      </c>
      <c r="B13" s="674"/>
      <c r="C13" s="609">
        <f>+calidad!L20</f>
        <v>268000000</v>
      </c>
      <c r="D13" s="11">
        <f>+calidad!Q20</f>
        <v>246148932</v>
      </c>
      <c r="E13" s="12">
        <f t="shared" si="2"/>
        <v>0.91846616417910443</v>
      </c>
      <c r="F13" s="657">
        <f>+calidad!U20</f>
        <v>246148932</v>
      </c>
      <c r="G13" s="12">
        <f t="shared" si="0"/>
        <v>0.91846616417910443</v>
      </c>
      <c r="H13" s="22">
        <f>+calidad!X20</f>
        <v>246148932</v>
      </c>
      <c r="I13" s="12">
        <f t="shared" si="1"/>
        <v>0.91846616417910443</v>
      </c>
    </row>
    <row r="14" spans="1:9" ht="14.45" customHeight="1" x14ac:dyDescent="0.25">
      <c r="A14" s="674" t="s">
        <v>10</v>
      </c>
      <c r="B14" s="674"/>
      <c r="C14" s="609">
        <f>+comunicaciones!L30</f>
        <v>451360174</v>
      </c>
      <c r="D14" s="11">
        <f>+comunicaciones!Q30</f>
        <v>202193050</v>
      </c>
      <c r="E14" s="12">
        <f t="shared" si="2"/>
        <v>0.44796386931559451</v>
      </c>
      <c r="F14" s="657">
        <f>+comunicaciones!U30</f>
        <v>202193050</v>
      </c>
      <c r="G14" s="12">
        <f t="shared" si="0"/>
        <v>0.44796386931559451</v>
      </c>
      <c r="H14" s="22">
        <f>+comunicaciones!X30</f>
        <v>202193050</v>
      </c>
      <c r="I14" s="12">
        <f t="shared" si="1"/>
        <v>0.44796386931559451</v>
      </c>
    </row>
    <row r="15" spans="1:9" ht="14.45" customHeight="1" x14ac:dyDescent="0.25">
      <c r="A15" s="674" t="s">
        <v>82</v>
      </c>
      <c r="B15" s="674"/>
      <c r="C15" s="609">
        <f>+planeación!M47</f>
        <v>1794200035</v>
      </c>
      <c r="D15" s="11">
        <f>+planeación!R47</f>
        <v>780289050.70000005</v>
      </c>
      <c r="E15" s="12">
        <f t="shared" si="2"/>
        <v>0.43489523769851007</v>
      </c>
      <c r="F15" s="657">
        <f>+planeación!V47</f>
        <v>780289050.70000005</v>
      </c>
      <c r="G15" s="406">
        <f t="shared" si="0"/>
        <v>0.43489523769851007</v>
      </c>
      <c r="H15" s="22">
        <f>+planeación!Y47</f>
        <v>780289050.70000005</v>
      </c>
      <c r="I15" s="406">
        <f t="shared" si="1"/>
        <v>0.43489523769851007</v>
      </c>
    </row>
    <row r="16" spans="1:9" ht="20.25" customHeight="1" x14ac:dyDescent="0.25">
      <c r="A16" s="672" t="s">
        <v>16</v>
      </c>
      <c r="B16" s="673"/>
      <c r="C16" s="609">
        <f>+'Sistemas y T'!P360</f>
        <v>10360164221</v>
      </c>
      <c r="D16" s="22">
        <f>+'Sistemas y T'!U360</f>
        <v>9337250174.0599995</v>
      </c>
      <c r="E16" s="23">
        <f t="shared" si="2"/>
        <v>0.90126468797989134</v>
      </c>
      <c r="F16" s="657">
        <f>+'Sistemas y T'!Y360</f>
        <v>9272724570.0599995</v>
      </c>
      <c r="G16" s="23">
        <f t="shared" si="0"/>
        <v>0.89503644655209558</v>
      </c>
      <c r="H16" s="22">
        <f>+'Sistemas y T'!AB360</f>
        <v>9272724570.0599995</v>
      </c>
      <c r="I16" s="23">
        <f t="shared" si="1"/>
        <v>0.89503644655209558</v>
      </c>
    </row>
    <row r="17" spans="1:10" ht="33" customHeight="1" x14ac:dyDescent="0.25">
      <c r="A17" s="672" t="s">
        <v>18</v>
      </c>
      <c r="B17" s="673"/>
      <c r="C17" s="609">
        <f>+'Talento Humano'!L29</f>
        <v>50000000</v>
      </c>
      <c r="D17" s="22">
        <f>+'Talento Humano'!Q29</f>
        <v>49698664.600000001</v>
      </c>
      <c r="E17" s="23">
        <f t="shared" si="2"/>
        <v>0.99397329200000006</v>
      </c>
      <c r="F17" s="657">
        <f>+'Talento Humano'!U29</f>
        <v>49698664.600000001</v>
      </c>
      <c r="G17" s="23">
        <f t="shared" si="0"/>
        <v>0.99397329200000006</v>
      </c>
      <c r="H17" s="22">
        <f>+'Talento Humano'!X29</f>
        <v>49698664.600000001</v>
      </c>
      <c r="I17" s="23">
        <f t="shared" si="1"/>
        <v>0.99397329200000006</v>
      </c>
    </row>
    <row r="18" spans="1:10" ht="14.45" customHeight="1" x14ac:dyDescent="0.25">
      <c r="A18" s="672" t="s">
        <v>9</v>
      </c>
      <c r="B18" s="673"/>
      <c r="C18" s="609">
        <f>+'centro de E agroambientales'!L39</f>
        <v>130550000</v>
      </c>
      <c r="D18" s="22">
        <f>+'centro de E agroambientales'!Q39</f>
        <v>100116966.73</v>
      </c>
      <c r="E18" s="23">
        <f t="shared" si="2"/>
        <v>0.76688599563385684</v>
      </c>
      <c r="F18" s="657">
        <f>+'centro de E agroambientales'!U39</f>
        <v>100116966.73</v>
      </c>
      <c r="G18" s="23">
        <f t="shared" si="0"/>
        <v>0.76688599563385684</v>
      </c>
      <c r="H18" s="22">
        <f>+'centro de E agroambientales'!X39</f>
        <v>100116966.73</v>
      </c>
      <c r="I18" s="23">
        <f t="shared" si="1"/>
        <v>0.76688599563385684</v>
      </c>
    </row>
    <row r="19" spans="1:10" s="123" customFormat="1" ht="14.45" customHeight="1" x14ac:dyDescent="0.25">
      <c r="A19" s="672" t="s">
        <v>848</v>
      </c>
      <c r="B19" s="673"/>
      <c r="C19" s="537">
        <f>+'FONDO FACATATIVA'!L39</f>
        <v>394118700</v>
      </c>
      <c r="D19" s="22">
        <f>+'FONDO FACATATIVA'!Q39</f>
        <v>326467812.75</v>
      </c>
      <c r="E19" s="23">
        <f>D19/C19</f>
        <v>0.82834895362742245</v>
      </c>
      <c r="F19" s="658">
        <f>+'FONDO FACATATIVA'!U39</f>
        <v>326467812.75</v>
      </c>
      <c r="G19" s="23">
        <f t="shared" si="0"/>
        <v>0.82834895362742245</v>
      </c>
      <c r="H19" s="22">
        <f>+'FONDO FACATATIVA'!X39</f>
        <v>326467812.75</v>
      </c>
      <c r="I19" s="23">
        <f t="shared" si="1"/>
        <v>0.82834895362742245</v>
      </c>
    </row>
    <row r="20" spans="1:10" s="123" customFormat="1" ht="14.45" customHeight="1" x14ac:dyDescent="0.25">
      <c r="A20" s="672" t="s">
        <v>81</v>
      </c>
      <c r="B20" s="673"/>
      <c r="C20" s="537">
        <f>+'FONDO GIRARDOT'!L70</f>
        <v>884372648</v>
      </c>
      <c r="D20" s="22">
        <f>+'FONDO GIRARDOT'!Q70</f>
        <v>704206204</v>
      </c>
      <c r="E20" s="23">
        <f t="shared" si="2"/>
        <v>0.79627768406514532</v>
      </c>
      <c r="F20" s="658">
        <f>+'FONDO GIRARDOT'!U70</f>
        <v>700182814</v>
      </c>
      <c r="G20" s="23">
        <f t="shared" si="0"/>
        <v>0.79172825571149952</v>
      </c>
      <c r="H20" s="22">
        <f>+'FONDO GIRARDOT'!X70</f>
        <v>700182814</v>
      </c>
      <c r="I20" s="23">
        <f t="shared" si="1"/>
        <v>0.79172825571149952</v>
      </c>
    </row>
    <row r="21" spans="1:10" s="229" customFormat="1" ht="14.45" customHeight="1" x14ac:dyDescent="0.25">
      <c r="A21" s="672" t="s">
        <v>1291</v>
      </c>
      <c r="B21" s="673"/>
      <c r="C21" s="537">
        <f>+'FONDO UBATE'!L15</f>
        <v>135431359</v>
      </c>
      <c r="D21" s="22">
        <f>+'FONDO UBATE'!Q15</f>
        <v>110634814</v>
      </c>
      <c r="E21" s="23">
        <f t="shared" si="2"/>
        <v>0.81690691740012744</v>
      </c>
      <c r="F21" s="658">
        <f>'FONDO UBATE'!U15</f>
        <v>110634814</v>
      </c>
      <c r="G21" s="23">
        <f t="shared" si="0"/>
        <v>0.81690691740012744</v>
      </c>
      <c r="H21" s="22">
        <f>+'FONDO UBATE'!X15</f>
        <v>110634814</v>
      </c>
      <c r="I21" s="23">
        <f t="shared" si="1"/>
        <v>0.81690691740012744</v>
      </c>
    </row>
    <row r="22" spans="1:10" s="229" customFormat="1" ht="14.45" customHeight="1" x14ac:dyDescent="0.25">
      <c r="A22" s="672" t="s">
        <v>1294</v>
      </c>
      <c r="B22" s="673"/>
      <c r="C22" s="609">
        <f>+'comunicaciones ubaté'!L14</f>
        <v>377651729</v>
      </c>
      <c r="D22" s="22">
        <f>+'comunicaciones ubaté'!Q14</f>
        <v>0</v>
      </c>
      <c r="E22" s="23">
        <f t="shared" si="2"/>
        <v>0</v>
      </c>
      <c r="F22" s="657">
        <f>+'comunicaciones ubaté'!U14</f>
        <v>0</v>
      </c>
      <c r="G22" s="23">
        <f t="shared" si="0"/>
        <v>0</v>
      </c>
      <c r="H22" s="22">
        <f>+'comunicaciones ubaté'!X14</f>
        <v>0</v>
      </c>
      <c r="I22" s="23">
        <f t="shared" si="1"/>
        <v>0</v>
      </c>
    </row>
    <row r="23" spans="1:10" s="229" customFormat="1" ht="14.45" customHeight="1" x14ac:dyDescent="0.25">
      <c r="A23" s="672" t="s">
        <v>1292</v>
      </c>
      <c r="B23" s="673"/>
      <c r="C23" s="537">
        <f>+'FONDO SOACHA'!L13</f>
        <v>48847977</v>
      </c>
      <c r="D23" s="22">
        <f>+'FONDO SOACHA'!Q13</f>
        <v>42615672</v>
      </c>
      <c r="E23" s="23">
        <f t="shared" si="2"/>
        <v>0.87241426599918359</v>
      </c>
      <c r="F23" s="658">
        <f>+'FONDO SOACHA'!U13</f>
        <v>42615672</v>
      </c>
      <c r="G23" s="23">
        <f t="shared" si="0"/>
        <v>0.87241426599918359</v>
      </c>
      <c r="H23" s="22">
        <f>+'FONDO SOACHA'!X13</f>
        <v>42615672</v>
      </c>
      <c r="I23" s="23">
        <f t="shared" si="1"/>
        <v>0.87241426599918359</v>
      </c>
    </row>
    <row r="24" spans="1:10" s="229" customFormat="1" ht="14.45" customHeight="1" x14ac:dyDescent="0.25">
      <c r="A24" s="672" t="s">
        <v>1293</v>
      </c>
      <c r="B24" s="673"/>
      <c r="C24" s="537">
        <f>+'FONDO CHIA-ZIPA'!L14</f>
        <v>84393909</v>
      </c>
      <c r="D24" s="22">
        <f>+'FONDO CHIA-ZIPA'!Q14</f>
        <v>77844784</v>
      </c>
      <c r="E24" s="23">
        <f t="shared" si="2"/>
        <v>0.92239813183674191</v>
      </c>
      <c r="F24" s="658">
        <f>+'FONDO CHIA-ZIPA'!U14</f>
        <v>77844783.870000005</v>
      </c>
      <c r="G24" s="23">
        <f t="shared" si="0"/>
        <v>0.92239813029634643</v>
      </c>
      <c r="H24" s="22">
        <f>+'FONDO CHIA-ZIPA'!X14</f>
        <v>77844783.870000005</v>
      </c>
      <c r="I24" s="23">
        <f t="shared" si="1"/>
        <v>0.92239813029634643</v>
      </c>
    </row>
    <row r="25" spans="1:10" ht="14.45" customHeight="1" x14ac:dyDescent="0.25">
      <c r="A25" s="672" t="s">
        <v>74</v>
      </c>
      <c r="B25" s="673"/>
      <c r="C25" s="609">
        <f>+'desarrollo académico'!L45</f>
        <v>216324000</v>
      </c>
      <c r="D25" s="22">
        <f>+'desarrollo académico'!Q45</f>
        <v>143606333</v>
      </c>
      <c r="E25" s="23">
        <f t="shared" si="2"/>
        <v>0.66384836171668427</v>
      </c>
      <c r="F25" s="657">
        <f>+'desarrollo académico'!U45</f>
        <v>136156333</v>
      </c>
      <c r="G25" s="23">
        <f t="shared" si="0"/>
        <v>0.62940927959911985</v>
      </c>
      <c r="H25" s="22">
        <f>+'desarrollo académico'!X45</f>
        <v>136156333</v>
      </c>
      <c r="I25" s="23">
        <f t="shared" si="1"/>
        <v>0.62940927959911985</v>
      </c>
    </row>
    <row r="26" spans="1:10" ht="14.45" customHeight="1" x14ac:dyDescent="0.25">
      <c r="A26" s="672" t="s">
        <v>75</v>
      </c>
      <c r="B26" s="673"/>
      <c r="C26" s="609">
        <f>+'Educación Virtual y a distancia'!L61</f>
        <v>2007254816</v>
      </c>
      <c r="D26" s="22">
        <f>+'Educación Virtual y a distancia'!Q61</f>
        <v>1806826080</v>
      </c>
      <c r="E26" s="23">
        <f t="shared" si="2"/>
        <v>0.90014783653656461</v>
      </c>
      <c r="F26" s="657">
        <f>+'Educación Virtual y a distancia'!U61</f>
        <v>1771226080</v>
      </c>
      <c r="G26" s="23">
        <f t="shared" si="0"/>
        <v>0.88241217103150293</v>
      </c>
      <c r="H26" s="22">
        <f>+'Educación Virtual y a distancia'!X61</f>
        <v>1771226080</v>
      </c>
      <c r="I26" s="23">
        <f t="shared" si="1"/>
        <v>0.88241217103150293</v>
      </c>
    </row>
    <row r="27" spans="1:10" ht="33" customHeight="1" x14ac:dyDescent="0.25">
      <c r="A27" s="672" t="s">
        <v>76</v>
      </c>
      <c r="B27" s="673"/>
      <c r="C27" s="609">
        <f>+EFAD!L52</f>
        <v>2011657497</v>
      </c>
      <c r="D27" s="22">
        <f>+EFAD!Q52</f>
        <v>1972598936</v>
      </c>
      <c r="E27" s="23">
        <f t="shared" si="2"/>
        <v>0.98058389111553612</v>
      </c>
      <c r="F27" s="657">
        <f>+EFAD!U52</f>
        <v>1972598936</v>
      </c>
      <c r="G27" s="23">
        <f t="shared" si="0"/>
        <v>0.98058389111553612</v>
      </c>
      <c r="H27" s="22">
        <f>+EFAD!X52</f>
        <v>1972598936</v>
      </c>
      <c r="I27" s="23">
        <f t="shared" si="1"/>
        <v>0.98058389111553612</v>
      </c>
    </row>
    <row r="28" spans="1:10" ht="33" customHeight="1" x14ac:dyDescent="0.25">
      <c r="A28" s="672" t="s">
        <v>12</v>
      </c>
      <c r="B28" s="673"/>
      <c r="C28" s="609">
        <f>+Graduados!L21</f>
        <v>402002187</v>
      </c>
      <c r="D28" s="22">
        <f>+Graduados!Q21</f>
        <v>317893859</v>
      </c>
      <c r="E28" s="23">
        <f t="shared" si="2"/>
        <v>0.79077644172119888</v>
      </c>
      <c r="F28" s="657">
        <f>+Graduados!U21</f>
        <v>317893859</v>
      </c>
      <c r="G28" s="23">
        <f t="shared" si="0"/>
        <v>0.79077644172119888</v>
      </c>
      <c r="H28" s="22">
        <f>+Graduados!X21</f>
        <v>317893859</v>
      </c>
      <c r="I28" s="23">
        <f t="shared" si="1"/>
        <v>0.79077644172119888</v>
      </c>
    </row>
    <row r="29" spans="1:10" ht="14.45" customHeight="1" x14ac:dyDescent="0.25">
      <c r="A29" s="672" t="s">
        <v>13</v>
      </c>
      <c r="B29" s="673"/>
      <c r="C29" s="609">
        <f>+'interac. social'!L37</f>
        <v>800028782</v>
      </c>
      <c r="D29" s="22">
        <f>+'interac. social'!Q37</f>
        <v>495174920.26000005</v>
      </c>
      <c r="E29" s="23">
        <f t="shared" si="2"/>
        <v>0.61894638218153508</v>
      </c>
      <c r="F29" s="657">
        <f>+'interac. social'!U37</f>
        <v>495174920.26000005</v>
      </c>
      <c r="G29" s="23">
        <f t="shared" si="0"/>
        <v>0.61894638218153508</v>
      </c>
      <c r="H29" s="22">
        <f>+'interac. social'!X37</f>
        <v>495174920.26000005</v>
      </c>
      <c r="I29" s="23">
        <f t="shared" si="1"/>
        <v>0.61894638218153508</v>
      </c>
    </row>
    <row r="30" spans="1:10" ht="33" customHeight="1" x14ac:dyDescent="0.25">
      <c r="A30" s="672" t="s">
        <v>14</v>
      </c>
      <c r="B30" s="673"/>
      <c r="C30" s="609">
        <f>+Internacionalización!L26</f>
        <v>312000000</v>
      </c>
      <c r="D30" s="22">
        <f>+Internacionalización!Q26</f>
        <v>272620569</v>
      </c>
      <c r="E30" s="23">
        <f t="shared" si="2"/>
        <v>0.87378387499999999</v>
      </c>
      <c r="F30" s="657">
        <f>+Internacionalización!U26</f>
        <v>272620569</v>
      </c>
      <c r="G30" s="23">
        <f t="shared" si="0"/>
        <v>0.87378387499999999</v>
      </c>
      <c r="H30" s="22">
        <f>+Internacionalización!X26</f>
        <v>272620569</v>
      </c>
      <c r="I30" s="23">
        <f t="shared" si="1"/>
        <v>0.87378387499999999</v>
      </c>
    </row>
    <row r="31" spans="1:10" ht="14.45" customHeight="1" x14ac:dyDescent="0.25">
      <c r="A31" s="672" t="s">
        <v>126</v>
      </c>
      <c r="B31" s="673"/>
      <c r="C31" s="609">
        <f>+'bienestar U.'!M414</f>
        <v>5237001106</v>
      </c>
      <c r="D31" s="22">
        <f>+'bienestar U.'!R414</f>
        <v>4627679317</v>
      </c>
      <c r="E31" s="23">
        <f t="shared" si="2"/>
        <v>0.88365062816162021</v>
      </c>
      <c r="F31" s="657">
        <f>+'bienestar U.'!V414</f>
        <v>4627632622</v>
      </c>
      <c r="G31" s="23">
        <f t="shared" si="0"/>
        <v>0.88364171179917261</v>
      </c>
      <c r="H31" s="22">
        <f>+'bienestar U.'!Y414</f>
        <v>4627632622</v>
      </c>
      <c r="I31" s="23">
        <f t="shared" si="1"/>
        <v>0.88364171179917261</v>
      </c>
    </row>
    <row r="32" spans="1:10" ht="14.45" customHeight="1" x14ac:dyDescent="0.25">
      <c r="A32" s="672" t="s">
        <v>77</v>
      </c>
      <c r="B32" s="673"/>
      <c r="C32" s="609">
        <f>+POSGRADOS!L13</f>
        <v>551993100</v>
      </c>
      <c r="D32" s="22">
        <f>+POSGRADOS!Q13</f>
        <v>511996961</v>
      </c>
      <c r="E32" s="23">
        <f t="shared" si="2"/>
        <v>0.92754232072828446</v>
      </c>
      <c r="F32" s="657">
        <f>+POSGRADOS!U13</f>
        <v>511996961</v>
      </c>
      <c r="G32" s="23">
        <f t="shared" si="0"/>
        <v>0.92754232072828446</v>
      </c>
      <c r="H32" s="22">
        <f>+POSGRADOS!X13</f>
        <v>511996961</v>
      </c>
      <c r="I32" s="23">
        <f t="shared" si="1"/>
        <v>0.92754232072828446</v>
      </c>
      <c r="J32" s="9"/>
    </row>
    <row r="33" spans="1:9" ht="14.45" customHeight="1" x14ac:dyDescent="0.25">
      <c r="A33" s="672" t="s">
        <v>181</v>
      </c>
      <c r="B33" s="673"/>
      <c r="C33" s="609">
        <f>+Inclusión!L19</f>
        <v>163578590</v>
      </c>
      <c r="D33" s="22">
        <f>+Inclusión!Q19</f>
        <v>153101697</v>
      </c>
      <c r="E33" s="23">
        <f t="shared" si="2"/>
        <v>0.93595192989498199</v>
      </c>
      <c r="F33" s="657">
        <f>+Inclusión!U19</f>
        <v>150601697</v>
      </c>
      <c r="G33" s="23">
        <f t="shared" si="0"/>
        <v>0.92066875622292621</v>
      </c>
      <c r="H33" s="22">
        <f>+Inclusión!X19</f>
        <v>150601697</v>
      </c>
      <c r="I33" s="23">
        <f t="shared" si="1"/>
        <v>0.92066875622292621</v>
      </c>
    </row>
    <row r="34" spans="1:9" ht="33" customHeight="1" x14ac:dyDescent="0.25">
      <c r="A34" s="672" t="s">
        <v>6</v>
      </c>
      <c r="B34" s="673"/>
      <c r="C34" s="609">
        <f>+'Autoevaluación y acreditación'!O78</f>
        <v>990500000</v>
      </c>
      <c r="D34" s="22">
        <f>+'Autoevaluación y acreditación'!T78</f>
        <v>941872322</v>
      </c>
      <c r="E34" s="23">
        <f t="shared" si="2"/>
        <v>0.95090592831903076</v>
      </c>
      <c r="F34" s="657">
        <f>+'Autoevaluación y acreditación'!X78</f>
        <v>941872322</v>
      </c>
      <c r="G34" s="23">
        <f t="shared" si="0"/>
        <v>0.95090592831903076</v>
      </c>
      <c r="H34" s="22">
        <f>+'Autoevaluación y acreditación'!AA78</f>
        <v>941872322</v>
      </c>
      <c r="I34" s="23">
        <f t="shared" si="1"/>
        <v>0.95090592831903076</v>
      </c>
    </row>
    <row r="35" spans="1:9" ht="14.45" customHeight="1" x14ac:dyDescent="0.25">
      <c r="A35" s="672" t="s">
        <v>72</v>
      </c>
      <c r="B35" s="673"/>
      <c r="C35" s="608">
        <f>+'Apoyo Académico'!Q153</f>
        <v>14602625742</v>
      </c>
      <c r="D35" s="22">
        <f>+'Apoyo Académico'!V153</f>
        <v>13362771838.67</v>
      </c>
      <c r="E35" s="23">
        <f t="shared" si="2"/>
        <v>0.91509376976197243</v>
      </c>
      <c r="F35" s="657">
        <f>+'Apoyo Académico'!Z153</f>
        <v>13362771838.67</v>
      </c>
      <c r="G35" s="23">
        <f t="shared" si="0"/>
        <v>0.91509376976197243</v>
      </c>
      <c r="H35" s="22">
        <f>+'Apoyo Académico'!AC153</f>
        <v>13362771838.67</v>
      </c>
      <c r="I35" s="23">
        <f t="shared" si="1"/>
        <v>0.91509376976197243</v>
      </c>
    </row>
    <row r="36" spans="1:9" ht="14.45" customHeight="1" x14ac:dyDescent="0.25">
      <c r="A36" s="674" t="s">
        <v>849</v>
      </c>
      <c r="B36" s="674"/>
      <c r="C36" s="537">
        <f>+'FONDO CTEI '!N364</f>
        <v>4651076468</v>
      </c>
      <c r="D36" s="22">
        <f>+'FONDO CTEI '!S364</f>
        <v>2112571216</v>
      </c>
      <c r="E36" s="23">
        <f t="shared" si="2"/>
        <v>0.4542112413190279</v>
      </c>
      <c r="F36" s="658">
        <f>+'FONDO CTEI '!W364</f>
        <v>1516066383</v>
      </c>
      <c r="G36" s="23">
        <f t="shared" si="0"/>
        <v>0.32596032196648028</v>
      </c>
      <c r="H36" s="22">
        <f>+'FONDO CTEI '!Z364</f>
        <v>1516066383</v>
      </c>
      <c r="I36" s="23">
        <f t="shared" si="1"/>
        <v>0.32596032196648028</v>
      </c>
    </row>
    <row r="37" spans="1:9" ht="14.45" customHeight="1" x14ac:dyDescent="0.25">
      <c r="A37" s="674" t="s">
        <v>850</v>
      </c>
      <c r="B37" s="674"/>
      <c r="C37" s="537">
        <f>+'FONDO POSGRADOS'!L10</f>
        <v>86500000</v>
      </c>
      <c r="D37" s="22">
        <f>+'FONDO POSGRADOS'!Q10</f>
        <v>0</v>
      </c>
      <c r="E37" s="23">
        <f t="shared" si="2"/>
        <v>0</v>
      </c>
      <c r="F37" s="658">
        <f>+'FONDO POSGRADOS'!U10</f>
        <v>0</v>
      </c>
      <c r="G37" s="23">
        <f t="shared" si="0"/>
        <v>0</v>
      </c>
      <c r="H37" s="22">
        <f>+'FONDO POSGRADOS'!X10</f>
        <v>0</v>
      </c>
      <c r="I37" s="23">
        <f t="shared" si="1"/>
        <v>0</v>
      </c>
    </row>
    <row r="38" spans="1:9" ht="15" customHeight="1" x14ac:dyDescent="0.25">
      <c r="A38" s="670" t="s">
        <v>78</v>
      </c>
      <c r="B38" s="671"/>
      <c r="C38" s="30">
        <f>SUM(C10:C37)</f>
        <v>55634721384</v>
      </c>
      <c r="D38" s="30">
        <f>SUM(D10:D37)</f>
        <v>44359545260.510002</v>
      </c>
      <c r="E38" s="131">
        <f>D38/C38</f>
        <v>0.79733562345595521</v>
      </c>
      <c r="F38" s="30">
        <f>SUM(F10:F37)</f>
        <v>43362522428.379997</v>
      </c>
      <c r="G38" s="131">
        <f>F38/C38</f>
        <v>0.77941474945267963</v>
      </c>
      <c r="H38" s="30">
        <f>SUM(H10:H37)</f>
        <v>43362522428.379997</v>
      </c>
      <c r="I38" s="21">
        <f t="shared" si="1"/>
        <v>0.77941474945267963</v>
      </c>
    </row>
    <row r="39" spans="1:9" ht="14.45" hidden="1" customHeight="1" x14ac:dyDescent="0.25"/>
    <row r="40" spans="1:9" ht="14.45" hidden="1" customHeight="1" x14ac:dyDescent="0.25"/>
    <row r="41" spans="1:9" ht="14.45" hidden="1" customHeight="1" x14ac:dyDescent="0.25"/>
    <row r="42" spans="1:9" ht="14.45" hidden="1" customHeight="1" x14ac:dyDescent="0.25"/>
    <row r="43" spans="1:9" ht="14.45" hidden="1" customHeight="1" x14ac:dyDescent="0.25"/>
    <row r="44" spans="1:9" ht="14.45" hidden="1" customHeight="1" x14ac:dyDescent="0.25"/>
    <row r="45" spans="1:9" ht="14.45" hidden="1" customHeight="1" x14ac:dyDescent="0.25"/>
    <row r="46" spans="1:9" ht="14.45" hidden="1" customHeight="1" x14ac:dyDescent="0.25"/>
    <row r="47" spans="1:9" ht="14.45" hidden="1" customHeight="1" x14ac:dyDescent="0.25"/>
    <row r="48" spans="1:9" ht="14.45" hidden="1" customHeight="1" x14ac:dyDescent="0.25"/>
    <row r="49" ht="14.45" hidden="1" customHeight="1" x14ac:dyDescent="0.25"/>
    <row r="50" ht="14.45" hidden="1" customHeight="1" x14ac:dyDescent="0.25"/>
    <row r="51" ht="14.45" hidden="1" customHeight="1" x14ac:dyDescent="0.25"/>
    <row r="52" ht="14.45" hidden="1" customHeight="1" x14ac:dyDescent="0.25"/>
    <row r="53" ht="14.45" hidden="1" customHeight="1" x14ac:dyDescent="0.25"/>
    <row r="54" ht="14.45" hidden="1" customHeight="1" x14ac:dyDescent="0.25"/>
    <row r="55" ht="14.45" hidden="1" customHeight="1" x14ac:dyDescent="0.25"/>
    <row r="56" ht="14.45" hidden="1" customHeight="1" x14ac:dyDescent="0.25"/>
    <row r="57" ht="14.45" hidden="1" customHeight="1" x14ac:dyDescent="0.25"/>
    <row r="58" ht="14.45" hidden="1" customHeight="1" x14ac:dyDescent="0.25"/>
    <row r="59" ht="14.45" hidden="1" customHeight="1" x14ac:dyDescent="0.25"/>
    <row r="60" ht="14.45" hidden="1" customHeight="1" x14ac:dyDescent="0.25"/>
    <row r="61" ht="14.45" hidden="1" customHeight="1" x14ac:dyDescent="0.25"/>
    <row r="62" ht="14.45" hidden="1" customHeight="1" x14ac:dyDescent="0.25"/>
    <row r="63" ht="14.45" hidden="1" customHeight="1" x14ac:dyDescent="0.25"/>
    <row r="64" ht="14.45" hidden="1" customHeight="1" x14ac:dyDescent="0.25"/>
    <row r="65" ht="14.45" hidden="1" customHeight="1" x14ac:dyDescent="0.25"/>
    <row r="66" ht="14.45" hidden="1" customHeight="1" x14ac:dyDescent="0.25"/>
    <row r="67" ht="14.45" hidden="1" customHeight="1" x14ac:dyDescent="0.25"/>
    <row r="68" ht="14.45" hidden="1" customHeight="1" x14ac:dyDescent="0.25"/>
    <row r="69" ht="14.45" hidden="1" customHeight="1" x14ac:dyDescent="0.25"/>
    <row r="70" ht="14.45" hidden="1" customHeight="1" x14ac:dyDescent="0.25"/>
    <row r="71" ht="14.45" hidden="1" customHeight="1" x14ac:dyDescent="0.25"/>
    <row r="72" ht="14.45" hidden="1" customHeight="1" x14ac:dyDescent="0.25"/>
    <row r="73" ht="14.45" hidden="1" customHeight="1" x14ac:dyDescent="0.25"/>
    <row r="74" ht="14.45" hidden="1" customHeight="1" x14ac:dyDescent="0.25"/>
    <row r="75" ht="14.45" hidden="1" customHeight="1" x14ac:dyDescent="0.25"/>
    <row r="76" ht="14.45" hidden="1" customHeight="1" x14ac:dyDescent="0.25"/>
    <row r="77" ht="14.45" hidden="1" customHeight="1" x14ac:dyDescent="0.25"/>
    <row r="78" ht="14.45" hidden="1" customHeight="1" x14ac:dyDescent="0.25"/>
    <row r="79" ht="14.45" hidden="1" customHeight="1" x14ac:dyDescent="0.25"/>
    <row r="80" ht="14.45" hidden="1" customHeight="1" x14ac:dyDescent="0.25"/>
    <row r="81" ht="14.45" hidden="1" customHeight="1" x14ac:dyDescent="0.25"/>
    <row r="82" ht="14.45" hidden="1" customHeight="1" x14ac:dyDescent="0.25"/>
    <row r="83" ht="14.45" hidden="1" customHeight="1" x14ac:dyDescent="0.25"/>
    <row r="84" ht="14.45" hidden="1" customHeight="1" x14ac:dyDescent="0.25"/>
    <row r="85" ht="14.45" hidden="1" customHeight="1" x14ac:dyDescent="0.25"/>
  </sheetData>
  <sheetProtection algorithmName="SHA-512" hashValue="69stv0DAPOWb8s2JMK/A46E4k0oP/Do6JGYbjRuwOvQWAiOexsjz9Bpny5d89XLzyGfpgM7JjXgCoXJgZOPV8A==" saltValue="vq3Obcjk8Pr74hwYX/CckA==" spinCount="100000" sheet="1" objects="1" scenarios="1" selectLockedCells="1" selectUnlockedCells="1"/>
  <mergeCells count="34">
    <mergeCell ref="A33:B33"/>
    <mergeCell ref="A19:B19"/>
    <mergeCell ref="A20:B20"/>
    <mergeCell ref="A16:B16"/>
    <mergeCell ref="A2:A5"/>
    <mergeCell ref="B2:H2"/>
    <mergeCell ref="B3:H3"/>
    <mergeCell ref="B4:H5"/>
    <mergeCell ref="A9:B9"/>
    <mergeCell ref="A10:B10"/>
    <mergeCell ref="A11:B11"/>
    <mergeCell ref="A12:B12"/>
    <mergeCell ref="A13:B13"/>
    <mergeCell ref="A14:B14"/>
    <mergeCell ref="A15:B15"/>
    <mergeCell ref="A28:B28"/>
    <mergeCell ref="A29:B29"/>
    <mergeCell ref="A30:B30"/>
    <mergeCell ref="A31:B31"/>
    <mergeCell ref="A32:B32"/>
    <mergeCell ref="A17:B17"/>
    <mergeCell ref="A18:B18"/>
    <mergeCell ref="A25:B25"/>
    <mergeCell ref="A26:B26"/>
    <mergeCell ref="A27:B27"/>
    <mergeCell ref="A21:B21"/>
    <mergeCell ref="A23:B23"/>
    <mergeCell ref="A24:B24"/>
    <mergeCell ref="A22:B22"/>
    <mergeCell ref="A38:B38"/>
    <mergeCell ref="A35:B35"/>
    <mergeCell ref="A36:B36"/>
    <mergeCell ref="A37:B37"/>
    <mergeCell ref="A34:B34"/>
  </mergeCells>
  <conditionalFormatting sqref="D39:D1048576 F39:F1048576 H39:H1048576 E10:E38 G10:G38 I10:I38">
    <cfRule type="cellIs" dxfId="1205" priority="4" operator="between">
      <formula>0.51</formula>
      <formula>0.69</formula>
    </cfRule>
    <cfRule type="cellIs" dxfId="1204" priority="5" operator="lessThan">
      <formula>0.5</formula>
    </cfRule>
    <cfRule type="cellIs" dxfId="1203" priority="6" operator="greaterThan">
      <formula>0.7</formula>
    </cfRule>
  </conditionalFormatting>
  <conditionalFormatting sqref="E4:E5 G4:G5">
    <cfRule type="cellIs" dxfId="1202" priority="1" operator="between">
      <formula>0.51</formula>
      <formula>0.69</formula>
    </cfRule>
    <cfRule type="cellIs" dxfId="1201" priority="2" operator="lessThan">
      <formula>0.5</formula>
    </cfRule>
    <cfRule type="cellIs" dxfId="1200" priority="3" operator="greaterThan">
      <formula>0.7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EH210"/>
  <sheetViews>
    <sheetView topLeftCell="A7" zoomScale="80" zoomScaleNormal="80" workbookViewId="0">
      <pane ySplit="1" topLeftCell="A8" activePane="bottomLeft" state="frozen"/>
      <selection activeCell="A7" sqref="A7"/>
      <selection pane="bottomLeft" activeCell="T151" sqref="T151"/>
    </sheetView>
  </sheetViews>
  <sheetFormatPr baseColWidth="10" defaultColWidth="0" defaultRowHeight="0" customHeight="1" zeroHeight="1" x14ac:dyDescent="0.25"/>
  <cols>
    <col min="1" max="1" width="14.7109375" style="40" customWidth="1"/>
    <col min="2" max="2" width="45.7109375" style="40" customWidth="1"/>
    <col min="3" max="3" width="17.28515625" style="77" customWidth="1"/>
    <col min="4" max="4" width="14.7109375" style="40" customWidth="1"/>
    <col min="5" max="5" width="41.140625" style="40" customWidth="1"/>
    <col min="6" max="6" width="21.140625" style="1" hidden="1" customWidth="1"/>
    <col min="7" max="7" width="19.85546875" style="40" hidden="1" customWidth="1"/>
    <col min="8" max="8" width="19" style="40" hidden="1" customWidth="1"/>
    <col min="9" max="9" width="20.85546875" style="40" hidden="1" customWidth="1"/>
    <col min="10" max="10" width="20.42578125" style="201" hidden="1" customWidth="1"/>
    <col min="11" max="12" width="16.140625" style="201" hidden="1" customWidth="1"/>
    <col min="13" max="14" width="18.5703125" style="326" hidden="1" customWidth="1"/>
    <col min="15" max="15" width="16.7109375" style="40" hidden="1" customWidth="1"/>
    <col min="16" max="16" width="18.7109375" style="40" hidden="1" customWidth="1"/>
    <col min="17" max="17" width="20.5703125" style="40" customWidth="1"/>
    <col min="18" max="18" width="18.85546875" style="40" bestFit="1" customWidth="1"/>
    <col min="19" max="19" width="15.7109375" style="40" customWidth="1"/>
    <col min="20" max="20" width="13.85546875" style="254" customWidth="1"/>
    <col min="21" max="21" width="15.42578125" style="40" customWidth="1"/>
    <col min="22" max="22" width="19.42578125" style="40" bestFit="1" customWidth="1"/>
    <col min="23" max="23" width="11.5703125" style="3" bestFit="1" customWidth="1"/>
    <col min="24" max="24" width="11.42578125" style="40" customWidth="1"/>
    <col min="25" max="25" width="16.7109375" style="35" bestFit="1" customWidth="1"/>
    <col min="26" max="26" width="21.5703125" style="40" bestFit="1" customWidth="1"/>
    <col min="27" max="27" width="11.42578125" style="40" customWidth="1"/>
    <col min="28" max="28" width="14.5703125" style="35" customWidth="1"/>
    <col min="29" max="29" width="19" style="40" bestFit="1" customWidth="1"/>
    <col min="30" max="134" width="11.5703125" style="39" hidden="1" customWidth="1"/>
    <col min="135" max="138" width="11.5703125" style="40" hidden="1" customWidth="1"/>
    <col min="139" max="16384" width="11.42578125" style="40" hidden="1"/>
  </cols>
  <sheetData>
    <row r="1" spans="1:134" ht="15" hidden="1" x14ac:dyDescent="0.25">
      <c r="A1" s="24"/>
      <c r="B1" s="25"/>
      <c r="C1" s="26"/>
      <c r="D1" s="26"/>
      <c r="E1" s="26"/>
      <c r="F1" s="27"/>
      <c r="G1" s="28"/>
      <c r="H1" s="28"/>
      <c r="I1" s="28"/>
      <c r="J1" s="28"/>
      <c r="K1" s="28"/>
      <c r="L1" s="28"/>
      <c r="M1" s="28"/>
      <c r="N1" s="28"/>
      <c r="O1" s="28"/>
      <c r="P1" s="29"/>
      <c r="Q1" s="24"/>
      <c r="R1" s="24"/>
      <c r="S1" s="24"/>
      <c r="T1" s="253"/>
      <c r="U1" s="24"/>
      <c r="V1" s="24"/>
      <c r="W1" s="24"/>
      <c r="X1" s="24"/>
      <c r="Y1" s="36"/>
      <c r="Z1" s="24"/>
      <c r="AA1" s="24"/>
      <c r="AB1" s="36"/>
    </row>
    <row r="2" spans="1:134"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30" t="s">
        <v>86</v>
      </c>
      <c r="AC2" s="730"/>
    </row>
    <row r="3" spans="1:134"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0" t="s">
        <v>88</v>
      </c>
      <c r="AC3" s="730"/>
    </row>
    <row r="4" spans="1:134"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0" t="s">
        <v>90</v>
      </c>
      <c r="AC4" s="730"/>
    </row>
    <row r="5" spans="1:134"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0" t="s">
        <v>91</v>
      </c>
      <c r="AC5" s="730"/>
    </row>
    <row r="6" spans="1:134" ht="15" hidden="1" x14ac:dyDescent="0.25">
      <c r="A6" s="24"/>
      <c r="B6" s="24"/>
      <c r="C6" s="76"/>
      <c r="D6" s="24"/>
      <c r="E6" s="24"/>
      <c r="F6" s="24"/>
      <c r="G6" s="24"/>
      <c r="H6" s="24"/>
      <c r="I6" s="24"/>
      <c r="J6" s="24"/>
      <c r="K6" s="24"/>
      <c r="L6" s="24"/>
      <c r="M6" s="24"/>
      <c r="N6" s="24"/>
      <c r="O6" s="24"/>
      <c r="P6" s="24"/>
      <c r="Q6" s="24"/>
      <c r="R6" s="24"/>
      <c r="S6" s="24"/>
      <c r="T6" s="253"/>
      <c r="U6" s="24"/>
      <c r="V6" s="24"/>
      <c r="W6" s="24"/>
      <c r="X6" s="24"/>
      <c r="Y6" s="36"/>
      <c r="Z6" s="24"/>
      <c r="AA6" s="24"/>
      <c r="AB6" s="36"/>
    </row>
    <row r="7" spans="1:134" s="34" customFormat="1" ht="63.75" x14ac:dyDescent="0.25">
      <c r="A7" s="41" t="s">
        <v>0</v>
      </c>
      <c r="B7" s="41" t="s">
        <v>1</v>
      </c>
      <c r="C7" s="41" t="s">
        <v>2</v>
      </c>
      <c r="D7" s="41" t="s">
        <v>103</v>
      </c>
      <c r="E7" s="41" t="s">
        <v>30</v>
      </c>
      <c r="F7" s="41" t="s">
        <v>96</v>
      </c>
      <c r="G7" s="41" t="s">
        <v>97</v>
      </c>
      <c r="H7" s="41" t="s">
        <v>871</v>
      </c>
      <c r="I7" s="41" t="s">
        <v>1133</v>
      </c>
      <c r="J7" s="41" t="s">
        <v>1134</v>
      </c>
      <c r="K7" s="41" t="s">
        <v>1135</v>
      </c>
      <c r="L7" s="41" t="s">
        <v>1136</v>
      </c>
      <c r="M7" s="41" t="s">
        <v>1541</v>
      </c>
      <c r="N7" s="41" t="s">
        <v>1547</v>
      </c>
      <c r="O7" s="41" t="s">
        <v>98</v>
      </c>
      <c r="P7" s="41" t="s">
        <v>99</v>
      </c>
      <c r="Q7" s="41" t="s">
        <v>3</v>
      </c>
      <c r="R7" s="41" t="s">
        <v>4</v>
      </c>
      <c r="S7" s="41" t="s">
        <v>28</v>
      </c>
      <c r="T7" s="41" t="s">
        <v>21</v>
      </c>
      <c r="U7" s="41" t="s">
        <v>65</v>
      </c>
      <c r="V7" s="41" t="s">
        <v>31</v>
      </c>
      <c r="W7" s="32" t="s">
        <v>62</v>
      </c>
      <c r="X7" s="41" t="s">
        <v>22</v>
      </c>
      <c r="Y7" s="37" t="s">
        <v>23</v>
      </c>
      <c r="Z7" s="41" t="s">
        <v>24</v>
      </c>
      <c r="AA7" s="41" t="s">
        <v>25</v>
      </c>
      <c r="AB7" s="37" t="s">
        <v>26</v>
      </c>
      <c r="AC7" s="41" t="s">
        <v>27</v>
      </c>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row>
    <row r="8" spans="1:134" s="50" customFormat="1" ht="15" x14ac:dyDescent="0.25">
      <c r="A8" s="692" t="s">
        <v>104</v>
      </c>
      <c r="B8" s="689" t="s">
        <v>105</v>
      </c>
      <c r="C8" s="689" t="s">
        <v>72</v>
      </c>
      <c r="D8" s="736" t="s">
        <v>809</v>
      </c>
      <c r="E8" s="689" t="s">
        <v>106</v>
      </c>
      <c r="F8" s="710">
        <f>75329530-2327500</f>
        <v>73002030</v>
      </c>
      <c r="G8" s="728">
        <v>0</v>
      </c>
      <c r="H8" s="692"/>
      <c r="I8" s="692"/>
      <c r="J8" s="692"/>
      <c r="K8" s="692"/>
      <c r="L8" s="692"/>
      <c r="M8" s="692"/>
      <c r="N8" s="692"/>
      <c r="O8" s="692"/>
      <c r="P8" s="728">
        <v>530</v>
      </c>
      <c r="Q8" s="739">
        <f>+F8+G8+H8+I8+J8+K8+L8+O8-P8</f>
        <v>73001500</v>
      </c>
      <c r="R8" s="713">
        <f>+Q13</f>
        <v>73001500</v>
      </c>
      <c r="S8" s="78" t="s">
        <v>253</v>
      </c>
      <c r="T8" s="154" t="s">
        <v>884</v>
      </c>
      <c r="U8" s="79">
        <v>44614</v>
      </c>
      <c r="V8" s="66">
        <v>0</v>
      </c>
      <c r="W8" s="46"/>
      <c r="X8" s="44"/>
      <c r="Y8" s="79"/>
      <c r="Z8" s="244"/>
      <c r="AA8" s="44"/>
      <c r="AB8" s="79"/>
      <c r="AC8" s="44"/>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row>
    <row r="9" spans="1:134" s="50" customFormat="1" ht="15" x14ac:dyDescent="0.25">
      <c r="A9" s="693"/>
      <c r="B9" s="690"/>
      <c r="C9" s="690"/>
      <c r="D9" s="737"/>
      <c r="E9" s="690"/>
      <c r="F9" s="711"/>
      <c r="G9" s="735"/>
      <c r="H9" s="693"/>
      <c r="I9" s="693"/>
      <c r="J9" s="693"/>
      <c r="K9" s="693"/>
      <c r="L9" s="693"/>
      <c r="M9" s="693"/>
      <c r="N9" s="693"/>
      <c r="O9" s="693"/>
      <c r="P9" s="735"/>
      <c r="Q9" s="740"/>
      <c r="R9" s="714"/>
      <c r="S9" s="78" t="s">
        <v>254</v>
      </c>
      <c r="T9" s="154" t="s">
        <v>885</v>
      </c>
      <c r="U9" s="79">
        <v>44614</v>
      </c>
      <c r="V9" s="66">
        <v>0</v>
      </c>
      <c r="W9" s="46"/>
      <c r="X9" s="504"/>
      <c r="Y9" s="79"/>
      <c r="Z9" s="244"/>
      <c r="AA9" s="44"/>
      <c r="AB9" s="79"/>
      <c r="AC9" s="44"/>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row>
    <row r="10" spans="1:134" s="50" customFormat="1" ht="15" x14ac:dyDescent="0.25">
      <c r="A10" s="693"/>
      <c r="B10" s="690"/>
      <c r="C10" s="690"/>
      <c r="D10" s="737"/>
      <c r="E10" s="690"/>
      <c r="F10" s="711"/>
      <c r="G10" s="735"/>
      <c r="H10" s="693"/>
      <c r="I10" s="693"/>
      <c r="J10" s="693"/>
      <c r="K10" s="693"/>
      <c r="L10" s="693"/>
      <c r="M10" s="693"/>
      <c r="N10" s="693"/>
      <c r="O10" s="693"/>
      <c r="P10" s="735"/>
      <c r="Q10" s="740"/>
      <c r="R10" s="714"/>
      <c r="S10" s="152" t="s">
        <v>886</v>
      </c>
      <c r="T10" s="454" t="s">
        <v>887</v>
      </c>
      <c r="U10" s="79">
        <v>44616</v>
      </c>
      <c r="V10" s="170">
        <v>9978000</v>
      </c>
      <c r="W10" s="46"/>
      <c r="X10" s="250">
        <v>406</v>
      </c>
      <c r="Y10" s="122" t="s">
        <v>1003</v>
      </c>
      <c r="Z10" s="274">
        <v>9978000</v>
      </c>
      <c r="AA10" s="242">
        <v>2504</v>
      </c>
      <c r="AB10" s="79" t="s">
        <v>2839</v>
      </c>
      <c r="AC10" s="274">
        <v>9978000</v>
      </c>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row>
    <row r="11" spans="1:134" s="50" customFormat="1" ht="15" x14ac:dyDescent="0.25">
      <c r="A11" s="693"/>
      <c r="B11" s="690"/>
      <c r="C11" s="690"/>
      <c r="D11" s="737"/>
      <c r="E11" s="690"/>
      <c r="F11" s="711"/>
      <c r="G11" s="735"/>
      <c r="H11" s="693"/>
      <c r="I11" s="693"/>
      <c r="J11" s="693"/>
      <c r="K11" s="693"/>
      <c r="L11" s="693"/>
      <c r="M11" s="693"/>
      <c r="N11" s="693"/>
      <c r="O11" s="693"/>
      <c r="P11" s="735"/>
      <c r="Q11" s="740"/>
      <c r="R11" s="714"/>
      <c r="S11" s="356" t="s">
        <v>1295</v>
      </c>
      <c r="T11" s="455" t="s">
        <v>1296</v>
      </c>
      <c r="U11" s="352">
        <v>44699</v>
      </c>
      <c r="V11" s="170">
        <v>57466000</v>
      </c>
      <c r="W11" s="46"/>
      <c r="X11" s="38">
        <v>664</v>
      </c>
      <c r="Y11" s="122">
        <v>44707</v>
      </c>
      <c r="Z11" s="170">
        <v>57466000</v>
      </c>
      <c r="AA11" s="44">
        <v>4427</v>
      </c>
      <c r="AB11" s="79" t="s">
        <v>2841</v>
      </c>
      <c r="AC11" s="274">
        <v>57466000</v>
      </c>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row>
    <row r="12" spans="1:134" s="50" customFormat="1" ht="15" x14ac:dyDescent="0.25">
      <c r="A12" s="694"/>
      <c r="B12" s="691"/>
      <c r="C12" s="691"/>
      <c r="D12" s="738"/>
      <c r="E12" s="691"/>
      <c r="F12" s="712"/>
      <c r="G12" s="729"/>
      <c r="H12" s="694"/>
      <c r="I12" s="694"/>
      <c r="J12" s="694"/>
      <c r="K12" s="694"/>
      <c r="L12" s="694"/>
      <c r="M12" s="694"/>
      <c r="N12" s="694"/>
      <c r="O12" s="694"/>
      <c r="P12" s="729"/>
      <c r="Q12" s="741"/>
      <c r="R12" s="715"/>
      <c r="S12" s="357" t="s">
        <v>2105</v>
      </c>
      <c r="T12" s="456">
        <v>434</v>
      </c>
      <c r="U12" s="346" t="s">
        <v>2104</v>
      </c>
      <c r="V12" s="379">
        <v>5557500</v>
      </c>
      <c r="W12" s="46"/>
      <c r="X12" s="329">
        <v>930</v>
      </c>
      <c r="Y12" s="273">
        <v>44769</v>
      </c>
      <c r="Z12" s="378">
        <v>5557500</v>
      </c>
      <c r="AA12" s="330">
        <v>4530</v>
      </c>
      <c r="AB12" s="79" t="s">
        <v>2842</v>
      </c>
      <c r="AC12" s="274">
        <v>5557500</v>
      </c>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row>
    <row r="13" spans="1:134" s="107" customFormat="1" ht="15" x14ac:dyDescent="0.25">
      <c r="A13" s="92"/>
      <c r="B13" s="92"/>
      <c r="C13" s="92"/>
      <c r="D13" s="92"/>
      <c r="E13" s="104"/>
      <c r="F13" s="101"/>
      <c r="G13" s="101"/>
      <c r="H13" s="92"/>
      <c r="I13" s="93"/>
      <c r="J13" s="93"/>
      <c r="K13" s="93"/>
      <c r="L13" s="93"/>
      <c r="M13" s="93"/>
      <c r="N13" s="93"/>
      <c r="O13" s="92"/>
      <c r="P13" s="92"/>
      <c r="Q13" s="102">
        <f>SUM(Q8)</f>
        <v>73001500</v>
      </c>
      <c r="R13" s="101"/>
      <c r="S13" s="105"/>
      <c r="T13" s="86"/>
      <c r="U13" s="95"/>
      <c r="V13" s="103">
        <f>SUM(V8:V12)</f>
        <v>73001500</v>
      </c>
      <c r="W13" s="89"/>
      <c r="X13" s="86"/>
      <c r="Y13" s="95"/>
      <c r="Z13" s="103">
        <f>SUM(Z8:Z12)</f>
        <v>73001500</v>
      </c>
      <c r="AA13" s="86"/>
      <c r="AB13" s="95"/>
      <c r="AC13" s="103">
        <f>SUM(AC8:AC12)</f>
        <v>73001500</v>
      </c>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row>
    <row r="14" spans="1:134" s="50" customFormat="1" ht="15" x14ac:dyDescent="0.25">
      <c r="A14" s="692" t="s">
        <v>107</v>
      </c>
      <c r="B14" s="689" t="s">
        <v>108</v>
      </c>
      <c r="C14" s="689" t="s">
        <v>72</v>
      </c>
      <c r="D14" s="736" t="s">
        <v>809</v>
      </c>
      <c r="E14" s="689" t="s">
        <v>106</v>
      </c>
      <c r="F14" s="710">
        <v>63409600</v>
      </c>
      <c r="G14" s="728">
        <v>0</v>
      </c>
      <c r="H14" s="692"/>
      <c r="I14" s="692"/>
      <c r="J14" s="692"/>
      <c r="K14" s="692"/>
      <c r="L14" s="692"/>
      <c r="M14" s="692"/>
      <c r="N14" s="692"/>
      <c r="O14" s="692"/>
      <c r="P14" s="728">
        <f>2600+201</f>
        <v>2801</v>
      </c>
      <c r="Q14" s="739">
        <f>+F14+G14+H14+I14+J14+K14+L14+O14-P14</f>
        <v>63406799</v>
      </c>
      <c r="R14" s="742">
        <f>+Q18</f>
        <v>63406799</v>
      </c>
      <c r="S14" s="78" t="s">
        <v>255</v>
      </c>
      <c r="T14" s="457">
        <v>212</v>
      </c>
      <c r="U14" s="79">
        <v>44609</v>
      </c>
      <c r="V14" s="274">
        <v>7053299</v>
      </c>
      <c r="W14" s="46"/>
      <c r="X14" s="263">
        <v>372</v>
      </c>
      <c r="Y14" s="265" t="s">
        <v>1004</v>
      </c>
      <c r="Z14" s="398">
        <v>7053299</v>
      </c>
      <c r="AA14" s="263">
        <v>1690</v>
      </c>
      <c r="AB14" s="265" t="s">
        <v>2838</v>
      </c>
      <c r="AC14" s="169">
        <v>7053299</v>
      </c>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row>
    <row r="15" spans="1:134" s="50" customFormat="1" ht="15" x14ac:dyDescent="0.25">
      <c r="A15" s="693"/>
      <c r="B15" s="690"/>
      <c r="C15" s="690"/>
      <c r="D15" s="737"/>
      <c r="E15" s="690"/>
      <c r="F15" s="711"/>
      <c r="G15" s="735"/>
      <c r="H15" s="693"/>
      <c r="I15" s="693"/>
      <c r="J15" s="693"/>
      <c r="K15" s="693"/>
      <c r="L15" s="693"/>
      <c r="M15" s="693"/>
      <c r="N15" s="693"/>
      <c r="O15" s="693"/>
      <c r="P15" s="735"/>
      <c r="Q15" s="740"/>
      <c r="R15" s="743"/>
      <c r="S15" s="78" t="s">
        <v>1297</v>
      </c>
      <c r="T15" s="457" t="s">
        <v>1298</v>
      </c>
      <c r="U15" s="79">
        <v>44671</v>
      </c>
      <c r="V15" s="170">
        <v>17890000</v>
      </c>
      <c r="W15" s="46"/>
      <c r="X15" s="160">
        <v>579</v>
      </c>
      <c r="Y15" s="161">
        <v>44683</v>
      </c>
      <c r="Z15" s="170">
        <v>17890000</v>
      </c>
      <c r="AA15" s="162">
        <v>2907</v>
      </c>
      <c r="AB15" s="168" t="s">
        <v>2840</v>
      </c>
      <c r="AC15" s="169">
        <v>17890000</v>
      </c>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row>
    <row r="16" spans="1:134" s="50" customFormat="1" ht="15" x14ac:dyDescent="0.25">
      <c r="A16" s="693"/>
      <c r="B16" s="690"/>
      <c r="C16" s="690"/>
      <c r="D16" s="737"/>
      <c r="E16" s="690"/>
      <c r="F16" s="711"/>
      <c r="G16" s="735"/>
      <c r="H16" s="693"/>
      <c r="I16" s="693"/>
      <c r="J16" s="693"/>
      <c r="K16" s="693"/>
      <c r="L16" s="693"/>
      <c r="M16" s="693"/>
      <c r="N16" s="693"/>
      <c r="O16" s="693"/>
      <c r="P16" s="735"/>
      <c r="Q16" s="740"/>
      <c r="R16" s="743"/>
      <c r="S16" s="78" t="s">
        <v>2168</v>
      </c>
      <c r="T16" s="457" t="s">
        <v>2170</v>
      </c>
      <c r="U16" s="346" t="s">
        <v>2166</v>
      </c>
      <c r="V16" s="379">
        <v>23200000</v>
      </c>
      <c r="W16" s="46"/>
      <c r="X16" s="318">
        <v>1149</v>
      </c>
      <c r="Y16" s="265">
        <v>44806</v>
      </c>
      <c r="Z16" s="378">
        <v>23200000</v>
      </c>
      <c r="AA16" s="318">
        <v>5260</v>
      </c>
      <c r="AB16" s="265" t="s">
        <v>2851</v>
      </c>
      <c r="AC16" s="378">
        <v>23200000</v>
      </c>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row>
    <row r="17" spans="1:134" s="50" customFormat="1" ht="15" x14ac:dyDescent="0.25">
      <c r="A17" s="694"/>
      <c r="B17" s="691"/>
      <c r="C17" s="691"/>
      <c r="D17" s="737"/>
      <c r="E17" s="691"/>
      <c r="F17" s="712"/>
      <c r="G17" s="729"/>
      <c r="H17" s="694"/>
      <c r="I17" s="694"/>
      <c r="J17" s="694"/>
      <c r="K17" s="694"/>
      <c r="L17" s="694"/>
      <c r="M17" s="694"/>
      <c r="N17" s="694"/>
      <c r="O17" s="694"/>
      <c r="P17" s="729"/>
      <c r="Q17" s="741"/>
      <c r="R17" s="744"/>
      <c r="S17" s="78" t="s">
        <v>2169</v>
      </c>
      <c r="T17" s="457" t="s">
        <v>2171</v>
      </c>
      <c r="U17" s="346" t="s">
        <v>2167</v>
      </c>
      <c r="V17" s="379">
        <v>15263500</v>
      </c>
      <c r="W17" s="46"/>
      <c r="X17" s="318">
        <v>1187</v>
      </c>
      <c r="Y17" s="265">
        <v>44826</v>
      </c>
      <c r="Z17" s="378">
        <v>15263500</v>
      </c>
      <c r="AA17" s="520">
        <v>5557</v>
      </c>
      <c r="AB17" s="265" t="s">
        <v>2802</v>
      </c>
      <c r="AC17" s="169">
        <v>15263500</v>
      </c>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row>
    <row r="18" spans="1:134" s="112" customFormat="1" ht="15" x14ac:dyDescent="0.25">
      <c r="A18" s="97"/>
      <c r="B18" s="108"/>
      <c r="C18" s="97"/>
      <c r="D18" s="98"/>
      <c r="E18" s="109"/>
      <c r="F18" s="110"/>
      <c r="G18" s="110"/>
      <c r="H18" s="97"/>
      <c r="I18" s="99"/>
      <c r="J18" s="99"/>
      <c r="K18" s="99"/>
      <c r="L18" s="99"/>
      <c r="M18" s="99"/>
      <c r="N18" s="99"/>
      <c r="O18" s="97"/>
      <c r="P18" s="97"/>
      <c r="Q18" s="444">
        <f>SUM(Q14)</f>
        <v>63406799</v>
      </c>
      <c r="R18" s="100"/>
      <c r="S18" s="105"/>
      <c r="T18" s="86"/>
      <c r="U18" s="95"/>
      <c r="V18" s="103">
        <f>SUM(V14:V17)</f>
        <v>63406799</v>
      </c>
      <c r="W18" s="89"/>
      <c r="X18" s="86"/>
      <c r="Y18" s="95"/>
      <c r="Z18" s="103">
        <f>SUM(Z14:Z17)</f>
        <v>63406799</v>
      </c>
      <c r="AA18" s="86"/>
      <c r="AB18" s="95"/>
      <c r="AC18" s="103">
        <f>SUM(AC14:AC17)</f>
        <v>63406799</v>
      </c>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row>
    <row r="19" spans="1:134" s="644" customFormat="1" ht="15" customHeight="1" x14ac:dyDescent="0.25">
      <c r="A19" s="725" t="s">
        <v>109</v>
      </c>
      <c r="B19" s="689" t="s">
        <v>110</v>
      </c>
      <c r="C19" s="719" t="s">
        <v>72</v>
      </c>
      <c r="D19" s="716" t="s">
        <v>1139</v>
      </c>
      <c r="E19" s="719" t="s">
        <v>111</v>
      </c>
      <c r="F19" s="722">
        <v>898535095</v>
      </c>
      <c r="G19" s="722">
        <v>0</v>
      </c>
      <c r="H19" s="725"/>
      <c r="I19" s="722">
        <v>172793567</v>
      </c>
      <c r="J19" s="722">
        <v>19231588</v>
      </c>
      <c r="K19" s="722"/>
      <c r="L19" s="722">
        <v>95635138</v>
      </c>
      <c r="M19" s="722"/>
      <c r="N19" s="722"/>
      <c r="O19" s="722">
        <v>24775825</v>
      </c>
      <c r="P19" s="725"/>
      <c r="Q19" s="745">
        <f>+F19+G19+I19+H19+J19+K19+L19+O19-P19</f>
        <v>1210971213</v>
      </c>
      <c r="R19" s="748">
        <f>+Q50</f>
        <v>1210971213</v>
      </c>
      <c r="S19" s="639" t="s">
        <v>256</v>
      </c>
      <c r="T19" s="617" t="s">
        <v>260</v>
      </c>
      <c r="U19" s="640">
        <v>44606</v>
      </c>
      <c r="V19" s="622">
        <v>31800000</v>
      </c>
      <c r="W19" s="627"/>
      <c r="X19" s="641">
        <v>349</v>
      </c>
      <c r="Y19" s="625">
        <v>44610</v>
      </c>
      <c r="Z19" s="622">
        <v>31800000</v>
      </c>
      <c r="AA19" s="617">
        <v>2187</v>
      </c>
      <c r="AB19" s="640" t="s">
        <v>2817</v>
      </c>
      <c r="AC19" s="642">
        <v>31800000</v>
      </c>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43"/>
      <c r="BQ19" s="643"/>
      <c r="BR19" s="643"/>
      <c r="BS19" s="643"/>
      <c r="BT19" s="643"/>
      <c r="BU19" s="643"/>
      <c r="BV19" s="643"/>
      <c r="BW19" s="643"/>
      <c r="BX19" s="643"/>
      <c r="BY19" s="643"/>
      <c r="BZ19" s="643"/>
      <c r="CA19" s="643"/>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3"/>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3"/>
      <c r="DY19" s="643"/>
      <c r="DZ19" s="643"/>
      <c r="EA19" s="643"/>
      <c r="EB19" s="643"/>
      <c r="EC19" s="643"/>
      <c r="ED19" s="643"/>
    </row>
    <row r="20" spans="1:134" s="644" customFormat="1" ht="15" x14ac:dyDescent="0.25">
      <c r="A20" s="726"/>
      <c r="B20" s="690"/>
      <c r="C20" s="720"/>
      <c r="D20" s="717"/>
      <c r="E20" s="720"/>
      <c r="F20" s="723"/>
      <c r="G20" s="723"/>
      <c r="H20" s="726"/>
      <c r="I20" s="723"/>
      <c r="J20" s="723"/>
      <c r="K20" s="723"/>
      <c r="L20" s="723"/>
      <c r="M20" s="723"/>
      <c r="N20" s="723"/>
      <c r="O20" s="723"/>
      <c r="P20" s="726"/>
      <c r="Q20" s="746"/>
      <c r="R20" s="748"/>
      <c r="S20" s="639" t="s">
        <v>257</v>
      </c>
      <c r="T20" s="617" t="s">
        <v>261</v>
      </c>
      <c r="U20" s="640">
        <v>44610</v>
      </c>
      <c r="V20" s="622">
        <v>11900000</v>
      </c>
      <c r="W20" s="627"/>
      <c r="X20" s="641">
        <v>365</v>
      </c>
      <c r="Y20" s="625">
        <v>44615</v>
      </c>
      <c r="Z20" s="622">
        <v>11900000</v>
      </c>
      <c r="AA20" s="617">
        <v>2552</v>
      </c>
      <c r="AB20" s="640" t="s">
        <v>2818</v>
      </c>
      <c r="AC20" s="642">
        <v>11900000</v>
      </c>
      <c r="AD20" s="643"/>
      <c r="AE20" s="643"/>
      <c r="AF20" s="643"/>
      <c r="AG20" s="643"/>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3"/>
      <c r="BH20" s="643"/>
      <c r="BI20" s="643"/>
      <c r="BJ20" s="643"/>
      <c r="BK20" s="643"/>
      <c r="BL20" s="643"/>
      <c r="BM20" s="643"/>
      <c r="BN20" s="643"/>
      <c r="BO20" s="643"/>
      <c r="BP20" s="643"/>
      <c r="BQ20" s="643"/>
      <c r="BR20" s="643"/>
      <c r="BS20" s="643"/>
      <c r="BT20" s="643"/>
      <c r="BU20" s="643"/>
      <c r="BV20" s="643"/>
      <c r="BW20" s="643"/>
      <c r="BX20" s="643"/>
      <c r="BY20" s="643"/>
      <c r="BZ20" s="643"/>
      <c r="CA20" s="643"/>
      <c r="CB20" s="643"/>
      <c r="CC20" s="643"/>
      <c r="CD20" s="643"/>
      <c r="CE20" s="643"/>
      <c r="CF20" s="643"/>
      <c r="CG20" s="64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3"/>
      <c r="DH20" s="643"/>
      <c r="DI20" s="643"/>
      <c r="DJ20" s="643"/>
      <c r="DK20" s="643"/>
      <c r="DL20" s="643"/>
      <c r="DM20" s="643"/>
      <c r="DN20" s="643"/>
      <c r="DO20" s="643"/>
      <c r="DP20" s="643"/>
      <c r="DQ20" s="643"/>
      <c r="DR20" s="643"/>
      <c r="DS20" s="643"/>
      <c r="DT20" s="643"/>
      <c r="DU20" s="643"/>
      <c r="DV20" s="643"/>
      <c r="DW20" s="643"/>
      <c r="DX20" s="643"/>
      <c r="DY20" s="643"/>
      <c r="DZ20" s="643"/>
      <c r="EA20" s="643"/>
      <c r="EB20" s="643"/>
      <c r="EC20" s="643"/>
      <c r="ED20" s="643"/>
    </row>
    <row r="21" spans="1:134" s="644" customFormat="1" ht="15" x14ac:dyDescent="0.25">
      <c r="A21" s="726"/>
      <c r="B21" s="690"/>
      <c r="C21" s="720"/>
      <c r="D21" s="717"/>
      <c r="E21" s="720"/>
      <c r="F21" s="723"/>
      <c r="G21" s="723"/>
      <c r="H21" s="726"/>
      <c r="I21" s="723"/>
      <c r="J21" s="723"/>
      <c r="K21" s="723"/>
      <c r="L21" s="723"/>
      <c r="M21" s="723"/>
      <c r="N21" s="723"/>
      <c r="O21" s="723"/>
      <c r="P21" s="726"/>
      <c r="Q21" s="746"/>
      <c r="R21" s="748"/>
      <c r="S21" s="639" t="s">
        <v>258</v>
      </c>
      <c r="T21" s="617" t="s">
        <v>885</v>
      </c>
      <c r="U21" s="640">
        <v>44614</v>
      </c>
      <c r="V21" s="622">
        <v>0</v>
      </c>
      <c r="W21" s="627"/>
      <c r="X21" s="617"/>
      <c r="Y21" s="640"/>
      <c r="Z21" s="638"/>
      <c r="AA21" s="617"/>
      <c r="AB21" s="640"/>
      <c r="AC21" s="642"/>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3"/>
      <c r="DS21" s="643"/>
      <c r="DT21" s="643"/>
      <c r="DU21" s="643"/>
      <c r="DV21" s="643"/>
      <c r="DW21" s="643"/>
      <c r="DX21" s="643"/>
      <c r="DY21" s="643"/>
      <c r="DZ21" s="643"/>
      <c r="EA21" s="643"/>
      <c r="EB21" s="643"/>
      <c r="EC21" s="643"/>
      <c r="ED21" s="643"/>
    </row>
    <row r="22" spans="1:134" s="644" customFormat="1" ht="15" x14ac:dyDescent="0.25">
      <c r="A22" s="726"/>
      <c r="B22" s="690"/>
      <c r="C22" s="720"/>
      <c r="D22" s="717"/>
      <c r="E22" s="720"/>
      <c r="F22" s="723"/>
      <c r="G22" s="723"/>
      <c r="H22" s="726"/>
      <c r="I22" s="723"/>
      <c r="J22" s="723"/>
      <c r="K22" s="723"/>
      <c r="L22" s="723"/>
      <c r="M22" s="723"/>
      <c r="N22" s="723"/>
      <c r="O22" s="723"/>
      <c r="P22" s="726"/>
      <c r="Q22" s="746"/>
      <c r="R22" s="748"/>
      <c r="S22" s="639" t="s">
        <v>259</v>
      </c>
      <c r="T22" s="617" t="s">
        <v>885</v>
      </c>
      <c r="U22" s="640">
        <v>44614</v>
      </c>
      <c r="V22" s="622">
        <v>0</v>
      </c>
      <c r="W22" s="627"/>
      <c r="X22" s="617"/>
      <c r="Y22" s="640"/>
      <c r="Z22" s="638"/>
      <c r="AA22" s="617"/>
      <c r="AB22" s="640"/>
      <c r="AC22" s="642"/>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43"/>
      <c r="BQ22" s="643"/>
      <c r="BR22" s="643"/>
      <c r="BS22" s="643"/>
      <c r="BT22" s="643"/>
      <c r="BU22" s="643"/>
      <c r="BV22" s="643"/>
      <c r="BW22" s="643"/>
      <c r="BX22" s="643"/>
      <c r="BY22" s="643"/>
      <c r="BZ22" s="643"/>
      <c r="CA22" s="643"/>
      <c r="CB22" s="643"/>
      <c r="CC22" s="643"/>
      <c r="CD22" s="643"/>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3"/>
      <c r="ED22" s="643"/>
    </row>
    <row r="23" spans="1:134" s="644" customFormat="1" ht="15" x14ac:dyDescent="0.25">
      <c r="A23" s="726"/>
      <c r="B23" s="690"/>
      <c r="C23" s="720"/>
      <c r="D23" s="717"/>
      <c r="E23" s="720"/>
      <c r="F23" s="723"/>
      <c r="G23" s="723"/>
      <c r="H23" s="726"/>
      <c r="I23" s="723"/>
      <c r="J23" s="723"/>
      <c r="K23" s="723"/>
      <c r="L23" s="723"/>
      <c r="M23" s="723"/>
      <c r="N23" s="723"/>
      <c r="O23" s="723"/>
      <c r="P23" s="726"/>
      <c r="Q23" s="746"/>
      <c r="R23" s="748"/>
      <c r="S23" s="645" t="s">
        <v>888</v>
      </c>
      <c r="T23" s="646" t="s">
        <v>889</v>
      </c>
      <c r="U23" s="640">
        <v>44658</v>
      </c>
      <c r="V23" s="647">
        <v>24228400</v>
      </c>
      <c r="W23" s="627"/>
      <c r="X23" s="617">
        <v>524</v>
      </c>
      <c r="Y23" s="640">
        <v>44672</v>
      </c>
      <c r="Z23" s="647">
        <v>24228400</v>
      </c>
      <c r="AA23" s="617">
        <v>3022</v>
      </c>
      <c r="AB23" s="640" t="s">
        <v>2819</v>
      </c>
      <c r="AC23" s="648">
        <v>24228400</v>
      </c>
      <c r="AD23" s="643"/>
      <c r="AE23" s="643"/>
      <c r="AF23" s="643"/>
      <c r="AG23" s="643"/>
      <c r="AH23" s="643"/>
      <c r="AI23" s="643"/>
      <c r="AJ23" s="643"/>
      <c r="AK23" s="643"/>
      <c r="AL23" s="643"/>
      <c r="AM23" s="643"/>
      <c r="AN23" s="643"/>
      <c r="AO23" s="643"/>
      <c r="AP23" s="643"/>
      <c r="AQ23" s="643"/>
      <c r="AR23" s="643"/>
      <c r="AS23" s="643"/>
      <c r="AT23" s="643"/>
      <c r="AU23" s="643"/>
      <c r="AV23" s="643"/>
      <c r="AW23" s="643"/>
      <c r="AX23" s="643"/>
      <c r="AY23" s="643"/>
      <c r="AZ23" s="643"/>
      <c r="BA23" s="643"/>
      <c r="BB23" s="643"/>
      <c r="BC23" s="643"/>
      <c r="BD23" s="643"/>
      <c r="BE23" s="643"/>
      <c r="BF23" s="643"/>
      <c r="BG23" s="643"/>
      <c r="BH23" s="643"/>
      <c r="BI23" s="643"/>
      <c r="BJ23" s="643"/>
      <c r="BK23" s="643"/>
      <c r="BL23" s="643"/>
      <c r="BM23" s="643"/>
      <c r="BN23" s="643"/>
      <c r="BO23" s="643"/>
      <c r="BP23" s="643"/>
      <c r="BQ23" s="643"/>
      <c r="BR23" s="643"/>
      <c r="BS23" s="643"/>
      <c r="BT23" s="643"/>
      <c r="BU23" s="643"/>
      <c r="BV23" s="643"/>
      <c r="BW23" s="643"/>
      <c r="BX23" s="643"/>
      <c r="BY23" s="643"/>
      <c r="BZ23" s="643"/>
      <c r="CA23" s="643"/>
      <c r="CB23" s="643"/>
      <c r="CC23" s="643"/>
      <c r="CD23" s="643"/>
      <c r="CE23" s="643"/>
      <c r="CF23" s="643"/>
      <c r="CG23" s="643"/>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3"/>
      <c r="DH23" s="643"/>
      <c r="DI23" s="643"/>
      <c r="DJ23" s="643"/>
      <c r="DK23" s="643"/>
      <c r="DL23" s="643"/>
      <c r="DM23" s="643"/>
      <c r="DN23" s="643"/>
      <c r="DO23" s="643"/>
      <c r="DP23" s="643"/>
      <c r="DQ23" s="643"/>
      <c r="DR23" s="643"/>
      <c r="DS23" s="643"/>
      <c r="DT23" s="643"/>
      <c r="DU23" s="643"/>
      <c r="DV23" s="643"/>
      <c r="DW23" s="643"/>
      <c r="DX23" s="643"/>
      <c r="DY23" s="643"/>
      <c r="DZ23" s="643"/>
      <c r="EA23" s="643"/>
      <c r="EB23" s="643"/>
      <c r="EC23" s="643"/>
      <c r="ED23" s="643"/>
    </row>
    <row r="24" spans="1:134" s="644" customFormat="1" ht="15" x14ac:dyDescent="0.25">
      <c r="A24" s="726"/>
      <c r="B24" s="690"/>
      <c r="C24" s="720"/>
      <c r="D24" s="717"/>
      <c r="E24" s="720"/>
      <c r="F24" s="723"/>
      <c r="G24" s="723"/>
      <c r="H24" s="726"/>
      <c r="I24" s="723"/>
      <c r="J24" s="723"/>
      <c r="K24" s="723"/>
      <c r="L24" s="723"/>
      <c r="M24" s="723"/>
      <c r="N24" s="723"/>
      <c r="O24" s="723"/>
      <c r="P24" s="726"/>
      <c r="Q24" s="746"/>
      <c r="R24" s="748"/>
      <c r="S24" s="649" t="s">
        <v>1299</v>
      </c>
      <c r="T24" s="650" t="s">
        <v>1300</v>
      </c>
      <c r="U24" s="640">
        <v>44740</v>
      </c>
      <c r="V24" s="651">
        <v>14199840</v>
      </c>
      <c r="W24" s="627"/>
      <c r="X24" s="617">
        <v>836</v>
      </c>
      <c r="Y24" s="640">
        <v>44763</v>
      </c>
      <c r="Z24" s="622">
        <v>14199840</v>
      </c>
      <c r="AA24" s="617">
        <v>5003</v>
      </c>
      <c r="AB24" s="640" t="s">
        <v>2825</v>
      </c>
      <c r="AC24" s="642">
        <v>14199840</v>
      </c>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43"/>
      <c r="BN24" s="643"/>
      <c r="BO24" s="643"/>
      <c r="BP24" s="643"/>
      <c r="BQ24" s="643"/>
      <c r="BR24" s="643"/>
      <c r="BS24" s="643"/>
      <c r="BT24" s="643"/>
      <c r="BU24" s="643"/>
      <c r="BV24" s="643"/>
      <c r="BW24" s="643"/>
      <c r="BX24" s="643"/>
      <c r="BY24" s="643"/>
      <c r="BZ24" s="643"/>
      <c r="CA24" s="643"/>
      <c r="CB24" s="643"/>
      <c r="CC24" s="643"/>
      <c r="CD24" s="643"/>
      <c r="CE24" s="643"/>
      <c r="CF24" s="643"/>
      <c r="CG24" s="643"/>
      <c r="CH24" s="643"/>
      <c r="CI24" s="643"/>
      <c r="CJ24" s="643"/>
      <c r="CK24" s="643"/>
      <c r="CL24" s="643"/>
      <c r="CM24" s="643"/>
      <c r="CN24" s="643"/>
      <c r="CO24" s="643"/>
      <c r="CP24" s="643"/>
      <c r="CQ24" s="643"/>
      <c r="CR24" s="643"/>
      <c r="CS24" s="643"/>
      <c r="CT24" s="643"/>
      <c r="CU24" s="643"/>
      <c r="CV24" s="643"/>
      <c r="CW24" s="643"/>
      <c r="CX24" s="643"/>
      <c r="CY24" s="643"/>
      <c r="CZ24" s="643"/>
      <c r="DA24" s="643"/>
      <c r="DB24" s="643"/>
      <c r="DC24" s="643"/>
      <c r="DD24" s="643"/>
      <c r="DE24" s="643"/>
      <c r="DF24" s="643"/>
      <c r="DG24" s="643"/>
      <c r="DH24" s="643"/>
      <c r="DI24" s="643"/>
      <c r="DJ24" s="643"/>
      <c r="DK24" s="643"/>
      <c r="DL24" s="643"/>
      <c r="DM24" s="643"/>
      <c r="DN24" s="643"/>
      <c r="DO24" s="643"/>
      <c r="DP24" s="643"/>
      <c r="DQ24" s="643"/>
      <c r="DR24" s="643"/>
      <c r="DS24" s="643"/>
      <c r="DT24" s="643"/>
      <c r="DU24" s="643"/>
      <c r="DV24" s="643"/>
      <c r="DW24" s="643"/>
      <c r="DX24" s="643"/>
      <c r="DY24" s="643"/>
      <c r="DZ24" s="643"/>
      <c r="EA24" s="643"/>
      <c r="EB24" s="643"/>
      <c r="EC24" s="643"/>
      <c r="ED24" s="643"/>
    </row>
    <row r="25" spans="1:134" s="644" customFormat="1" ht="15" x14ac:dyDescent="0.25">
      <c r="A25" s="726"/>
      <c r="B25" s="690"/>
      <c r="C25" s="720"/>
      <c r="D25" s="717"/>
      <c r="E25" s="720"/>
      <c r="F25" s="723"/>
      <c r="G25" s="723"/>
      <c r="H25" s="726"/>
      <c r="I25" s="723"/>
      <c r="J25" s="723"/>
      <c r="K25" s="723"/>
      <c r="L25" s="723"/>
      <c r="M25" s="723"/>
      <c r="N25" s="723"/>
      <c r="O25" s="723"/>
      <c r="P25" s="726"/>
      <c r="Q25" s="746"/>
      <c r="R25" s="748"/>
      <c r="S25" s="652" t="s">
        <v>1712</v>
      </c>
      <c r="T25" s="653" t="s">
        <v>1733</v>
      </c>
      <c r="U25" s="654" t="s">
        <v>1691</v>
      </c>
      <c r="V25" s="655">
        <v>14975025</v>
      </c>
      <c r="W25" s="627"/>
      <c r="X25" s="617">
        <v>931</v>
      </c>
      <c r="Y25" s="640">
        <v>44769</v>
      </c>
      <c r="Z25" s="655">
        <v>14975025</v>
      </c>
      <c r="AA25" s="617">
        <v>5017</v>
      </c>
      <c r="AB25" s="640" t="s">
        <v>2826</v>
      </c>
      <c r="AC25" s="642">
        <v>14975025</v>
      </c>
      <c r="AD25" s="643"/>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643"/>
      <c r="BK25" s="643"/>
      <c r="BL25" s="643"/>
      <c r="BM25" s="643"/>
      <c r="BN25" s="643"/>
      <c r="BO25" s="643"/>
      <c r="BP25" s="643"/>
      <c r="BQ25" s="643"/>
      <c r="BR25" s="643"/>
      <c r="BS25" s="643"/>
      <c r="BT25" s="643"/>
      <c r="BU25" s="643"/>
      <c r="BV25" s="643"/>
      <c r="BW25" s="643"/>
      <c r="BX25" s="643"/>
      <c r="BY25" s="643"/>
      <c r="BZ25" s="643"/>
      <c r="CA25" s="643"/>
      <c r="CB25" s="643"/>
      <c r="CC25" s="643"/>
      <c r="CD25" s="643"/>
      <c r="CE25" s="643"/>
      <c r="CF25" s="643"/>
      <c r="CG25" s="643"/>
      <c r="CH25" s="643"/>
      <c r="CI25" s="643"/>
      <c r="CJ25" s="643"/>
      <c r="CK25" s="643"/>
      <c r="CL25" s="643"/>
      <c r="CM25" s="643"/>
      <c r="CN25" s="643"/>
      <c r="CO25" s="643"/>
      <c r="CP25" s="643"/>
      <c r="CQ25" s="643"/>
      <c r="CR25" s="643"/>
      <c r="CS25" s="643"/>
      <c r="CT25" s="643"/>
      <c r="CU25" s="643"/>
      <c r="CV25" s="643"/>
      <c r="CW25" s="643"/>
      <c r="CX25" s="643"/>
      <c r="CY25" s="643"/>
      <c r="CZ25" s="643"/>
      <c r="DA25" s="643"/>
      <c r="DB25" s="643"/>
      <c r="DC25" s="643"/>
      <c r="DD25" s="643"/>
      <c r="DE25" s="643"/>
      <c r="DF25" s="643"/>
      <c r="DG25" s="643"/>
      <c r="DH25" s="643"/>
      <c r="DI25" s="643"/>
      <c r="DJ25" s="643"/>
      <c r="DK25" s="643"/>
      <c r="DL25" s="643"/>
      <c r="DM25" s="643"/>
      <c r="DN25" s="643"/>
      <c r="DO25" s="643"/>
      <c r="DP25" s="643"/>
      <c r="DQ25" s="643"/>
      <c r="DR25" s="643"/>
      <c r="DS25" s="643"/>
      <c r="DT25" s="643"/>
      <c r="DU25" s="643"/>
      <c r="DV25" s="643"/>
      <c r="DW25" s="643"/>
      <c r="DX25" s="643"/>
      <c r="DY25" s="643"/>
      <c r="DZ25" s="643"/>
      <c r="EA25" s="643"/>
      <c r="EB25" s="643"/>
      <c r="EC25" s="643"/>
      <c r="ED25" s="643"/>
    </row>
    <row r="26" spans="1:134" s="644" customFormat="1" ht="15" x14ac:dyDescent="0.25">
      <c r="A26" s="726"/>
      <c r="B26" s="690"/>
      <c r="C26" s="720"/>
      <c r="D26" s="717"/>
      <c r="E26" s="720"/>
      <c r="F26" s="723"/>
      <c r="G26" s="723"/>
      <c r="H26" s="726"/>
      <c r="I26" s="723"/>
      <c r="J26" s="723"/>
      <c r="K26" s="723"/>
      <c r="L26" s="723"/>
      <c r="M26" s="723"/>
      <c r="N26" s="723"/>
      <c r="O26" s="723"/>
      <c r="P26" s="726"/>
      <c r="Q26" s="746"/>
      <c r="R26" s="748"/>
      <c r="S26" s="652" t="s">
        <v>1713</v>
      </c>
      <c r="T26" s="653" t="s">
        <v>1734</v>
      </c>
      <c r="U26" s="654" t="s">
        <v>1692</v>
      </c>
      <c r="V26" s="655">
        <v>26540000</v>
      </c>
      <c r="W26" s="627"/>
      <c r="X26" s="617">
        <v>945</v>
      </c>
      <c r="Y26" s="640">
        <v>44775</v>
      </c>
      <c r="Z26" s="655">
        <v>26540000</v>
      </c>
      <c r="AA26" s="617">
        <v>4900</v>
      </c>
      <c r="AB26" s="640" t="s">
        <v>2823</v>
      </c>
      <c r="AC26" s="642">
        <v>26540000</v>
      </c>
      <c r="AD26" s="643"/>
      <c r="AE26" s="643"/>
      <c r="AF26" s="643"/>
      <c r="AG26" s="643"/>
      <c r="AH26" s="643"/>
      <c r="AI26" s="643"/>
      <c r="AJ26" s="643"/>
      <c r="AK26" s="643"/>
      <c r="AL26" s="643"/>
      <c r="AM26" s="643"/>
      <c r="AN26" s="643"/>
      <c r="AO26" s="643"/>
      <c r="AP26" s="643"/>
      <c r="AQ26" s="643"/>
      <c r="AR26" s="643"/>
      <c r="AS26" s="643"/>
      <c r="AT26" s="643"/>
      <c r="AU26" s="643"/>
      <c r="AV26" s="643"/>
      <c r="AW26" s="643"/>
      <c r="AX26" s="643"/>
      <c r="AY26" s="643"/>
      <c r="AZ26" s="643"/>
      <c r="BA26" s="643"/>
      <c r="BB26" s="643"/>
      <c r="BC26" s="643"/>
      <c r="BD26" s="643"/>
      <c r="BE26" s="643"/>
      <c r="BF26" s="643"/>
      <c r="BG26" s="643"/>
      <c r="BH26" s="643"/>
      <c r="BI26" s="643"/>
      <c r="BJ26" s="643"/>
      <c r="BK26" s="643"/>
      <c r="BL26" s="643"/>
      <c r="BM26" s="643"/>
      <c r="BN26" s="643"/>
      <c r="BO26" s="643"/>
      <c r="BP26" s="643"/>
      <c r="BQ26" s="643"/>
      <c r="BR26" s="643"/>
      <c r="BS26" s="643"/>
      <c r="BT26" s="643"/>
      <c r="BU26" s="643"/>
      <c r="BV26" s="643"/>
      <c r="BW26" s="643"/>
      <c r="BX26" s="643"/>
      <c r="BY26" s="643"/>
      <c r="BZ26" s="643"/>
      <c r="CA26" s="643"/>
      <c r="CB26" s="643"/>
      <c r="CC26" s="643"/>
      <c r="CD26" s="643"/>
      <c r="CE26" s="643"/>
      <c r="CF26" s="643"/>
      <c r="CG26" s="643"/>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3"/>
      <c r="DH26" s="643"/>
      <c r="DI26" s="643"/>
      <c r="DJ26" s="643"/>
      <c r="DK26" s="643"/>
      <c r="DL26" s="643"/>
      <c r="DM26" s="643"/>
      <c r="DN26" s="643"/>
      <c r="DO26" s="643"/>
      <c r="DP26" s="643"/>
      <c r="DQ26" s="643"/>
      <c r="DR26" s="643"/>
      <c r="DS26" s="643"/>
      <c r="DT26" s="643"/>
      <c r="DU26" s="643"/>
      <c r="DV26" s="643"/>
      <c r="DW26" s="643"/>
      <c r="DX26" s="643"/>
      <c r="DY26" s="643"/>
      <c r="DZ26" s="643"/>
      <c r="EA26" s="643"/>
      <c r="EB26" s="643"/>
      <c r="EC26" s="643"/>
      <c r="ED26" s="643"/>
    </row>
    <row r="27" spans="1:134" s="644" customFormat="1" ht="15" x14ac:dyDescent="0.25">
      <c r="A27" s="726"/>
      <c r="B27" s="690"/>
      <c r="C27" s="720"/>
      <c r="D27" s="717"/>
      <c r="E27" s="720"/>
      <c r="F27" s="723"/>
      <c r="G27" s="723"/>
      <c r="H27" s="726"/>
      <c r="I27" s="723"/>
      <c r="J27" s="723"/>
      <c r="K27" s="723"/>
      <c r="L27" s="723"/>
      <c r="M27" s="723"/>
      <c r="N27" s="723"/>
      <c r="O27" s="723"/>
      <c r="P27" s="726"/>
      <c r="Q27" s="746"/>
      <c r="R27" s="748"/>
      <c r="S27" s="652" t="s">
        <v>1714</v>
      </c>
      <c r="T27" s="653" t="s">
        <v>1735</v>
      </c>
      <c r="U27" s="654" t="s">
        <v>1693</v>
      </c>
      <c r="V27" s="655">
        <v>5117000</v>
      </c>
      <c r="W27" s="627"/>
      <c r="X27" s="617">
        <v>940</v>
      </c>
      <c r="Y27" s="640">
        <v>44775</v>
      </c>
      <c r="Z27" s="655">
        <v>5117000</v>
      </c>
      <c r="AA27" s="617">
        <v>4650</v>
      </c>
      <c r="AB27" s="640" t="s">
        <v>2820</v>
      </c>
      <c r="AC27" s="642">
        <v>5117000</v>
      </c>
      <c r="AD27" s="643"/>
      <c r="AE27" s="643"/>
      <c r="AF27" s="643"/>
      <c r="AG27" s="643"/>
      <c r="AH27" s="643"/>
      <c r="AI27" s="643"/>
      <c r="AJ27" s="643"/>
      <c r="AK27" s="643"/>
      <c r="AL27" s="643"/>
      <c r="AM27" s="643"/>
      <c r="AN27" s="643"/>
      <c r="AO27" s="643"/>
      <c r="AP27" s="643"/>
      <c r="AQ27" s="643"/>
      <c r="AR27" s="643"/>
      <c r="AS27" s="643"/>
      <c r="AT27" s="643"/>
      <c r="AU27" s="643"/>
      <c r="AV27" s="643"/>
      <c r="AW27" s="643"/>
      <c r="AX27" s="643"/>
      <c r="AY27" s="643"/>
      <c r="AZ27" s="643"/>
      <c r="BA27" s="643"/>
      <c r="BB27" s="643"/>
      <c r="BC27" s="643"/>
      <c r="BD27" s="643"/>
      <c r="BE27" s="643"/>
      <c r="BF27" s="643"/>
      <c r="BG27" s="643"/>
      <c r="BH27" s="643"/>
      <c r="BI27" s="643"/>
      <c r="BJ27" s="643"/>
      <c r="BK27" s="643"/>
      <c r="BL27" s="643"/>
      <c r="BM27" s="643"/>
      <c r="BN27" s="643"/>
      <c r="BO27" s="643"/>
      <c r="BP27" s="643"/>
      <c r="BQ27" s="643"/>
      <c r="BR27" s="643"/>
      <c r="BS27" s="643"/>
      <c r="BT27" s="643"/>
      <c r="BU27" s="643"/>
      <c r="BV27" s="643"/>
      <c r="BW27" s="643"/>
      <c r="BX27" s="643"/>
      <c r="BY27" s="643"/>
      <c r="BZ27" s="643"/>
      <c r="CA27" s="643"/>
      <c r="CB27" s="643"/>
      <c r="CC27" s="643"/>
      <c r="CD27" s="643"/>
      <c r="CE27" s="643"/>
      <c r="CF27" s="643"/>
      <c r="CG27" s="643"/>
      <c r="CH27" s="643"/>
      <c r="CI27" s="643"/>
      <c r="CJ27" s="643"/>
      <c r="CK27" s="643"/>
      <c r="CL27" s="643"/>
      <c r="CM27" s="643"/>
      <c r="CN27" s="643"/>
      <c r="CO27" s="643"/>
      <c r="CP27" s="643"/>
      <c r="CQ27" s="643"/>
      <c r="CR27" s="643"/>
      <c r="CS27" s="643"/>
      <c r="CT27" s="643"/>
      <c r="CU27" s="643"/>
      <c r="CV27" s="643"/>
      <c r="CW27" s="643"/>
      <c r="CX27" s="643"/>
      <c r="CY27" s="643"/>
      <c r="CZ27" s="643"/>
      <c r="DA27" s="643"/>
      <c r="DB27" s="643"/>
      <c r="DC27" s="643"/>
      <c r="DD27" s="643"/>
      <c r="DE27" s="643"/>
      <c r="DF27" s="643"/>
      <c r="DG27" s="643"/>
      <c r="DH27" s="643"/>
      <c r="DI27" s="643"/>
      <c r="DJ27" s="643"/>
      <c r="DK27" s="643"/>
      <c r="DL27" s="643"/>
      <c r="DM27" s="643"/>
      <c r="DN27" s="643"/>
      <c r="DO27" s="643"/>
      <c r="DP27" s="643"/>
      <c r="DQ27" s="643"/>
      <c r="DR27" s="643"/>
      <c r="DS27" s="643"/>
      <c r="DT27" s="643"/>
      <c r="DU27" s="643"/>
      <c r="DV27" s="643"/>
      <c r="DW27" s="643"/>
      <c r="DX27" s="643"/>
      <c r="DY27" s="643"/>
      <c r="DZ27" s="643"/>
      <c r="EA27" s="643"/>
      <c r="EB27" s="643"/>
      <c r="EC27" s="643"/>
      <c r="ED27" s="643"/>
    </row>
    <row r="28" spans="1:134" s="644" customFormat="1" ht="15" x14ac:dyDescent="0.25">
      <c r="A28" s="726"/>
      <c r="B28" s="690"/>
      <c r="C28" s="720"/>
      <c r="D28" s="717"/>
      <c r="E28" s="720"/>
      <c r="F28" s="723"/>
      <c r="G28" s="723"/>
      <c r="H28" s="726"/>
      <c r="I28" s="723"/>
      <c r="J28" s="723"/>
      <c r="K28" s="723"/>
      <c r="L28" s="723"/>
      <c r="M28" s="723"/>
      <c r="N28" s="723"/>
      <c r="O28" s="723"/>
      <c r="P28" s="726"/>
      <c r="Q28" s="746"/>
      <c r="R28" s="748"/>
      <c r="S28" s="652" t="s">
        <v>1715</v>
      </c>
      <c r="T28" s="653" t="s">
        <v>1736</v>
      </c>
      <c r="U28" s="654" t="s">
        <v>1694</v>
      </c>
      <c r="V28" s="655">
        <v>54000000</v>
      </c>
      <c r="W28" s="627"/>
      <c r="X28" s="617">
        <v>946</v>
      </c>
      <c r="Y28" s="640">
        <v>44775</v>
      </c>
      <c r="Z28" s="655">
        <v>54000000</v>
      </c>
      <c r="AA28" s="617">
        <v>4878</v>
      </c>
      <c r="AB28" s="640" t="s">
        <v>2822</v>
      </c>
      <c r="AC28" s="642">
        <v>54000000</v>
      </c>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c r="BC28" s="643"/>
      <c r="BD28" s="643"/>
      <c r="BE28" s="643"/>
      <c r="BF28" s="643"/>
      <c r="BG28" s="643"/>
      <c r="BH28" s="643"/>
      <c r="BI28" s="643"/>
      <c r="BJ28" s="643"/>
      <c r="BK28" s="643"/>
      <c r="BL28" s="643"/>
      <c r="BM28" s="643"/>
      <c r="BN28" s="643"/>
      <c r="BO28" s="643"/>
      <c r="BP28" s="643"/>
      <c r="BQ28" s="643"/>
      <c r="BR28" s="643"/>
      <c r="BS28" s="643"/>
      <c r="BT28" s="643"/>
      <c r="BU28" s="643"/>
      <c r="BV28" s="643"/>
      <c r="BW28" s="643"/>
      <c r="BX28" s="643"/>
      <c r="BY28" s="643"/>
      <c r="BZ28" s="643"/>
      <c r="CA28" s="643"/>
      <c r="CB28" s="643"/>
      <c r="CC28" s="643"/>
      <c r="CD28" s="643"/>
      <c r="CE28" s="643"/>
      <c r="CF28" s="643"/>
      <c r="CG28" s="643"/>
      <c r="CH28" s="643"/>
      <c r="CI28" s="643"/>
      <c r="CJ28" s="643"/>
      <c r="CK28" s="643"/>
      <c r="CL28" s="643"/>
      <c r="CM28" s="643"/>
      <c r="CN28" s="643"/>
      <c r="CO28" s="643"/>
      <c r="CP28" s="643"/>
      <c r="CQ28" s="643"/>
      <c r="CR28" s="643"/>
      <c r="CS28" s="643"/>
      <c r="CT28" s="643"/>
      <c r="CU28" s="643"/>
      <c r="CV28" s="643"/>
      <c r="CW28" s="643"/>
      <c r="CX28" s="643"/>
      <c r="CY28" s="643"/>
      <c r="CZ28" s="643"/>
      <c r="DA28" s="643"/>
      <c r="DB28" s="643"/>
      <c r="DC28" s="643"/>
      <c r="DD28" s="643"/>
      <c r="DE28" s="643"/>
      <c r="DF28" s="643"/>
      <c r="DG28" s="643"/>
      <c r="DH28" s="643"/>
      <c r="DI28" s="643"/>
      <c r="DJ28" s="643"/>
      <c r="DK28" s="643"/>
      <c r="DL28" s="643"/>
      <c r="DM28" s="643"/>
      <c r="DN28" s="643"/>
      <c r="DO28" s="643"/>
      <c r="DP28" s="643"/>
      <c r="DQ28" s="643"/>
      <c r="DR28" s="643"/>
      <c r="DS28" s="643"/>
      <c r="DT28" s="643"/>
      <c r="DU28" s="643"/>
      <c r="DV28" s="643"/>
      <c r="DW28" s="643"/>
      <c r="DX28" s="643"/>
      <c r="DY28" s="643"/>
      <c r="DZ28" s="643"/>
      <c r="EA28" s="643"/>
      <c r="EB28" s="643"/>
      <c r="EC28" s="643"/>
      <c r="ED28" s="643"/>
    </row>
    <row r="29" spans="1:134" s="644" customFormat="1" ht="15" x14ac:dyDescent="0.25">
      <c r="A29" s="726"/>
      <c r="B29" s="690"/>
      <c r="C29" s="720"/>
      <c r="D29" s="717"/>
      <c r="E29" s="720"/>
      <c r="F29" s="723"/>
      <c r="G29" s="723"/>
      <c r="H29" s="726"/>
      <c r="I29" s="723"/>
      <c r="J29" s="723"/>
      <c r="K29" s="723"/>
      <c r="L29" s="723"/>
      <c r="M29" s="723"/>
      <c r="N29" s="723"/>
      <c r="O29" s="723"/>
      <c r="P29" s="726"/>
      <c r="Q29" s="746"/>
      <c r="R29" s="748"/>
      <c r="S29" s="652" t="s">
        <v>1716</v>
      </c>
      <c r="T29" s="617" t="s">
        <v>885</v>
      </c>
      <c r="U29" s="654" t="s">
        <v>1695</v>
      </c>
      <c r="V29" s="655">
        <v>0</v>
      </c>
      <c r="W29" s="627"/>
      <c r="X29" s="617"/>
      <c r="Y29" s="640"/>
      <c r="Z29" s="638"/>
      <c r="AA29" s="617"/>
      <c r="AB29" s="640"/>
      <c r="AC29" s="642"/>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643"/>
      <c r="BE29" s="643"/>
      <c r="BF29" s="643"/>
      <c r="BG29" s="643"/>
      <c r="BH29" s="643"/>
      <c r="BI29" s="643"/>
      <c r="BJ29" s="643"/>
      <c r="BK29" s="643"/>
      <c r="BL29" s="643"/>
      <c r="BM29" s="643"/>
      <c r="BN29" s="643"/>
      <c r="BO29" s="643"/>
      <c r="BP29" s="643"/>
      <c r="BQ29" s="643"/>
      <c r="BR29" s="643"/>
      <c r="BS29" s="643"/>
      <c r="BT29" s="643"/>
      <c r="BU29" s="643"/>
      <c r="BV29" s="643"/>
      <c r="BW29" s="643"/>
      <c r="BX29" s="643"/>
      <c r="BY29" s="643"/>
      <c r="BZ29" s="643"/>
      <c r="CA29" s="643"/>
      <c r="CB29" s="643"/>
      <c r="CC29" s="643"/>
      <c r="CD29" s="643"/>
      <c r="CE29" s="643"/>
      <c r="CF29" s="643"/>
      <c r="CG29" s="643"/>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3"/>
      <c r="DH29" s="643"/>
      <c r="DI29" s="643"/>
      <c r="DJ29" s="643"/>
      <c r="DK29" s="643"/>
      <c r="DL29" s="643"/>
      <c r="DM29" s="643"/>
      <c r="DN29" s="643"/>
      <c r="DO29" s="643"/>
      <c r="DP29" s="643"/>
      <c r="DQ29" s="643"/>
      <c r="DR29" s="643"/>
      <c r="DS29" s="643"/>
      <c r="DT29" s="643"/>
      <c r="DU29" s="643"/>
      <c r="DV29" s="643"/>
      <c r="DW29" s="643"/>
      <c r="DX29" s="643"/>
      <c r="DY29" s="643"/>
      <c r="DZ29" s="643"/>
      <c r="EA29" s="643"/>
      <c r="EB29" s="643"/>
      <c r="EC29" s="643"/>
      <c r="ED29" s="643"/>
    </row>
    <row r="30" spans="1:134" s="644" customFormat="1" ht="15" x14ac:dyDescent="0.25">
      <c r="A30" s="726"/>
      <c r="B30" s="690"/>
      <c r="C30" s="720"/>
      <c r="D30" s="717"/>
      <c r="E30" s="720"/>
      <c r="F30" s="723"/>
      <c r="G30" s="723"/>
      <c r="H30" s="726"/>
      <c r="I30" s="723"/>
      <c r="J30" s="723"/>
      <c r="K30" s="723"/>
      <c r="L30" s="723"/>
      <c r="M30" s="723"/>
      <c r="N30" s="723"/>
      <c r="O30" s="723"/>
      <c r="P30" s="726"/>
      <c r="Q30" s="746"/>
      <c r="R30" s="748"/>
      <c r="S30" s="652" t="s">
        <v>1717</v>
      </c>
      <c r="T30" s="653" t="s">
        <v>1737</v>
      </c>
      <c r="U30" s="654" t="s">
        <v>1696</v>
      </c>
      <c r="V30" s="655">
        <v>95026260</v>
      </c>
      <c r="W30" s="627"/>
      <c r="X30" s="617">
        <v>969</v>
      </c>
      <c r="Y30" s="640">
        <v>44778</v>
      </c>
      <c r="Z30" s="655">
        <v>95026260</v>
      </c>
      <c r="AA30" s="617">
        <v>4960</v>
      </c>
      <c r="AB30" s="640" t="s">
        <v>2824</v>
      </c>
      <c r="AC30" s="642">
        <v>95026260</v>
      </c>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3"/>
      <c r="BD30" s="643"/>
      <c r="BE30" s="643"/>
      <c r="BF30" s="643"/>
      <c r="BG30" s="643"/>
      <c r="BH30" s="643"/>
      <c r="BI30" s="643"/>
      <c r="BJ30" s="643"/>
      <c r="BK30" s="643"/>
      <c r="BL30" s="643"/>
      <c r="BM30" s="643"/>
      <c r="BN30" s="643"/>
      <c r="BO30" s="643"/>
      <c r="BP30" s="643"/>
      <c r="BQ30" s="643"/>
      <c r="BR30" s="643"/>
      <c r="BS30" s="643"/>
      <c r="BT30" s="643"/>
      <c r="BU30" s="643"/>
      <c r="BV30" s="643"/>
      <c r="BW30" s="643"/>
      <c r="BX30" s="643"/>
      <c r="BY30" s="643"/>
      <c r="BZ30" s="643"/>
      <c r="CA30" s="643"/>
      <c r="CB30" s="643"/>
      <c r="CC30" s="643"/>
      <c r="CD30" s="643"/>
      <c r="CE30" s="643"/>
      <c r="CF30" s="643"/>
      <c r="CG30" s="643"/>
      <c r="CH30" s="643"/>
      <c r="CI30" s="643"/>
      <c r="CJ30" s="643"/>
      <c r="CK30" s="643"/>
      <c r="CL30" s="643"/>
      <c r="CM30" s="643"/>
      <c r="CN30" s="643"/>
      <c r="CO30" s="643"/>
      <c r="CP30" s="643"/>
      <c r="CQ30" s="643"/>
      <c r="CR30" s="643"/>
      <c r="CS30" s="643"/>
      <c r="CT30" s="643"/>
      <c r="CU30" s="643"/>
      <c r="CV30" s="643"/>
      <c r="CW30" s="643"/>
      <c r="CX30" s="643"/>
      <c r="CY30" s="643"/>
      <c r="CZ30" s="643"/>
      <c r="DA30" s="643"/>
      <c r="DB30" s="643"/>
      <c r="DC30" s="643"/>
      <c r="DD30" s="643"/>
      <c r="DE30" s="643"/>
      <c r="DF30" s="643"/>
      <c r="DG30" s="643"/>
      <c r="DH30" s="643"/>
      <c r="DI30" s="643"/>
      <c r="DJ30" s="643"/>
      <c r="DK30" s="643"/>
      <c r="DL30" s="643"/>
      <c r="DM30" s="643"/>
      <c r="DN30" s="643"/>
      <c r="DO30" s="643"/>
      <c r="DP30" s="643"/>
      <c r="DQ30" s="643"/>
      <c r="DR30" s="643"/>
      <c r="DS30" s="643"/>
      <c r="DT30" s="643"/>
      <c r="DU30" s="643"/>
      <c r="DV30" s="643"/>
      <c r="DW30" s="643"/>
      <c r="DX30" s="643"/>
      <c r="DY30" s="643"/>
      <c r="DZ30" s="643"/>
      <c r="EA30" s="643"/>
      <c r="EB30" s="643"/>
      <c r="EC30" s="643"/>
      <c r="ED30" s="643"/>
    </row>
    <row r="31" spans="1:134" s="644" customFormat="1" ht="15" x14ac:dyDescent="0.25">
      <c r="A31" s="726"/>
      <c r="B31" s="690"/>
      <c r="C31" s="720"/>
      <c r="D31" s="717"/>
      <c r="E31" s="720"/>
      <c r="F31" s="723"/>
      <c r="G31" s="723"/>
      <c r="H31" s="726"/>
      <c r="I31" s="723"/>
      <c r="J31" s="723"/>
      <c r="K31" s="723"/>
      <c r="L31" s="723"/>
      <c r="M31" s="723"/>
      <c r="N31" s="723"/>
      <c r="O31" s="723"/>
      <c r="P31" s="726"/>
      <c r="Q31" s="746"/>
      <c r="R31" s="748"/>
      <c r="S31" s="652" t="s">
        <v>1718</v>
      </c>
      <c r="T31" s="653" t="s">
        <v>1738</v>
      </c>
      <c r="U31" s="654" t="s">
        <v>1697</v>
      </c>
      <c r="V31" s="655">
        <v>9122125</v>
      </c>
      <c r="W31" s="627"/>
      <c r="X31" s="617">
        <v>968</v>
      </c>
      <c r="Y31" s="640">
        <v>44778</v>
      </c>
      <c r="Z31" s="622">
        <v>9122125</v>
      </c>
      <c r="AA31" s="617">
        <v>4858</v>
      </c>
      <c r="AB31" s="640" t="s">
        <v>2821</v>
      </c>
      <c r="AC31" s="642">
        <v>9122125</v>
      </c>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3"/>
      <c r="BH31" s="643"/>
      <c r="BI31" s="643"/>
      <c r="BJ31" s="643"/>
      <c r="BK31" s="643"/>
      <c r="BL31" s="643"/>
      <c r="BM31" s="643"/>
      <c r="BN31" s="643"/>
      <c r="BO31" s="643"/>
      <c r="BP31" s="643"/>
      <c r="BQ31" s="643"/>
      <c r="BR31" s="643"/>
      <c r="BS31" s="643"/>
      <c r="BT31" s="643"/>
      <c r="BU31" s="643"/>
      <c r="BV31" s="643"/>
      <c r="BW31" s="643"/>
      <c r="BX31" s="643"/>
      <c r="BY31" s="643"/>
      <c r="BZ31" s="643"/>
      <c r="CA31" s="643"/>
      <c r="CB31" s="643"/>
      <c r="CC31" s="643"/>
      <c r="CD31" s="643"/>
      <c r="CE31" s="643"/>
      <c r="CF31" s="643"/>
      <c r="CG31" s="643"/>
      <c r="CH31" s="643"/>
      <c r="CI31" s="643"/>
      <c r="CJ31" s="643"/>
      <c r="CK31" s="643"/>
      <c r="CL31" s="643"/>
      <c r="CM31" s="643"/>
      <c r="CN31" s="643"/>
      <c r="CO31" s="643"/>
      <c r="CP31" s="643"/>
      <c r="CQ31" s="643"/>
      <c r="CR31" s="643"/>
      <c r="CS31" s="643"/>
      <c r="CT31" s="643"/>
      <c r="CU31" s="643"/>
      <c r="CV31" s="643"/>
      <c r="CW31" s="643"/>
      <c r="CX31" s="643"/>
      <c r="CY31" s="643"/>
      <c r="CZ31" s="643"/>
      <c r="DA31" s="643"/>
      <c r="DB31" s="643"/>
      <c r="DC31" s="643"/>
      <c r="DD31" s="643"/>
      <c r="DE31" s="643"/>
      <c r="DF31" s="643"/>
      <c r="DG31" s="643"/>
      <c r="DH31" s="643"/>
      <c r="DI31" s="643"/>
      <c r="DJ31" s="643"/>
      <c r="DK31" s="643"/>
      <c r="DL31" s="643"/>
      <c r="DM31" s="643"/>
      <c r="DN31" s="643"/>
      <c r="DO31" s="643"/>
      <c r="DP31" s="643"/>
      <c r="DQ31" s="643"/>
      <c r="DR31" s="643"/>
      <c r="DS31" s="643"/>
      <c r="DT31" s="643"/>
      <c r="DU31" s="643"/>
      <c r="DV31" s="643"/>
      <c r="DW31" s="643"/>
      <c r="DX31" s="643"/>
      <c r="DY31" s="643"/>
      <c r="DZ31" s="643"/>
      <c r="EA31" s="643"/>
      <c r="EB31" s="643"/>
      <c r="EC31" s="643"/>
      <c r="ED31" s="643"/>
    </row>
    <row r="32" spans="1:134" s="644" customFormat="1" ht="15" x14ac:dyDescent="0.25">
      <c r="A32" s="726"/>
      <c r="B32" s="690"/>
      <c r="C32" s="720"/>
      <c r="D32" s="717"/>
      <c r="E32" s="720"/>
      <c r="F32" s="723"/>
      <c r="G32" s="723"/>
      <c r="H32" s="726"/>
      <c r="I32" s="723"/>
      <c r="J32" s="723"/>
      <c r="K32" s="723"/>
      <c r="L32" s="723"/>
      <c r="M32" s="723"/>
      <c r="N32" s="723"/>
      <c r="O32" s="723"/>
      <c r="P32" s="726"/>
      <c r="Q32" s="746"/>
      <c r="R32" s="748"/>
      <c r="S32" s="652" t="s">
        <v>1719</v>
      </c>
      <c r="T32" s="653" t="s">
        <v>1739</v>
      </c>
      <c r="U32" s="654" t="s">
        <v>1698</v>
      </c>
      <c r="V32" s="655">
        <v>6600001</v>
      </c>
      <c r="W32" s="627"/>
      <c r="X32" s="617">
        <v>961</v>
      </c>
      <c r="Y32" s="640">
        <v>44777</v>
      </c>
      <c r="Z32" s="655">
        <v>6600001</v>
      </c>
      <c r="AA32" s="617">
        <v>4957</v>
      </c>
      <c r="AB32" s="640" t="s">
        <v>2824</v>
      </c>
      <c r="AC32" s="642">
        <v>6600001</v>
      </c>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3"/>
      <c r="BH32" s="643"/>
      <c r="BI32" s="643"/>
      <c r="BJ32" s="643"/>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3"/>
      <c r="DH32" s="643"/>
      <c r="DI32" s="643"/>
      <c r="DJ32" s="643"/>
      <c r="DK32" s="643"/>
      <c r="DL32" s="643"/>
      <c r="DM32" s="643"/>
      <c r="DN32" s="643"/>
      <c r="DO32" s="643"/>
      <c r="DP32" s="643"/>
      <c r="DQ32" s="643"/>
      <c r="DR32" s="643"/>
      <c r="DS32" s="643"/>
      <c r="DT32" s="643"/>
      <c r="DU32" s="643"/>
      <c r="DV32" s="643"/>
      <c r="DW32" s="643"/>
      <c r="DX32" s="643"/>
      <c r="DY32" s="643"/>
      <c r="DZ32" s="643"/>
      <c r="EA32" s="643"/>
      <c r="EB32" s="643"/>
      <c r="EC32" s="643"/>
      <c r="ED32" s="643"/>
    </row>
    <row r="33" spans="1:134" s="644" customFormat="1" ht="15" x14ac:dyDescent="0.25">
      <c r="A33" s="726"/>
      <c r="B33" s="690"/>
      <c r="C33" s="720"/>
      <c r="D33" s="717"/>
      <c r="E33" s="720"/>
      <c r="F33" s="723"/>
      <c r="G33" s="723"/>
      <c r="H33" s="726"/>
      <c r="I33" s="723"/>
      <c r="J33" s="723"/>
      <c r="K33" s="723"/>
      <c r="L33" s="723"/>
      <c r="M33" s="723"/>
      <c r="N33" s="723"/>
      <c r="O33" s="723"/>
      <c r="P33" s="726"/>
      <c r="Q33" s="746"/>
      <c r="R33" s="748"/>
      <c r="S33" s="652" t="s">
        <v>1720</v>
      </c>
      <c r="T33" s="653" t="s">
        <v>1740</v>
      </c>
      <c r="U33" s="654" t="s">
        <v>1699</v>
      </c>
      <c r="V33" s="655">
        <v>33353320</v>
      </c>
      <c r="W33" s="627"/>
      <c r="X33" s="617">
        <v>1012</v>
      </c>
      <c r="Y33" s="640">
        <v>44781</v>
      </c>
      <c r="Z33" s="655">
        <v>33353320</v>
      </c>
      <c r="AA33" s="617">
        <v>5029</v>
      </c>
      <c r="AB33" s="640" t="s">
        <v>2827</v>
      </c>
      <c r="AC33" s="642">
        <v>33353320</v>
      </c>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3"/>
      <c r="BB33" s="643"/>
      <c r="BC33" s="643"/>
      <c r="BD33" s="643"/>
      <c r="BE33" s="643"/>
      <c r="BF33" s="643"/>
      <c r="BG33" s="643"/>
      <c r="BH33" s="643"/>
      <c r="BI33" s="643"/>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643"/>
      <c r="CW33" s="643"/>
      <c r="CX33" s="643"/>
      <c r="CY33" s="643"/>
      <c r="CZ33" s="643"/>
      <c r="DA33" s="643"/>
      <c r="DB33" s="643"/>
      <c r="DC33" s="643"/>
      <c r="DD33" s="643"/>
      <c r="DE33" s="643"/>
      <c r="DF33" s="643"/>
      <c r="DG33" s="643"/>
      <c r="DH33" s="643"/>
      <c r="DI33" s="643"/>
      <c r="DJ33" s="643"/>
      <c r="DK33" s="643"/>
      <c r="DL33" s="643"/>
      <c r="DM33" s="643"/>
      <c r="DN33" s="643"/>
      <c r="DO33" s="643"/>
      <c r="DP33" s="643"/>
      <c r="DQ33" s="643"/>
      <c r="DR33" s="643"/>
      <c r="DS33" s="643"/>
      <c r="DT33" s="643"/>
      <c r="DU33" s="643"/>
      <c r="DV33" s="643"/>
      <c r="DW33" s="643"/>
      <c r="DX33" s="643"/>
      <c r="DY33" s="643"/>
      <c r="DZ33" s="643"/>
      <c r="EA33" s="643"/>
      <c r="EB33" s="643"/>
      <c r="EC33" s="643"/>
      <c r="ED33" s="643"/>
    </row>
    <row r="34" spans="1:134" s="644" customFormat="1" ht="15" x14ac:dyDescent="0.25">
      <c r="A34" s="726"/>
      <c r="B34" s="690"/>
      <c r="C34" s="720"/>
      <c r="D34" s="717"/>
      <c r="E34" s="720"/>
      <c r="F34" s="723"/>
      <c r="G34" s="723"/>
      <c r="H34" s="726"/>
      <c r="I34" s="723"/>
      <c r="J34" s="723"/>
      <c r="K34" s="723"/>
      <c r="L34" s="723"/>
      <c r="M34" s="723"/>
      <c r="N34" s="723"/>
      <c r="O34" s="723"/>
      <c r="P34" s="726"/>
      <c r="Q34" s="746"/>
      <c r="R34" s="748"/>
      <c r="S34" s="652" t="s">
        <v>1721</v>
      </c>
      <c r="T34" s="653" t="s">
        <v>1741</v>
      </c>
      <c r="U34" s="654" t="s">
        <v>1700</v>
      </c>
      <c r="V34" s="655">
        <v>28746830</v>
      </c>
      <c r="W34" s="627"/>
      <c r="X34" s="617">
        <v>986</v>
      </c>
      <c r="Y34" s="640">
        <v>44778</v>
      </c>
      <c r="Z34" s="655">
        <v>28746830</v>
      </c>
      <c r="AA34" s="617">
        <v>4860</v>
      </c>
      <c r="AB34" s="640" t="s">
        <v>2821</v>
      </c>
      <c r="AC34" s="642">
        <v>28746830</v>
      </c>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3"/>
      <c r="BI34" s="643"/>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643"/>
      <c r="CW34" s="643"/>
      <c r="CX34" s="643"/>
      <c r="CY34" s="643"/>
      <c r="CZ34" s="643"/>
      <c r="DA34" s="643"/>
      <c r="DB34" s="643"/>
      <c r="DC34" s="643"/>
      <c r="DD34" s="643"/>
      <c r="DE34" s="643"/>
      <c r="DF34" s="643"/>
      <c r="DG34" s="643"/>
      <c r="DH34" s="643"/>
      <c r="DI34" s="643"/>
      <c r="DJ34" s="643"/>
      <c r="DK34" s="643"/>
      <c r="DL34" s="643"/>
      <c r="DM34" s="643"/>
      <c r="DN34" s="643"/>
      <c r="DO34" s="643"/>
      <c r="DP34" s="643"/>
      <c r="DQ34" s="643"/>
      <c r="DR34" s="643"/>
      <c r="DS34" s="643"/>
      <c r="DT34" s="643"/>
      <c r="DU34" s="643"/>
      <c r="DV34" s="643"/>
      <c r="DW34" s="643"/>
      <c r="DX34" s="643"/>
      <c r="DY34" s="643"/>
      <c r="DZ34" s="643"/>
      <c r="EA34" s="643"/>
      <c r="EB34" s="643"/>
      <c r="EC34" s="643"/>
      <c r="ED34" s="643"/>
    </row>
    <row r="35" spans="1:134" s="644" customFormat="1" ht="15" x14ac:dyDescent="0.25">
      <c r="A35" s="726"/>
      <c r="B35" s="690"/>
      <c r="C35" s="720"/>
      <c r="D35" s="717"/>
      <c r="E35" s="720"/>
      <c r="F35" s="723"/>
      <c r="G35" s="723"/>
      <c r="H35" s="726"/>
      <c r="I35" s="723"/>
      <c r="J35" s="723"/>
      <c r="K35" s="723"/>
      <c r="L35" s="723"/>
      <c r="M35" s="723"/>
      <c r="N35" s="723"/>
      <c r="O35" s="723"/>
      <c r="P35" s="726"/>
      <c r="Q35" s="746"/>
      <c r="R35" s="748"/>
      <c r="S35" s="652" t="s">
        <v>1722</v>
      </c>
      <c r="T35" s="653" t="s">
        <v>1742</v>
      </c>
      <c r="U35" s="654" t="s">
        <v>1701</v>
      </c>
      <c r="V35" s="655">
        <v>54350170</v>
      </c>
      <c r="W35" s="627"/>
      <c r="X35" s="617">
        <v>1010</v>
      </c>
      <c r="Y35" s="640">
        <v>44781</v>
      </c>
      <c r="Z35" s="655">
        <v>54350170</v>
      </c>
      <c r="AA35" s="617">
        <v>5014</v>
      </c>
      <c r="AB35" s="640" t="s">
        <v>2826</v>
      </c>
      <c r="AC35" s="642">
        <v>54350170</v>
      </c>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3"/>
      <c r="BE35" s="643"/>
      <c r="BF35" s="643"/>
      <c r="BG35" s="643"/>
      <c r="BH35" s="643"/>
      <c r="BI35" s="643"/>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3"/>
      <c r="DH35" s="643"/>
      <c r="DI35" s="643"/>
      <c r="DJ35" s="643"/>
      <c r="DK35" s="643"/>
      <c r="DL35" s="643"/>
      <c r="DM35" s="643"/>
      <c r="DN35" s="643"/>
      <c r="DO35" s="643"/>
      <c r="DP35" s="643"/>
      <c r="DQ35" s="643"/>
      <c r="DR35" s="643"/>
      <c r="DS35" s="643"/>
      <c r="DT35" s="643"/>
      <c r="DU35" s="643"/>
      <c r="DV35" s="643"/>
      <c r="DW35" s="643"/>
      <c r="DX35" s="643"/>
      <c r="DY35" s="643"/>
      <c r="DZ35" s="643"/>
      <c r="EA35" s="643"/>
      <c r="EB35" s="643"/>
      <c r="EC35" s="643"/>
      <c r="ED35" s="643"/>
    </row>
    <row r="36" spans="1:134" s="644" customFormat="1" ht="15" x14ac:dyDescent="0.25">
      <c r="A36" s="726"/>
      <c r="B36" s="690"/>
      <c r="C36" s="720"/>
      <c r="D36" s="717"/>
      <c r="E36" s="720"/>
      <c r="F36" s="723"/>
      <c r="G36" s="723"/>
      <c r="H36" s="726"/>
      <c r="I36" s="723"/>
      <c r="J36" s="723"/>
      <c r="K36" s="723"/>
      <c r="L36" s="723"/>
      <c r="M36" s="723"/>
      <c r="N36" s="723"/>
      <c r="O36" s="723"/>
      <c r="P36" s="726"/>
      <c r="Q36" s="746"/>
      <c r="R36" s="748"/>
      <c r="S36" s="652" t="s">
        <v>1723</v>
      </c>
      <c r="T36" s="653" t="s">
        <v>1743</v>
      </c>
      <c r="U36" s="654" t="s">
        <v>1702</v>
      </c>
      <c r="V36" s="655">
        <v>132500000</v>
      </c>
      <c r="W36" s="627"/>
      <c r="X36" s="617">
        <v>1007</v>
      </c>
      <c r="Y36" s="640">
        <v>44781</v>
      </c>
      <c r="Z36" s="655">
        <v>132500000</v>
      </c>
      <c r="AA36" s="617">
        <v>5864</v>
      </c>
      <c r="AB36" s="640" t="s">
        <v>2782</v>
      </c>
      <c r="AC36" s="642">
        <v>132500000</v>
      </c>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3"/>
      <c r="BH36" s="643"/>
      <c r="BI36" s="643"/>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643"/>
      <c r="CW36" s="643"/>
      <c r="CX36" s="643"/>
      <c r="CY36" s="643"/>
      <c r="CZ36" s="643"/>
      <c r="DA36" s="643"/>
      <c r="DB36" s="643"/>
      <c r="DC36" s="643"/>
      <c r="DD36" s="643"/>
      <c r="DE36" s="643"/>
      <c r="DF36" s="643"/>
      <c r="DG36" s="643"/>
      <c r="DH36" s="643"/>
      <c r="DI36" s="643"/>
      <c r="DJ36" s="643"/>
      <c r="DK36" s="643"/>
      <c r="DL36" s="643"/>
      <c r="DM36" s="643"/>
      <c r="DN36" s="643"/>
      <c r="DO36" s="643"/>
      <c r="DP36" s="643"/>
      <c r="DQ36" s="643"/>
      <c r="DR36" s="643"/>
      <c r="DS36" s="643"/>
      <c r="DT36" s="643"/>
      <c r="DU36" s="643"/>
      <c r="DV36" s="643"/>
      <c r="DW36" s="643"/>
      <c r="DX36" s="643"/>
      <c r="DY36" s="643"/>
      <c r="DZ36" s="643"/>
      <c r="EA36" s="643"/>
      <c r="EB36" s="643"/>
      <c r="EC36" s="643"/>
      <c r="ED36" s="643"/>
    </row>
    <row r="37" spans="1:134" s="644" customFormat="1" ht="15" x14ac:dyDescent="0.25">
      <c r="A37" s="726"/>
      <c r="B37" s="690"/>
      <c r="C37" s="720"/>
      <c r="D37" s="717"/>
      <c r="E37" s="720"/>
      <c r="F37" s="723"/>
      <c r="G37" s="723"/>
      <c r="H37" s="726"/>
      <c r="I37" s="723"/>
      <c r="J37" s="723"/>
      <c r="K37" s="723"/>
      <c r="L37" s="723"/>
      <c r="M37" s="723"/>
      <c r="N37" s="723"/>
      <c r="O37" s="723"/>
      <c r="P37" s="726"/>
      <c r="Q37" s="746"/>
      <c r="R37" s="748"/>
      <c r="S37" s="652" t="s">
        <v>1724</v>
      </c>
      <c r="T37" s="653" t="s">
        <v>1744</v>
      </c>
      <c r="U37" s="654" t="s">
        <v>1703</v>
      </c>
      <c r="V37" s="655">
        <v>11400000</v>
      </c>
      <c r="W37" s="627"/>
      <c r="X37" s="617">
        <v>1045</v>
      </c>
      <c r="Y37" s="640">
        <v>44792</v>
      </c>
      <c r="Z37" s="655">
        <v>11400000</v>
      </c>
      <c r="AA37" s="617">
        <v>5174</v>
      </c>
      <c r="AB37" s="640" t="s">
        <v>2828</v>
      </c>
      <c r="AC37" s="642">
        <v>11400000</v>
      </c>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3"/>
      <c r="BI37" s="643"/>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643"/>
      <c r="CW37" s="643"/>
      <c r="CX37" s="643"/>
      <c r="CY37" s="643"/>
      <c r="CZ37" s="643"/>
      <c r="DA37" s="643"/>
      <c r="DB37" s="643"/>
      <c r="DC37" s="643"/>
      <c r="DD37" s="643"/>
      <c r="DE37" s="643"/>
      <c r="DF37" s="643"/>
      <c r="DG37" s="643"/>
      <c r="DH37" s="643"/>
      <c r="DI37" s="643"/>
      <c r="DJ37" s="643"/>
      <c r="DK37" s="643"/>
      <c r="DL37" s="643"/>
      <c r="DM37" s="643"/>
      <c r="DN37" s="643"/>
      <c r="DO37" s="643"/>
      <c r="DP37" s="643"/>
      <c r="DQ37" s="643"/>
      <c r="DR37" s="643"/>
      <c r="DS37" s="643"/>
      <c r="DT37" s="643"/>
      <c r="DU37" s="643"/>
      <c r="DV37" s="643"/>
      <c r="DW37" s="643"/>
      <c r="DX37" s="643"/>
      <c r="DY37" s="643"/>
      <c r="DZ37" s="643"/>
      <c r="EA37" s="643"/>
      <c r="EB37" s="643"/>
      <c r="EC37" s="643"/>
      <c r="ED37" s="643"/>
    </row>
    <row r="38" spans="1:134" s="644" customFormat="1" ht="15" x14ac:dyDescent="0.25">
      <c r="A38" s="726"/>
      <c r="B38" s="690"/>
      <c r="C38" s="720"/>
      <c r="D38" s="717"/>
      <c r="E38" s="720"/>
      <c r="F38" s="723"/>
      <c r="G38" s="723"/>
      <c r="H38" s="726"/>
      <c r="I38" s="723"/>
      <c r="J38" s="723"/>
      <c r="K38" s="723"/>
      <c r="L38" s="723"/>
      <c r="M38" s="723"/>
      <c r="N38" s="723"/>
      <c r="O38" s="723"/>
      <c r="P38" s="726"/>
      <c r="Q38" s="746"/>
      <c r="R38" s="748"/>
      <c r="S38" s="652" t="s">
        <v>1725</v>
      </c>
      <c r="T38" s="653" t="s">
        <v>1745</v>
      </c>
      <c r="U38" s="654" t="s">
        <v>1704</v>
      </c>
      <c r="V38" s="655">
        <v>49955000</v>
      </c>
      <c r="W38" s="627"/>
      <c r="X38" s="617">
        <v>1023</v>
      </c>
      <c r="Y38" s="640">
        <v>44785</v>
      </c>
      <c r="Z38" s="655">
        <v>49955000</v>
      </c>
      <c r="AA38" s="617">
        <v>5018</v>
      </c>
      <c r="AB38" s="640" t="s">
        <v>2826</v>
      </c>
      <c r="AC38" s="642">
        <v>49955000</v>
      </c>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3"/>
      <c r="BE38" s="643"/>
      <c r="BF38" s="643"/>
      <c r="BG38" s="643"/>
      <c r="BH38" s="643"/>
      <c r="BI38" s="643"/>
      <c r="BJ38" s="643"/>
      <c r="BK38" s="643"/>
      <c r="BL38" s="643"/>
      <c r="BM38" s="643"/>
      <c r="BN38" s="643"/>
      <c r="BO38" s="643"/>
      <c r="BP38" s="643"/>
      <c r="BQ38" s="643"/>
      <c r="BR38" s="643"/>
      <c r="BS38" s="643"/>
      <c r="BT38" s="643"/>
      <c r="BU38" s="643"/>
      <c r="BV38" s="643"/>
      <c r="BW38" s="643"/>
      <c r="BX38" s="643"/>
      <c r="BY38" s="643"/>
      <c r="BZ38" s="643"/>
      <c r="CA38" s="643"/>
      <c r="CB38" s="643"/>
      <c r="CC38" s="643"/>
      <c r="CD38" s="643"/>
      <c r="CE38" s="643"/>
      <c r="CF38" s="643"/>
      <c r="CG38" s="643"/>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3"/>
      <c r="DH38" s="643"/>
      <c r="DI38" s="643"/>
      <c r="DJ38" s="643"/>
      <c r="DK38" s="643"/>
      <c r="DL38" s="643"/>
      <c r="DM38" s="643"/>
      <c r="DN38" s="643"/>
      <c r="DO38" s="643"/>
      <c r="DP38" s="643"/>
      <c r="DQ38" s="643"/>
      <c r="DR38" s="643"/>
      <c r="DS38" s="643"/>
      <c r="DT38" s="643"/>
      <c r="DU38" s="643"/>
      <c r="DV38" s="643"/>
      <c r="DW38" s="643"/>
      <c r="DX38" s="643"/>
      <c r="DY38" s="643"/>
      <c r="DZ38" s="643"/>
      <c r="EA38" s="643"/>
      <c r="EB38" s="643"/>
      <c r="EC38" s="643"/>
      <c r="ED38" s="643"/>
    </row>
    <row r="39" spans="1:134" s="644" customFormat="1" ht="15" x14ac:dyDescent="0.25">
      <c r="A39" s="726"/>
      <c r="B39" s="690"/>
      <c r="C39" s="720"/>
      <c r="D39" s="717"/>
      <c r="E39" s="720"/>
      <c r="F39" s="723"/>
      <c r="G39" s="723"/>
      <c r="H39" s="726"/>
      <c r="I39" s="723"/>
      <c r="J39" s="723"/>
      <c r="K39" s="723"/>
      <c r="L39" s="723"/>
      <c r="M39" s="723"/>
      <c r="N39" s="723"/>
      <c r="O39" s="723"/>
      <c r="P39" s="726"/>
      <c r="Q39" s="746"/>
      <c r="R39" s="748"/>
      <c r="S39" s="652" t="s">
        <v>1726</v>
      </c>
      <c r="T39" s="653" t="s">
        <v>1746</v>
      </c>
      <c r="U39" s="654" t="s">
        <v>1705</v>
      </c>
      <c r="V39" s="655">
        <v>81216994</v>
      </c>
      <c r="W39" s="627"/>
      <c r="X39" s="617">
        <v>1075</v>
      </c>
      <c r="Y39" s="640">
        <v>44797</v>
      </c>
      <c r="Z39" s="655">
        <v>81216994</v>
      </c>
      <c r="AA39" s="617">
        <v>5004</v>
      </c>
      <c r="AB39" s="640" t="s">
        <v>2825</v>
      </c>
      <c r="AC39" s="642">
        <v>81216994</v>
      </c>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3"/>
      <c r="BB39" s="643"/>
      <c r="BC39" s="643"/>
      <c r="BD39" s="643"/>
      <c r="BE39" s="643"/>
      <c r="BF39" s="643"/>
      <c r="BG39" s="643"/>
      <c r="BH39" s="643"/>
      <c r="BI39" s="643"/>
      <c r="BJ39" s="643"/>
      <c r="BK39" s="643"/>
      <c r="BL39" s="643"/>
      <c r="BM39" s="643"/>
      <c r="BN39" s="643"/>
      <c r="BO39" s="643"/>
      <c r="BP39" s="643"/>
      <c r="BQ39" s="643"/>
      <c r="BR39" s="643"/>
      <c r="BS39" s="643"/>
      <c r="BT39" s="643"/>
      <c r="BU39" s="643"/>
      <c r="BV39" s="643"/>
      <c r="BW39" s="643"/>
      <c r="BX39" s="643"/>
      <c r="BY39" s="643"/>
      <c r="BZ39" s="643"/>
      <c r="CA39" s="643"/>
      <c r="CB39" s="643"/>
      <c r="CC39" s="643"/>
      <c r="CD39" s="643"/>
      <c r="CE39" s="643"/>
      <c r="CF39" s="643"/>
      <c r="CG39" s="643"/>
      <c r="CH39" s="643"/>
      <c r="CI39" s="643"/>
      <c r="CJ39" s="643"/>
      <c r="CK39" s="643"/>
      <c r="CL39" s="643"/>
      <c r="CM39" s="643"/>
      <c r="CN39" s="643"/>
      <c r="CO39" s="643"/>
      <c r="CP39" s="643"/>
      <c r="CQ39" s="643"/>
      <c r="CR39" s="643"/>
      <c r="CS39" s="643"/>
      <c r="CT39" s="643"/>
      <c r="CU39" s="643"/>
      <c r="CV39" s="643"/>
      <c r="CW39" s="643"/>
      <c r="CX39" s="643"/>
      <c r="CY39" s="643"/>
      <c r="CZ39" s="643"/>
      <c r="DA39" s="643"/>
      <c r="DB39" s="643"/>
      <c r="DC39" s="643"/>
      <c r="DD39" s="643"/>
      <c r="DE39" s="643"/>
      <c r="DF39" s="643"/>
      <c r="DG39" s="643"/>
      <c r="DH39" s="643"/>
      <c r="DI39" s="643"/>
      <c r="DJ39" s="643"/>
      <c r="DK39" s="643"/>
      <c r="DL39" s="643"/>
      <c r="DM39" s="643"/>
      <c r="DN39" s="643"/>
      <c r="DO39" s="643"/>
      <c r="DP39" s="643"/>
      <c r="DQ39" s="643"/>
      <c r="DR39" s="643"/>
      <c r="DS39" s="643"/>
      <c r="DT39" s="643"/>
      <c r="DU39" s="643"/>
      <c r="DV39" s="643"/>
      <c r="DW39" s="643"/>
      <c r="DX39" s="643"/>
      <c r="DY39" s="643"/>
      <c r="DZ39" s="643"/>
      <c r="EA39" s="643"/>
      <c r="EB39" s="643"/>
      <c r="EC39" s="643"/>
      <c r="ED39" s="643"/>
    </row>
    <row r="40" spans="1:134" s="644" customFormat="1" ht="15" x14ac:dyDescent="0.25">
      <c r="A40" s="726"/>
      <c r="B40" s="690"/>
      <c r="C40" s="720"/>
      <c r="D40" s="717"/>
      <c r="E40" s="720"/>
      <c r="F40" s="723"/>
      <c r="G40" s="723"/>
      <c r="H40" s="726"/>
      <c r="I40" s="723"/>
      <c r="J40" s="723"/>
      <c r="K40" s="723"/>
      <c r="L40" s="723"/>
      <c r="M40" s="723"/>
      <c r="N40" s="723"/>
      <c r="O40" s="723"/>
      <c r="P40" s="726"/>
      <c r="Q40" s="746"/>
      <c r="R40" s="748"/>
      <c r="S40" s="652" t="s">
        <v>1727</v>
      </c>
      <c r="T40" s="653" t="s">
        <v>1747</v>
      </c>
      <c r="U40" s="654" t="s">
        <v>1706</v>
      </c>
      <c r="V40" s="655">
        <v>29883515</v>
      </c>
      <c r="W40" s="627"/>
      <c r="X40" s="617">
        <v>1117</v>
      </c>
      <c r="Y40" s="640">
        <v>44799</v>
      </c>
      <c r="Z40" s="655">
        <v>29883515</v>
      </c>
      <c r="AA40" s="617">
        <v>5012</v>
      </c>
      <c r="AB40" s="640" t="s">
        <v>2826</v>
      </c>
      <c r="AC40" s="642">
        <v>29883515</v>
      </c>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3"/>
      <c r="BG40" s="643"/>
      <c r="BH40" s="643"/>
      <c r="BI40" s="643"/>
      <c r="BJ40" s="643"/>
      <c r="BK40" s="643"/>
      <c r="BL40" s="643"/>
      <c r="BM40" s="643"/>
      <c r="BN40" s="643"/>
      <c r="BO40" s="643"/>
      <c r="BP40" s="643"/>
      <c r="BQ40" s="643"/>
      <c r="BR40" s="643"/>
      <c r="BS40" s="643"/>
      <c r="BT40" s="643"/>
      <c r="BU40" s="643"/>
      <c r="BV40" s="643"/>
      <c r="BW40" s="643"/>
      <c r="BX40" s="643"/>
      <c r="BY40" s="643"/>
      <c r="BZ40" s="643"/>
      <c r="CA40" s="643"/>
      <c r="CB40" s="643"/>
      <c r="CC40" s="643"/>
      <c r="CD40" s="643"/>
      <c r="CE40" s="643"/>
      <c r="CF40" s="643"/>
      <c r="CG40" s="643"/>
      <c r="CH40" s="643"/>
      <c r="CI40" s="643"/>
      <c r="CJ40" s="643"/>
      <c r="CK40" s="643"/>
      <c r="CL40" s="643"/>
      <c r="CM40" s="643"/>
      <c r="CN40" s="643"/>
      <c r="CO40" s="643"/>
      <c r="CP40" s="643"/>
      <c r="CQ40" s="643"/>
      <c r="CR40" s="643"/>
      <c r="CS40" s="643"/>
      <c r="CT40" s="643"/>
      <c r="CU40" s="643"/>
      <c r="CV40" s="643"/>
      <c r="CW40" s="643"/>
      <c r="CX40" s="643"/>
      <c r="CY40" s="643"/>
      <c r="CZ40" s="643"/>
      <c r="DA40" s="643"/>
      <c r="DB40" s="643"/>
      <c r="DC40" s="643"/>
      <c r="DD40" s="643"/>
      <c r="DE40" s="643"/>
      <c r="DF40" s="643"/>
      <c r="DG40" s="643"/>
      <c r="DH40" s="643"/>
      <c r="DI40" s="643"/>
      <c r="DJ40" s="643"/>
      <c r="DK40" s="643"/>
      <c r="DL40" s="643"/>
      <c r="DM40" s="643"/>
      <c r="DN40" s="643"/>
      <c r="DO40" s="643"/>
      <c r="DP40" s="643"/>
      <c r="DQ40" s="643"/>
      <c r="DR40" s="643"/>
      <c r="DS40" s="643"/>
      <c r="DT40" s="643"/>
      <c r="DU40" s="643"/>
      <c r="DV40" s="643"/>
      <c r="DW40" s="643"/>
      <c r="DX40" s="643"/>
      <c r="DY40" s="643"/>
      <c r="DZ40" s="643"/>
      <c r="EA40" s="643"/>
      <c r="EB40" s="643"/>
      <c r="EC40" s="643"/>
      <c r="ED40" s="643"/>
    </row>
    <row r="41" spans="1:134" s="644" customFormat="1" ht="15" x14ac:dyDescent="0.25">
      <c r="A41" s="726"/>
      <c r="B41" s="690"/>
      <c r="C41" s="720"/>
      <c r="D41" s="717"/>
      <c r="E41" s="720"/>
      <c r="F41" s="723"/>
      <c r="G41" s="723"/>
      <c r="H41" s="726"/>
      <c r="I41" s="723"/>
      <c r="J41" s="723"/>
      <c r="K41" s="723"/>
      <c r="L41" s="723"/>
      <c r="M41" s="723"/>
      <c r="N41" s="723"/>
      <c r="O41" s="723"/>
      <c r="P41" s="726"/>
      <c r="Q41" s="746"/>
      <c r="R41" s="748"/>
      <c r="S41" s="652" t="s">
        <v>1728</v>
      </c>
      <c r="T41" s="653" t="s">
        <v>1748</v>
      </c>
      <c r="U41" s="654" t="s">
        <v>1707</v>
      </c>
      <c r="V41" s="655">
        <v>78775000</v>
      </c>
      <c r="W41" s="627"/>
      <c r="X41" s="617">
        <v>1147</v>
      </c>
      <c r="Y41" s="640">
        <v>44806</v>
      </c>
      <c r="Z41" s="655">
        <v>78775000</v>
      </c>
      <c r="AA41" s="617">
        <v>5427</v>
      </c>
      <c r="AB41" s="640" t="s">
        <v>2810</v>
      </c>
      <c r="AC41" s="642">
        <v>78775000</v>
      </c>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c r="BA41" s="643"/>
      <c r="BB41" s="643"/>
      <c r="BC41" s="643"/>
      <c r="BD41" s="643"/>
      <c r="BE41" s="643"/>
      <c r="BF41" s="643"/>
      <c r="BG41" s="643"/>
      <c r="BH41" s="643"/>
      <c r="BI41" s="643"/>
      <c r="BJ41" s="643"/>
      <c r="BK41" s="643"/>
      <c r="BL41" s="643"/>
      <c r="BM41" s="643"/>
      <c r="BN41" s="643"/>
      <c r="BO41" s="643"/>
      <c r="BP41" s="643"/>
      <c r="BQ41" s="643"/>
      <c r="BR41" s="643"/>
      <c r="BS41" s="643"/>
      <c r="BT41" s="643"/>
      <c r="BU41" s="643"/>
      <c r="BV41" s="643"/>
      <c r="BW41" s="643"/>
      <c r="BX41" s="643"/>
      <c r="BY41" s="643"/>
      <c r="BZ41" s="643"/>
      <c r="CA41" s="643"/>
      <c r="CB41" s="643"/>
      <c r="CC41" s="643"/>
      <c r="CD41" s="643"/>
      <c r="CE41" s="643"/>
      <c r="CF41" s="643"/>
      <c r="CG41" s="643"/>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3"/>
      <c r="DH41" s="643"/>
      <c r="DI41" s="643"/>
      <c r="DJ41" s="643"/>
      <c r="DK41" s="643"/>
      <c r="DL41" s="643"/>
      <c r="DM41" s="643"/>
      <c r="DN41" s="643"/>
      <c r="DO41" s="643"/>
      <c r="DP41" s="643"/>
      <c r="DQ41" s="643"/>
      <c r="DR41" s="643"/>
      <c r="DS41" s="643"/>
      <c r="DT41" s="643"/>
      <c r="DU41" s="643"/>
      <c r="DV41" s="643"/>
      <c r="DW41" s="643"/>
      <c r="DX41" s="643"/>
      <c r="DY41" s="643"/>
      <c r="DZ41" s="643"/>
      <c r="EA41" s="643"/>
      <c r="EB41" s="643"/>
      <c r="EC41" s="643"/>
      <c r="ED41" s="643"/>
    </row>
    <row r="42" spans="1:134" s="644" customFormat="1" ht="15" x14ac:dyDescent="0.25">
      <c r="A42" s="726"/>
      <c r="B42" s="690"/>
      <c r="C42" s="720"/>
      <c r="D42" s="717"/>
      <c r="E42" s="720"/>
      <c r="F42" s="723"/>
      <c r="G42" s="723"/>
      <c r="H42" s="726"/>
      <c r="I42" s="723"/>
      <c r="J42" s="723"/>
      <c r="K42" s="723"/>
      <c r="L42" s="723"/>
      <c r="M42" s="723"/>
      <c r="N42" s="723"/>
      <c r="O42" s="723"/>
      <c r="P42" s="726"/>
      <c r="Q42" s="746"/>
      <c r="R42" s="748"/>
      <c r="S42" s="652" t="s">
        <v>1729</v>
      </c>
      <c r="T42" s="653" t="s">
        <v>1749</v>
      </c>
      <c r="U42" s="654" t="s">
        <v>1708</v>
      </c>
      <c r="V42" s="655">
        <v>24927778</v>
      </c>
      <c r="W42" s="627"/>
      <c r="X42" s="617">
        <v>1145</v>
      </c>
      <c r="Y42" s="640">
        <v>44806</v>
      </c>
      <c r="Z42" s="655">
        <v>24927778</v>
      </c>
      <c r="AA42" s="617">
        <v>5249</v>
      </c>
      <c r="AB42" s="640" t="s">
        <v>2812</v>
      </c>
      <c r="AC42" s="642">
        <v>24927778</v>
      </c>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3"/>
      <c r="CE42" s="643"/>
      <c r="CF42" s="643"/>
      <c r="CG42" s="643"/>
      <c r="CH42" s="643"/>
      <c r="CI42" s="643"/>
      <c r="CJ42" s="643"/>
      <c r="CK42" s="643"/>
      <c r="CL42" s="643"/>
      <c r="CM42" s="643"/>
      <c r="CN42" s="643"/>
      <c r="CO42" s="643"/>
      <c r="CP42" s="643"/>
      <c r="CQ42" s="643"/>
      <c r="CR42" s="643"/>
      <c r="CS42" s="643"/>
      <c r="CT42" s="643"/>
      <c r="CU42" s="643"/>
      <c r="CV42" s="643"/>
      <c r="CW42" s="643"/>
      <c r="CX42" s="643"/>
      <c r="CY42" s="643"/>
      <c r="CZ42" s="643"/>
      <c r="DA42" s="643"/>
      <c r="DB42" s="643"/>
      <c r="DC42" s="643"/>
      <c r="DD42" s="643"/>
      <c r="DE42" s="643"/>
      <c r="DF42" s="643"/>
      <c r="DG42" s="643"/>
      <c r="DH42" s="643"/>
      <c r="DI42" s="643"/>
      <c r="DJ42" s="643"/>
      <c r="DK42" s="643"/>
      <c r="DL42" s="643"/>
      <c r="DM42" s="643"/>
      <c r="DN42" s="643"/>
      <c r="DO42" s="643"/>
      <c r="DP42" s="643"/>
      <c r="DQ42" s="643"/>
      <c r="DR42" s="643"/>
      <c r="DS42" s="643"/>
      <c r="DT42" s="643"/>
      <c r="DU42" s="643"/>
      <c r="DV42" s="643"/>
      <c r="DW42" s="643"/>
      <c r="DX42" s="643"/>
      <c r="DY42" s="643"/>
      <c r="DZ42" s="643"/>
      <c r="EA42" s="643"/>
      <c r="EB42" s="643"/>
      <c r="EC42" s="643"/>
      <c r="ED42" s="643"/>
    </row>
    <row r="43" spans="1:134" s="644" customFormat="1" ht="15" x14ac:dyDescent="0.25">
      <c r="A43" s="726"/>
      <c r="B43" s="690"/>
      <c r="C43" s="720"/>
      <c r="D43" s="717"/>
      <c r="E43" s="720"/>
      <c r="F43" s="723"/>
      <c r="G43" s="723"/>
      <c r="H43" s="726"/>
      <c r="I43" s="723"/>
      <c r="J43" s="723"/>
      <c r="K43" s="723"/>
      <c r="L43" s="723"/>
      <c r="M43" s="723"/>
      <c r="N43" s="723"/>
      <c r="O43" s="723"/>
      <c r="P43" s="726"/>
      <c r="Q43" s="746"/>
      <c r="R43" s="748"/>
      <c r="S43" s="652" t="s">
        <v>1730</v>
      </c>
      <c r="T43" s="653" t="s">
        <v>1750</v>
      </c>
      <c r="U43" s="654" t="s">
        <v>1709</v>
      </c>
      <c r="V43" s="655">
        <v>28798000</v>
      </c>
      <c r="W43" s="627"/>
      <c r="X43" s="617">
        <v>1274</v>
      </c>
      <c r="Y43" s="640" t="s">
        <v>2769</v>
      </c>
      <c r="Z43" s="655">
        <v>28798000</v>
      </c>
      <c r="AA43" s="617">
        <v>5961</v>
      </c>
      <c r="AB43" s="640" t="s">
        <v>2829</v>
      </c>
      <c r="AC43" s="642">
        <v>28798000</v>
      </c>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643"/>
      <c r="BG43" s="643"/>
      <c r="BH43" s="643"/>
      <c r="BI43" s="643"/>
      <c r="BJ43" s="643"/>
      <c r="BK43" s="643"/>
      <c r="BL43" s="643"/>
      <c r="BM43" s="643"/>
      <c r="BN43" s="643"/>
      <c r="BO43" s="643"/>
      <c r="BP43" s="643"/>
      <c r="BQ43" s="643"/>
      <c r="BR43" s="643"/>
      <c r="BS43" s="643"/>
      <c r="BT43" s="643"/>
      <c r="BU43" s="643"/>
      <c r="BV43" s="643"/>
      <c r="BW43" s="643"/>
      <c r="BX43" s="643"/>
      <c r="BY43" s="643"/>
      <c r="BZ43" s="643"/>
      <c r="CA43" s="643"/>
      <c r="CB43" s="643"/>
      <c r="CC43" s="643"/>
      <c r="CD43" s="643"/>
      <c r="CE43" s="643"/>
      <c r="CF43" s="643"/>
      <c r="CG43" s="643"/>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c r="DD43" s="643"/>
      <c r="DE43" s="643"/>
      <c r="DF43" s="643"/>
      <c r="DG43" s="643"/>
      <c r="DH43" s="643"/>
      <c r="DI43" s="643"/>
      <c r="DJ43" s="643"/>
      <c r="DK43" s="643"/>
      <c r="DL43" s="643"/>
      <c r="DM43" s="643"/>
      <c r="DN43" s="643"/>
      <c r="DO43" s="643"/>
      <c r="DP43" s="643"/>
      <c r="DQ43" s="643"/>
      <c r="DR43" s="643"/>
      <c r="DS43" s="643"/>
      <c r="DT43" s="643"/>
      <c r="DU43" s="643"/>
      <c r="DV43" s="643"/>
      <c r="DW43" s="643"/>
      <c r="DX43" s="643"/>
      <c r="DY43" s="643"/>
      <c r="DZ43" s="643"/>
      <c r="EA43" s="643"/>
      <c r="EB43" s="643"/>
      <c r="EC43" s="643"/>
      <c r="ED43" s="643"/>
    </row>
    <row r="44" spans="1:134" s="644" customFormat="1" ht="15" x14ac:dyDescent="0.25">
      <c r="A44" s="726"/>
      <c r="B44" s="690"/>
      <c r="C44" s="720"/>
      <c r="D44" s="717"/>
      <c r="E44" s="720"/>
      <c r="F44" s="723"/>
      <c r="G44" s="723"/>
      <c r="H44" s="726"/>
      <c r="I44" s="723"/>
      <c r="J44" s="723"/>
      <c r="K44" s="723"/>
      <c r="L44" s="723"/>
      <c r="M44" s="723"/>
      <c r="N44" s="723"/>
      <c r="O44" s="723"/>
      <c r="P44" s="726"/>
      <c r="Q44" s="746"/>
      <c r="R44" s="748"/>
      <c r="S44" s="652" t="s">
        <v>1731</v>
      </c>
      <c r="T44" s="653" t="s">
        <v>1751</v>
      </c>
      <c r="U44" s="654" t="s">
        <v>1710</v>
      </c>
      <c r="V44" s="655">
        <v>25390911</v>
      </c>
      <c r="W44" s="627"/>
      <c r="X44" s="617">
        <v>1189</v>
      </c>
      <c r="Y44" s="640">
        <v>44826</v>
      </c>
      <c r="Z44" s="655">
        <v>25390911</v>
      </c>
      <c r="AA44" s="617">
        <v>5558</v>
      </c>
      <c r="AB44" s="640" t="s">
        <v>2802</v>
      </c>
      <c r="AC44" s="642">
        <v>25390911</v>
      </c>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643"/>
      <c r="BG44" s="643"/>
      <c r="BH44" s="643"/>
      <c r="BI44" s="643"/>
      <c r="BJ44" s="643"/>
      <c r="BK44" s="643"/>
      <c r="BL44" s="643"/>
      <c r="BM44" s="643"/>
      <c r="BN44" s="643"/>
      <c r="BO44" s="643"/>
      <c r="BP44" s="643"/>
      <c r="BQ44" s="643"/>
      <c r="BR44" s="643"/>
      <c r="BS44" s="643"/>
      <c r="BT44" s="643"/>
      <c r="BU44" s="643"/>
      <c r="BV44" s="643"/>
      <c r="BW44" s="643"/>
      <c r="BX44" s="643"/>
      <c r="BY44" s="643"/>
      <c r="BZ44" s="643"/>
      <c r="CA44" s="643"/>
      <c r="CB44" s="643"/>
      <c r="CC44" s="643"/>
      <c r="CD44" s="643"/>
      <c r="CE44" s="643"/>
      <c r="CF44" s="643"/>
      <c r="CG44" s="643"/>
      <c r="CH44" s="643"/>
      <c r="CI44" s="643"/>
      <c r="CJ44" s="643"/>
      <c r="CK44" s="643"/>
      <c r="CL44" s="643"/>
      <c r="CM44" s="643"/>
      <c r="CN44" s="643"/>
      <c r="CO44" s="643"/>
      <c r="CP44" s="643"/>
      <c r="CQ44" s="643"/>
      <c r="CR44" s="643"/>
      <c r="CS44" s="643"/>
      <c r="CT44" s="643"/>
      <c r="CU44" s="643"/>
      <c r="CV44" s="643"/>
      <c r="CW44" s="643"/>
      <c r="CX44" s="643"/>
      <c r="CY44" s="643"/>
      <c r="CZ44" s="643"/>
      <c r="DA44" s="643"/>
      <c r="DB44" s="643"/>
      <c r="DC44" s="643"/>
      <c r="DD44" s="643"/>
      <c r="DE44" s="643"/>
      <c r="DF44" s="643"/>
      <c r="DG44" s="643"/>
      <c r="DH44" s="643"/>
      <c r="DI44" s="643"/>
      <c r="DJ44" s="643"/>
      <c r="DK44" s="643"/>
      <c r="DL44" s="643"/>
      <c r="DM44" s="643"/>
      <c r="DN44" s="643"/>
      <c r="DO44" s="643"/>
      <c r="DP44" s="643"/>
      <c r="DQ44" s="643"/>
      <c r="DR44" s="643"/>
      <c r="DS44" s="643"/>
      <c r="DT44" s="643"/>
      <c r="DU44" s="643"/>
      <c r="DV44" s="643"/>
      <c r="DW44" s="643"/>
      <c r="DX44" s="643"/>
      <c r="DY44" s="643"/>
      <c r="DZ44" s="643"/>
      <c r="EA44" s="643"/>
      <c r="EB44" s="643"/>
      <c r="EC44" s="643"/>
      <c r="ED44" s="643"/>
    </row>
    <row r="45" spans="1:134" s="644" customFormat="1" ht="15" x14ac:dyDescent="0.25">
      <c r="A45" s="726"/>
      <c r="B45" s="690"/>
      <c r="C45" s="720"/>
      <c r="D45" s="718"/>
      <c r="E45" s="721"/>
      <c r="F45" s="724"/>
      <c r="G45" s="724"/>
      <c r="H45" s="727"/>
      <c r="I45" s="724"/>
      <c r="J45" s="724"/>
      <c r="K45" s="724"/>
      <c r="L45" s="724"/>
      <c r="M45" s="724"/>
      <c r="N45" s="724"/>
      <c r="O45" s="724"/>
      <c r="P45" s="727"/>
      <c r="Q45" s="747"/>
      <c r="R45" s="748"/>
      <c r="S45" s="652" t="s">
        <v>1732</v>
      </c>
      <c r="T45" s="653" t="s">
        <v>1752</v>
      </c>
      <c r="U45" s="654" t="s">
        <v>1711</v>
      </c>
      <c r="V45" s="655">
        <v>10919997</v>
      </c>
      <c r="W45" s="627"/>
      <c r="X45" s="617">
        <v>1228</v>
      </c>
      <c r="Y45" s="640">
        <v>44830</v>
      </c>
      <c r="Z45" s="655">
        <v>10919997</v>
      </c>
      <c r="AA45" s="617">
        <v>5883</v>
      </c>
      <c r="AB45" s="640" t="s">
        <v>2806</v>
      </c>
      <c r="AC45" s="642">
        <v>10919997</v>
      </c>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643"/>
      <c r="BG45" s="643"/>
      <c r="BH45" s="643"/>
      <c r="BI45" s="643"/>
      <c r="BJ45" s="643"/>
      <c r="BK45" s="643"/>
      <c r="BL45" s="643"/>
      <c r="BM45" s="643"/>
      <c r="BN45" s="643"/>
      <c r="BO45" s="643"/>
      <c r="BP45" s="643"/>
      <c r="BQ45" s="643"/>
      <c r="BR45" s="643"/>
      <c r="BS45" s="643"/>
      <c r="BT45" s="643"/>
      <c r="BU45" s="643"/>
      <c r="BV45" s="643"/>
      <c r="BW45" s="643"/>
      <c r="BX45" s="643"/>
      <c r="BY45" s="643"/>
      <c r="BZ45" s="643"/>
      <c r="CA45" s="643"/>
      <c r="CB45" s="643"/>
      <c r="CC45" s="643"/>
      <c r="CD45" s="643"/>
      <c r="CE45" s="643"/>
      <c r="CF45" s="643"/>
      <c r="CG45" s="643"/>
      <c r="CH45" s="643"/>
      <c r="CI45" s="643"/>
      <c r="CJ45" s="643"/>
      <c r="CK45" s="643"/>
      <c r="CL45" s="643"/>
      <c r="CM45" s="643"/>
      <c r="CN45" s="643"/>
      <c r="CO45" s="643"/>
      <c r="CP45" s="643"/>
      <c r="CQ45" s="643"/>
      <c r="CR45" s="643"/>
      <c r="CS45" s="643"/>
      <c r="CT45" s="643"/>
      <c r="CU45" s="643"/>
      <c r="CV45" s="643"/>
      <c r="CW45" s="643"/>
      <c r="CX45" s="643"/>
      <c r="CY45" s="643"/>
      <c r="CZ45" s="643"/>
      <c r="DA45" s="643"/>
      <c r="DB45" s="643"/>
      <c r="DC45" s="643"/>
      <c r="DD45" s="643"/>
      <c r="DE45" s="643"/>
      <c r="DF45" s="643"/>
      <c r="DG45" s="643"/>
      <c r="DH45" s="643"/>
      <c r="DI45" s="643"/>
      <c r="DJ45" s="643"/>
      <c r="DK45" s="643"/>
      <c r="DL45" s="643"/>
      <c r="DM45" s="643"/>
      <c r="DN45" s="643"/>
      <c r="DO45" s="643"/>
      <c r="DP45" s="643"/>
      <c r="DQ45" s="643"/>
      <c r="DR45" s="643"/>
      <c r="DS45" s="643"/>
      <c r="DT45" s="643"/>
      <c r="DU45" s="643"/>
      <c r="DV45" s="643"/>
      <c r="DW45" s="643"/>
      <c r="DX45" s="643"/>
      <c r="DY45" s="643"/>
      <c r="DZ45" s="643"/>
      <c r="EA45" s="643"/>
      <c r="EB45" s="643"/>
      <c r="EC45" s="643"/>
      <c r="ED45" s="643"/>
    </row>
    <row r="46" spans="1:134" s="50" customFormat="1" ht="15" x14ac:dyDescent="0.25">
      <c r="A46" s="409"/>
      <c r="B46" s="690"/>
      <c r="C46" s="414"/>
      <c r="D46" s="420"/>
      <c r="E46" s="415"/>
      <c r="F46" s="423"/>
      <c r="G46" s="418"/>
      <c r="H46" s="410"/>
      <c r="I46" s="287"/>
      <c r="J46" s="287"/>
      <c r="K46" s="233"/>
      <c r="L46" s="287"/>
      <c r="M46" s="287"/>
      <c r="N46" s="287"/>
      <c r="O46" s="410"/>
      <c r="P46" s="410"/>
      <c r="Q46" s="427"/>
      <c r="R46" s="428"/>
      <c r="S46" s="348" t="s">
        <v>2215</v>
      </c>
      <c r="T46" s="456" t="s">
        <v>2207</v>
      </c>
      <c r="U46" s="346" t="s">
        <v>2208</v>
      </c>
      <c r="V46" s="380">
        <v>70000000</v>
      </c>
      <c r="W46" s="46"/>
      <c r="X46" s="330">
        <v>1275</v>
      </c>
      <c r="Y46" s="79" t="s">
        <v>2769</v>
      </c>
      <c r="Z46" s="380">
        <v>70000000</v>
      </c>
      <c r="AA46" s="330">
        <v>5719</v>
      </c>
      <c r="AB46" s="79" t="s">
        <v>2777</v>
      </c>
      <c r="AC46" s="570">
        <v>70000000</v>
      </c>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row>
    <row r="47" spans="1:134" s="50" customFormat="1" ht="15" x14ac:dyDescent="0.25">
      <c r="A47" s="409"/>
      <c r="B47" s="690"/>
      <c r="C47" s="414"/>
      <c r="D47" s="420"/>
      <c r="E47" s="415"/>
      <c r="F47" s="423"/>
      <c r="G47" s="418"/>
      <c r="H47" s="410"/>
      <c r="I47" s="287"/>
      <c r="J47" s="287"/>
      <c r="K47" s="233"/>
      <c r="L47" s="287"/>
      <c r="M47" s="287"/>
      <c r="N47" s="287"/>
      <c r="O47" s="410"/>
      <c r="P47" s="410"/>
      <c r="Q47" s="427"/>
      <c r="R47" s="428"/>
      <c r="S47" s="348" t="s">
        <v>2216</v>
      </c>
      <c r="T47" s="456" t="s">
        <v>2209</v>
      </c>
      <c r="U47" s="346" t="s">
        <v>2210</v>
      </c>
      <c r="V47" s="380">
        <v>130115314</v>
      </c>
      <c r="W47" s="46"/>
      <c r="X47" s="330">
        <v>1370</v>
      </c>
      <c r="Y47" s="79" t="s">
        <v>2770</v>
      </c>
      <c r="Z47" s="380">
        <v>130115314</v>
      </c>
      <c r="AA47" s="330">
        <v>6249</v>
      </c>
      <c r="AB47" s="79" t="s">
        <v>2832</v>
      </c>
      <c r="AC47" s="570">
        <v>130115314</v>
      </c>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row>
    <row r="48" spans="1:134" s="50" customFormat="1" ht="15" x14ac:dyDescent="0.25">
      <c r="A48" s="409"/>
      <c r="B48" s="690"/>
      <c r="C48" s="414"/>
      <c r="D48" s="420"/>
      <c r="E48" s="415"/>
      <c r="F48" s="423"/>
      <c r="G48" s="418"/>
      <c r="H48" s="410"/>
      <c r="I48" s="287"/>
      <c r="J48" s="287"/>
      <c r="K48" s="233"/>
      <c r="L48" s="287"/>
      <c r="M48" s="287"/>
      <c r="N48" s="287"/>
      <c r="O48" s="410"/>
      <c r="P48" s="410"/>
      <c r="Q48" s="427"/>
      <c r="R48" s="428"/>
      <c r="S48" s="348" t="s">
        <v>2217</v>
      </c>
      <c r="T48" s="456" t="s">
        <v>2211</v>
      </c>
      <c r="U48" s="346" t="s">
        <v>2212</v>
      </c>
      <c r="V48" s="380">
        <v>48069994</v>
      </c>
      <c r="W48" s="46"/>
      <c r="X48" s="330">
        <v>1388</v>
      </c>
      <c r="Y48" s="79" t="s">
        <v>2771</v>
      </c>
      <c r="Z48" s="380">
        <v>48069994</v>
      </c>
      <c r="AA48" s="330">
        <v>6247</v>
      </c>
      <c r="AB48" s="79" t="s">
        <v>2831</v>
      </c>
      <c r="AC48" s="570">
        <v>48069994</v>
      </c>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row>
    <row r="49" spans="1:134" s="50" customFormat="1" ht="15" x14ac:dyDescent="0.25">
      <c r="A49" s="409"/>
      <c r="B49" s="690"/>
      <c r="C49" s="414"/>
      <c r="D49" s="420"/>
      <c r="E49" s="415"/>
      <c r="F49" s="423"/>
      <c r="G49" s="418"/>
      <c r="H49" s="410"/>
      <c r="I49" s="287"/>
      <c r="J49" s="287"/>
      <c r="K49" s="233"/>
      <c r="L49" s="287"/>
      <c r="M49" s="287"/>
      <c r="N49" s="287"/>
      <c r="O49" s="410"/>
      <c r="P49" s="410"/>
      <c r="Q49" s="427"/>
      <c r="R49" s="428"/>
      <c r="S49" s="348" t="s">
        <v>2218</v>
      </c>
      <c r="T49" s="456" t="s">
        <v>2213</v>
      </c>
      <c r="U49" s="346" t="s">
        <v>2214</v>
      </c>
      <c r="V49" s="380">
        <v>45996951</v>
      </c>
      <c r="W49" s="46"/>
      <c r="X49" s="330">
        <v>1428</v>
      </c>
      <c r="Y49" s="79" t="s">
        <v>2772</v>
      </c>
      <c r="Z49" s="380">
        <v>45996951</v>
      </c>
      <c r="AA49" s="330">
        <v>6172</v>
      </c>
      <c r="AB49" s="79" t="s">
        <v>2830</v>
      </c>
      <c r="AC49" s="380">
        <v>45996951</v>
      </c>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row>
    <row r="50" spans="1:134" s="112" customFormat="1" ht="15" x14ac:dyDescent="0.25">
      <c r="A50" s="90"/>
      <c r="B50" s="90"/>
      <c r="C50" s="90"/>
      <c r="D50" s="92"/>
      <c r="E50" s="104"/>
      <c r="F50" s="101"/>
      <c r="G50" s="101"/>
      <c r="H50" s="92"/>
      <c r="I50" s="93"/>
      <c r="J50" s="93"/>
      <c r="K50" s="93"/>
      <c r="L50" s="93"/>
      <c r="M50" s="93"/>
      <c r="N50" s="93"/>
      <c r="O50" s="92"/>
      <c r="P50" s="92"/>
      <c r="Q50" s="102">
        <f>SUM(Q19)</f>
        <v>1210971213</v>
      </c>
      <c r="R50" s="94"/>
      <c r="S50" s="105"/>
      <c r="T50" s="86"/>
      <c r="U50" s="95"/>
      <c r="V50" s="103">
        <f>SUM(V19:V49)</f>
        <v>1177908425</v>
      </c>
      <c r="W50" s="89"/>
      <c r="X50" s="86"/>
      <c r="Y50" s="95"/>
      <c r="Z50" s="88">
        <f>SUM(Z19:Z49)</f>
        <v>1177908425</v>
      </c>
      <c r="AA50" s="86"/>
      <c r="AB50" s="95"/>
      <c r="AC50" s="103">
        <f>SUM(AC19:AC49)</f>
        <v>1177908425</v>
      </c>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row>
    <row r="51" spans="1:134" s="143" customFormat="1" ht="67.5" x14ac:dyDescent="0.25">
      <c r="A51" s="148" t="s">
        <v>946</v>
      </c>
      <c r="B51" s="526" t="s">
        <v>882</v>
      </c>
      <c r="C51" s="151" t="s">
        <v>72</v>
      </c>
      <c r="D51" s="138" t="s">
        <v>883</v>
      </c>
      <c r="E51" s="145" t="s">
        <v>244</v>
      </c>
      <c r="F51" s="139">
        <v>0</v>
      </c>
      <c r="G51" s="139">
        <v>0</v>
      </c>
      <c r="H51" s="288">
        <v>611644116</v>
      </c>
      <c r="I51" s="140"/>
      <c r="J51" s="140"/>
      <c r="K51" s="140"/>
      <c r="L51" s="140"/>
      <c r="M51" s="140"/>
      <c r="N51" s="140"/>
      <c r="O51" s="138"/>
      <c r="P51" s="138"/>
      <c r="Q51" s="611">
        <f>+F51+G51+H51+I51+J51+K51+L51+O51-P51</f>
        <v>611644116</v>
      </c>
      <c r="R51" s="149">
        <f>+Q52</f>
        <v>611644116</v>
      </c>
      <c r="S51" s="252" t="s">
        <v>1301</v>
      </c>
      <c r="T51" s="454" t="s">
        <v>1302</v>
      </c>
      <c r="U51" s="150">
        <v>44685</v>
      </c>
      <c r="V51" s="275">
        <v>609882252.48000002</v>
      </c>
      <c r="W51" s="141"/>
      <c r="X51" s="148">
        <v>597</v>
      </c>
      <c r="Y51" s="150">
        <v>44691</v>
      </c>
      <c r="Z51" s="275">
        <v>609882252.48000002</v>
      </c>
      <c r="AA51" s="148">
        <v>3705</v>
      </c>
      <c r="AB51" s="150" t="s">
        <v>2835</v>
      </c>
      <c r="AC51" s="149">
        <v>609882252.48000002</v>
      </c>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row>
    <row r="52" spans="1:134" s="112" customFormat="1" ht="15" x14ac:dyDescent="0.25">
      <c r="A52" s="86"/>
      <c r="B52" s="86"/>
      <c r="C52" s="86"/>
      <c r="D52" s="86"/>
      <c r="E52" s="86"/>
      <c r="F52" s="86"/>
      <c r="G52" s="86"/>
      <c r="H52" s="86"/>
      <c r="I52" s="87"/>
      <c r="J52" s="87"/>
      <c r="K52" s="87"/>
      <c r="L52" s="87"/>
      <c r="M52" s="87"/>
      <c r="N52" s="87"/>
      <c r="O52" s="86"/>
      <c r="P52" s="86"/>
      <c r="Q52" s="88">
        <f>+Q51</f>
        <v>611644116</v>
      </c>
      <c r="R52" s="86"/>
      <c r="S52" s="86"/>
      <c r="T52" s="86"/>
      <c r="U52" s="86"/>
      <c r="V52" s="103">
        <f>SUM(V51)</f>
        <v>609882252.48000002</v>
      </c>
      <c r="W52" s="89"/>
      <c r="X52" s="86"/>
      <c r="Y52" s="95"/>
      <c r="Z52" s="103">
        <f>SUM(Z51)</f>
        <v>609882252.48000002</v>
      </c>
      <c r="AA52" s="86"/>
      <c r="AB52" s="95"/>
      <c r="AC52" s="103">
        <f>SUM(AC51)</f>
        <v>609882252.48000002</v>
      </c>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c r="EA52" s="111"/>
      <c r="EB52" s="111"/>
      <c r="EC52" s="111"/>
      <c r="ED52" s="111"/>
    </row>
    <row r="53" spans="1:134" s="50" customFormat="1" ht="15" x14ac:dyDescent="0.25">
      <c r="A53" s="692" t="s">
        <v>1052</v>
      </c>
      <c r="B53" s="689" t="s">
        <v>243</v>
      </c>
      <c r="C53" s="689" t="s">
        <v>72</v>
      </c>
      <c r="D53" s="692" t="s">
        <v>801</v>
      </c>
      <c r="E53" s="689" t="s">
        <v>244</v>
      </c>
      <c r="F53" s="728">
        <v>0</v>
      </c>
      <c r="G53" s="710">
        <v>45170000</v>
      </c>
      <c r="H53" s="692"/>
      <c r="I53" s="692"/>
      <c r="J53" s="692"/>
      <c r="K53" s="692"/>
      <c r="L53" s="692"/>
      <c r="M53" s="692"/>
      <c r="N53" s="692"/>
      <c r="O53" s="692"/>
      <c r="P53" s="728">
        <f>6711879+22357000</f>
        <v>29068879</v>
      </c>
      <c r="Q53" s="739">
        <f t="shared" ref="Q53:Q133" si="0">+F53+G53+H53+I53+J53+K53+L53+O53-P53</f>
        <v>16101121</v>
      </c>
      <c r="R53" s="713">
        <f>+Q68</f>
        <v>1100000000</v>
      </c>
      <c r="S53" s="351" t="s">
        <v>1303</v>
      </c>
      <c r="T53" s="354" t="s">
        <v>885</v>
      </c>
      <c r="U53" s="246">
        <v>44691</v>
      </c>
      <c r="V53" s="544">
        <v>0</v>
      </c>
      <c r="W53" s="46"/>
      <c r="X53" s="44"/>
      <c r="Y53" s="79"/>
      <c r="Z53" s="274"/>
      <c r="AA53" s="44"/>
      <c r="AB53" s="79"/>
      <c r="AC53" s="44"/>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row>
    <row r="54" spans="1:134" s="50" customFormat="1" ht="27" x14ac:dyDescent="0.25">
      <c r="A54" s="693"/>
      <c r="B54" s="690"/>
      <c r="C54" s="690"/>
      <c r="D54" s="694"/>
      <c r="E54" s="691"/>
      <c r="F54" s="729"/>
      <c r="G54" s="712"/>
      <c r="H54" s="694"/>
      <c r="I54" s="694"/>
      <c r="J54" s="694"/>
      <c r="K54" s="694"/>
      <c r="L54" s="694"/>
      <c r="M54" s="694"/>
      <c r="N54" s="694"/>
      <c r="O54" s="694"/>
      <c r="P54" s="729"/>
      <c r="Q54" s="741"/>
      <c r="R54" s="714"/>
      <c r="S54" s="78" t="s">
        <v>1786</v>
      </c>
      <c r="T54" s="456">
        <v>658</v>
      </c>
      <c r="U54" s="273" t="s">
        <v>1789</v>
      </c>
      <c r="V54" s="274">
        <v>16101121</v>
      </c>
      <c r="W54" s="46"/>
      <c r="X54" s="330">
        <v>1276</v>
      </c>
      <c r="Y54" s="79" t="s">
        <v>2769</v>
      </c>
      <c r="Z54" s="274">
        <v>16101121</v>
      </c>
      <c r="AA54" s="330">
        <v>6311</v>
      </c>
      <c r="AB54" s="79" t="s">
        <v>2832</v>
      </c>
      <c r="AC54" s="274">
        <v>16101121</v>
      </c>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row>
    <row r="55" spans="1:134" s="50" customFormat="1" ht="15" x14ac:dyDescent="0.25">
      <c r="A55" s="693"/>
      <c r="B55" s="690"/>
      <c r="C55" s="690"/>
      <c r="D55" s="692" t="s">
        <v>802</v>
      </c>
      <c r="E55" s="689" t="s">
        <v>245</v>
      </c>
      <c r="F55" s="728">
        <v>0</v>
      </c>
      <c r="G55" s="710">
        <v>21846814</v>
      </c>
      <c r="H55" s="692"/>
      <c r="I55" s="692"/>
      <c r="J55" s="692"/>
      <c r="K55" s="692"/>
      <c r="L55" s="692"/>
      <c r="M55" s="692"/>
      <c r="N55" s="692"/>
      <c r="O55" s="692"/>
      <c r="P55" s="692"/>
      <c r="Q55" s="739">
        <f t="shared" si="0"/>
        <v>21846814</v>
      </c>
      <c r="R55" s="714"/>
      <c r="S55" s="353" t="s">
        <v>1304</v>
      </c>
      <c r="T55" s="354" t="s">
        <v>885</v>
      </c>
      <c r="U55" s="363">
        <v>44691</v>
      </c>
      <c r="V55" s="546"/>
      <c r="W55" s="46"/>
      <c r="X55" s="44"/>
      <c r="Y55" s="79"/>
      <c r="Z55" s="274"/>
      <c r="AA55" s="44"/>
      <c r="AB55" s="79"/>
      <c r="AC55" s="44"/>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row>
    <row r="56" spans="1:134" s="50" customFormat="1" ht="15" x14ac:dyDescent="0.25">
      <c r="A56" s="693"/>
      <c r="B56" s="690"/>
      <c r="C56" s="690"/>
      <c r="D56" s="694"/>
      <c r="E56" s="691"/>
      <c r="F56" s="729"/>
      <c r="G56" s="712"/>
      <c r="H56" s="694"/>
      <c r="I56" s="694"/>
      <c r="J56" s="694"/>
      <c r="K56" s="694"/>
      <c r="L56" s="694"/>
      <c r="M56" s="694"/>
      <c r="N56" s="694"/>
      <c r="O56" s="694"/>
      <c r="P56" s="694"/>
      <c r="Q56" s="741"/>
      <c r="R56" s="714"/>
      <c r="S56" s="350" t="s">
        <v>1303</v>
      </c>
      <c r="T56" s="457">
        <v>627</v>
      </c>
      <c r="U56" s="81" t="s">
        <v>1774</v>
      </c>
      <c r="V56" s="345">
        <v>11876972</v>
      </c>
      <c r="W56" s="46"/>
      <c r="X56" s="330">
        <v>1193</v>
      </c>
      <c r="Y56" s="79">
        <v>44830</v>
      </c>
      <c r="Z56" s="345">
        <v>11876972</v>
      </c>
      <c r="AA56" s="330">
        <v>6346</v>
      </c>
      <c r="AB56" s="79" t="s">
        <v>2816</v>
      </c>
      <c r="AC56" s="432">
        <v>11876972</v>
      </c>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row>
    <row r="57" spans="1:134" s="50" customFormat="1" ht="25.5" customHeight="1" x14ac:dyDescent="0.25">
      <c r="A57" s="693"/>
      <c r="B57" s="690"/>
      <c r="C57" s="690"/>
      <c r="D57" s="692" t="s">
        <v>803</v>
      </c>
      <c r="E57" s="689" t="s">
        <v>150</v>
      </c>
      <c r="F57" s="728">
        <v>0</v>
      </c>
      <c r="G57" s="710">
        <v>603975336</v>
      </c>
      <c r="H57" s="692"/>
      <c r="I57" s="692"/>
      <c r="J57" s="692"/>
      <c r="K57" s="692"/>
      <c r="L57" s="692"/>
      <c r="M57" s="692"/>
      <c r="N57" s="692"/>
      <c r="O57" s="728">
        <v>22357000</v>
      </c>
      <c r="P57" s="692"/>
      <c r="Q57" s="739">
        <f t="shared" si="0"/>
        <v>626332336</v>
      </c>
      <c r="R57" s="714"/>
      <c r="S57" s="78" t="s">
        <v>1304</v>
      </c>
      <c r="T57" s="154" t="s">
        <v>885</v>
      </c>
      <c r="U57" s="273">
        <v>44691</v>
      </c>
      <c r="V57" s="274"/>
      <c r="W57" s="46"/>
      <c r="X57" s="44"/>
      <c r="Y57" s="79"/>
      <c r="Z57" s="274"/>
      <c r="AA57" s="44"/>
      <c r="AB57" s="79"/>
      <c r="AC57" s="44"/>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row>
    <row r="58" spans="1:134" s="50" customFormat="1" ht="15" x14ac:dyDescent="0.25">
      <c r="A58" s="693"/>
      <c r="B58" s="690"/>
      <c r="C58" s="690"/>
      <c r="D58" s="694"/>
      <c r="E58" s="691"/>
      <c r="F58" s="729"/>
      <c r="G58" s="712"/>
      <c r="H58" s="694"/>
      <c r="I58" s="694"/>
      <c r="J58" s="694"/>
      <c r="K58" s="694"/>
      <c r="L58" s="694"/>
      <c r="M58" s="694"/>
      <c r="N58" s="694"/>
      <c r="O58" s="729"/>
      <c r="P58" s="694"/>
      <c r="Q58" s="741"/>
      <c r="R58" s="714"/>
      <c r="S58" s="78" t="s">
        <v>1303</v>
      </c>
      <c r="T58" s="457">
        <v>628</v>
      </c>
      <c r="U58" s="81" t="s">
        <v>1775</v>
      </c>
      <c r="V58" s="345">
        <v>622252956</v>
      </c>
      <c r="W58" s="46"/>
      <c r="X58" s="330">
        <v>1193</v>
      </c>
      <c r="Y58" s="79">
        <v>44830</v>
      </c>
      <c r="Z58" s="345">
        <v>622252956</v>
      </c>
      <c r="AA58" s="330">
        <v>6346</v>
      </c>
      <c r="AB58" s="79" t="s">
        <v>2816</v>
      </c>
      <c r="AC58" s="345">
        <v>622252956</v>
      </c>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row>
    <row r="59" spans="1:134" s="50" customFormat="1" ht="27" x14ac:dyDescent="0.25">
      <c r="A59" s="693"/>
      <c r="B59" s="690"/>
      <c r="C59" s="690"/>
      <c r="D59" s="44" t="s">
        <v>804</v>
      </c>
      <c r="E59" s="8" t="s">
        <v>165</v>
      </c>
      <c r="F59" s="66">
        <v>0</v>
      </c>
      <c r="G59" s="289">
        <v>24995000</v>
      </c>
      <c r="H59" s="44"/>
      <c r="I59" s="45"/>
      <c r="J59" s="45"/>
      <c r="K59" s="45"/>
      <c r="L59" s="45"/>
      <c r="M59" s="45"/>
      <c r="N59" s="45"/>
      <c r="O59" s="44"/>
      <c r="P59" s="274">
        <f>1625000+23370000</f>
        <v>24995000</v>
      </c>
      <c r="Q59" s="65">
        <f t="shared" si="0"/>
        <v>0</v>
      </c>
      <c r="R59" s="714"/>
      <c r="S59" s="78" t="s">
        <v>1303</v>
      </c>
      <c r="T59" s="154" t="s">
        <v>885</v>
      </c>
      <c r="U59" s="273">
        <v>44690</v>
      </c>
      <c r="V59" s="274"/>
      <c r="W59" s="46"/>
      <c r="X59" s="44"/>
      <c r="Y59" s="79"/>
      <c r="Z59" s="274"/>
      <c r="AA59" s="44"/>
      <c r="AB59" s="79"/>
      <c r="AC59" s="44"/>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row>
    <row r="60" spans="1:134" s="50" customFormat="1" ht="27" customHeight="1" x14ac:dyDescent="0.25">
      <c r="A60" s="693"/>
      <c r="B60" s="690"/>
      <c r="C60" s="690"/>
      <c r="D60" s="692" t="s">
        <v>805</v>
      </c>
      <c r="E60" s="689" t="s">
        <v>246</v>
      </c>
      <c r="F60" s="728">
        <v>0</v>
      </c>
      <c r="G60" s="710">
        <v>185901072</v>
      </c>
      <c r="H60" s="692"/>
      <c r="I60" s="692"/>
      <c r="J60" s="692"/>
      <c r="K60" s="692"/>
      <c r="L60" s="692"/>
      <c r="M60" s="692"/>
      <c r="N60" s="692"/>
      <c r="O60" s="692"/>
      <c r="P60" s="728">
        <v>326573</v>
      </c>
      <c r="Q60" s="739">
        <f t="shared" si="0"/>
        <v>185574499</v>
      </c>
      <c r="R60" s="714"/>
      <c r="S60" s="78" t="s">
        <v>1303</v>
      </c>
      <c r="T60" s="154" t="s">
        <v>885</v>
      </c>
      <c r="U60" s="273">
        <v>44690</v>
      </c>
      <c r="V60" s="274"/>
      <c r="W60" s="46"/>
      <c r="X60" s="44"/>
      <c r="Y60" s="79"/>
      <c r="Z60" s="274"/>
      <c r="AA60" s="44"/>
      <c r="AB60" s="79"/>
      <c r="AC60" s="44"/>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row>
    <row r="61" spans="1:134" s="50" customFormat="1" ht="15" x14ac:dyDescent="0.25">
      <c r="A61" s="693"/>
      <c r="B61" s="690"/>
      <c r="C61" s="690"/>
      <c r="D61" s="694"/>
      <c r="E61" s="691"/>
      <c r="F61" s="729"/>
      <c r="G61" s="712"/>
      <c r="H61" s="694"/>
      <c r="I61" s="694"/>
      <c r="J61" s="694"/>
      <c r="K61" s="694"/>
      <c r="L61" s="694"/>
      <c r="M61" s="694"/>
      <c r="N61" s="694"/>
      <c r="O61" s="694"/>
      <c r="P61" s="729"/>
      <c r="Q61" s="741"/>
      <c r="R61" s="714"/>
      <c r="S61" s="78" t="s">
        <v>1303</v>
      </c>
      <c r="T61" s="457" t="s">
        <v>1590</v>
      </c>
      <c r="U61" s="81" t="s">
        <v>1591</v>
      </c>
      <c r="V61" s="345">
        <v>184399791</v>
      </c>
      <c r="W61" s="46"/>
      <c r="X61" s="330">
        <v>1193</v>
      </c>
      <c r="Y61" s="79">
        <v>44830</v>
      </c>
      <c r="Z61" s="345">
        <v>184399791</v>
      </c>
      <c r="AA61" s="568">
        <v>6346</v>
      </c>
      <c r="AB61" s="273" t="s">
        <v>2816</v>
      </c>
      <c r="AC61" s="274">
        <v>184399791</v>
      </c>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row>
    <row r="62" spans="1:134" s="50" customFormat="1" ht="25.5" x14ac:dyDescent="0.25">
      <c r="A62" s="693"/>
      <c r="B62" s="690"/>
      <c r="C62" s="690"/>
      <c r="D62" s="44" t="s">
        <v>806</v>
      </c>
      <c r="E62" s="8" t="s">
        <v>239</v>
      </c>
      <c r="F62" s="66">
        <v>0</v>
      </c>
      <c r="G62" s="289">
        <v>50000000</v>
      </c>
      <c r="H62" s="44"/>
      <c r="I62" s="45"/>
      <c r="J62" s="45"/>
      <c r="K62" s="45"/>
      <c r="L62" s="45"/>
      <c r="M62" s="45"/>
      <c r="N62" s="45"/>
      <c r="O62" s="44"/>
      <c r="P62" s="44"/>
      <c r="Q62" s="616">
        <f t="shared" si="0"/>
        <v>50000000</v>
      </c>
      <c r="R62" s="714"/>
      <c r="S62" s="78" t="s">
        <v>1305</v>
      </c>
      <c r="T62" s="457" t="s">
        <v>1306</v>
      </c>
      <c r="U62" s="273">
        <v>44699</v>
      </c>
      <c r="V62" s="274">
        <v>42536435.789999999</v>
      </c>
      <c r="W62" s="46"/>
      <c r="X62" s="44">
        <v>627</v>
      </c>
      <c r="Y62" s="79">
        <v>44705</v>
      </c>
      <c r="Z62" s="274">
        <v>42536435.789999999</v>
      </c>
      <c r="AA62" s="568">
        <v>3709</v>
      </c>
      <c r="AB62" s="273" t="s">
        <v>2837</v>
      </c>
      <c r="AC62" s="274">
        <v>42536435.789999999</v>
      </c>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row>
    <row r="63" spans="1:134" s="50" customFormat="1" ht="27" customHeight="1" x14ac:dyDescent="0.25">
      <c r="A63" s="693"/>
      <c r="B63" s="690"/>
      <c r="C63" s="690"/>
      <c r="D63" s="692" t="s">
        <v>807</v>
      </c>
      <c r="E63" s="689" t="s">
        <v>247</v>
      </c>
      <c r="F63" s="728">
        <v>0</v>
      </c>
      <c r="G63" s="710">
        <v>122871778</v>
      </c>
      <c r="H63" s="692"/>
      <c r="I63" s="692"/>
      <c r="J63" s="692"/>
      <c r="K63" s="692"/>
      <c r="L63" s="692"/>
      <c r="M63" s="692"/>
      <c r="N63" s="692"/>
      <c r="O63" s="728">
        <v>9581474</v>
      </c>
      <c r="P63" s="692"/>
      <c r="Q63" s="739">
        <f t="shared" si="0"/>
        <v>132453252</v>
      </c>
      <c r="R63" s="714"/>
      <c r="S63" s="78" t="s">
        <v>1303</v>
      </c>
      <c r="T63" s="154" t="s">
        <v>885</v>
      </c>
      <c r="U63" s="273">
        <v>44690</v>
      </c>
      <c r="V63" s="274"/>
      <c r="W63" s="46"/>
      <c r="X63" s="44"/>
      <c r="Y63" s="79"/>
      <c r="Z63" s="274"/>
      <c r="AA63" s="568"/>
      <c r="AB63" s="273"/>
      <c r="AC63" s="44"/>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row>
    <row r="64" spans="1:134" s="50" customFormat="1" ht="15" x14ac:dyDescent="0.25">
      <c r="A64" s="693"/>
      <c r="B64" s="690"/>
      <c r="C64" s="690"/>
      <c r="D64" s="694"/>
      <c r="E64" s="691"/>
      <c r="F64" s="729"/>
      <c r="G64" s="712"/>
      <c r="H64" s="694"/>
      <c r="I64" s="694"/>
      <c r="J64" s="694"/>
      <c r="K64" s="694"/>
      <c r="L64" s="694"/>
      <c r="M64" s="694"/>
      <c r="N64" s="694"/>
      <c r="O64" s="729"/>
      <c r="P64" s="694"/>
      <c r="Q64" s="741"/>
      <c r="R64" s="714"/>
      <c r="S64" s="78" t="s">
        <v>2192</v>
      </c>
      <c r="T64" s="457">
        <v>588</v>
      </c>
      <c r="U64" s="81" t="s">
        <v>2191</v>
      </c>
      <c r="V64" s="274">
        <v>131071220</v>
      </c>
      <c r="W64" s="46"/>
      <c r="X64" s="330">
        <v>1172</v>
      </c>
      <c r="Y64" s="79">
        <v>44819</v>
      </c>
      <c r="Z64" s="274">
        <v>131071220</v>
      </c>
      <c r="AA64" s="568">
        <v>6337</v>
      </c>
      <c r="AB64" s="273" t="s">
        <v>2832</v>
      </c>
      <c r="AC64" s="274">
        <v>131071220</v>
      </c>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row>
    <row r="65" spans="1:134" s="50" customFormat="1" ht="27" x14ac:dyDescent="0.25">
      <c r="A65" s="693"/>
      <c r="B65" s="690"/>
      <c r="C65" s="690"/>
      <c r="D65" s="44" t="s">
        <v>808</v>
      </c>
      <c r="E65" s="8" t="s">
        <v>20</v>
      </c>
      <c r="F65" s="66">
        <v>0</v>
      </c>
      <c r="G65" s="289">
        <v>45240000</v>
      </c>
      <c r="H65" s="44"/>
      <c r="I65" s="45"/>
      <c r="J65" s="45"/>
      <c r="K65" s="45"/>
      <c r="L65" s="45"/>
      <c r="M65" s="45"/>
      <c r="N65" s="45"/>
      <c r="O65" s="44"/>
      <c r="P65" s="274">
        <v>918022</v>
      </c>
      <c r="Q65" s="616">
        <f t="shared" si="0"/>
        <v>44321978</v>
      </c>
      <c r="R65" s="714"/>
      <c r="S65" s="78" t="s">
        <v>1303</v>
      </c>
      <c r="T65" s="154" t="s">
        <v>885</v>
      </c>
      <c r="U65" s="273">
        <v>44690</v>
      </c>
      <c r="V65" s="274"/>
      <c r="W65" s="46"/>
      <c r="X65" s="44"/>
      <c r="Y65" s="79"/>
      <c r="Z65" s="44"/>
      <c r="AA65" s="44"/>
      <c r="AB65" s="79"/>
      <c r="AC65" s="44"/>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row>
    <row r="66" spans="1:134" s="50" customFormat="1" ht="15" x14ac:dyDescent="0.25">
      <c r="A66" s="693"/>
      <c r="B66" s="690"/>
      <c r="C66" s="690"/>
      <c r="D66" s="330"/>
      <c r="E66" s="8"/>
      <c r="F66" s="274"/>
      <c r="G66" s="289"/>
      <c r="H66" s="330"/>
      <c r="I66" s="45"/>
      <c r="J66" s="45"/>
      <c r="K66" s="45"/>
      <c r="L66" s="45"/>
      <c r="M66" s="45"/>
      <c r="N66" s="45"/>
      <c r="O66" s="330"/>
      <c r="P66" s="274"/>
      <c r="Q66" s="65"/>
      <c r="R66" s="714"/>
      <c r="S66" s="78" t="s">
        <v>2219</v>
      </c>
      <c r="T66" s="457" t="s">
        <v>2222</v>
      </c>
      <c r="U66" s="81" t="s">
        <v>2223</v>
      </c>
      <c r="V66" s="274">
        <v>43042535</v>
      </c>
      <c r="W66" s="46"/>
      <c r="X66" s="330">
        <v>1269</v>
      </c>
      <c r="Y66" s="79" t="s">
        <v>2778</v>
      </c>
      <c r="Z66" s="274">
        <v>43042535</v>
      </c>
      <c r="AA66" s="568">
        <v>5736</v>
      </c>
      <c r="AB66" s="273" t="s">
        <v>2836</v>
      </c>
      <c r="AC66" s="274">
        <v>43042535</v>
      </c>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row>
    <row r="67" spans="1:134" s="50" customFormat="1" ht="25.5" x14ac:dyDescent="0.25">
      <c r="A67" s="694"/>
      <c r="B67" s="691"/>
      <c r="C67" s="691"/>
      <c r="D67" s="330" t="s">
        <v>1141</v>
      </c>
      <c r="E67" s="8" t="s">
        <v>980</v>
      </c>
      <c r="F67" s="274"/>
      <c r="G67" s="289"/>
      <c r="H67" s="330"/>
      <c r="I67" s="45"/>
      <c r="J67" s="45"/>
      <c r="K67" s="45"/>
      <c r="L67" s="45"/>
      <c r="M67" s="45"/>
      <c r="N67" s="45"/>
      <c r="O67" s="274">
        <v>23370000</v>
      </c>
      <c r="P67" s="274"/>
      <c r="Q67" s="616">
        <f t="shared" si="0"/>
        <v>23370000</v>
      </c>
      <c r="R67" s="715"/>
      <c r="S67" s="78" t="s">
        <v>2219</v>
      </c>
      <c r="T67" s="457" t="s">
        <v>2220</v>
      </c>
      <c r="U67" s="81" t="s">
        <v>2221</v>
      </c>
      <c r="V67" s="274">
        <v>18410017</v>
      </c>
      <c r="W67" s="46"/>
      <c r="X67" s="330">
        <v>1269</v>
      </c>
      <c r="Y67" s="79" t="s">
        <v>2778</v>
      </c>
      <c r="Z67" s="274">
        <v>18410017</v>
      </c>
      <c r="AA67" s="568">
        <v>5736</v>
      </c>
      <c r="AB67" s="273" t="s">
        <v>2836</v>
      </c>
      <c r="AC67" s="274">
        <v>18410017</v>
      </c>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row>
    <row r="68" spans="1:134" s="112" customFormat="1" ht="15" x14ac:dyDescent="0.25">
      <c r="A68" s="86"/>
      <c r="B68" s="86"/>
      <c r="C68" s="86"/>
      <c r="D68" s="86"/>
      <c r="E68" s="86"/>
      <c r="F68" s="86"/>
      <c r="G68" s="86"/>
      <c r="H68" s="86"/>
      <c r="I68" s="87"/>
      <c r="J68" s="87"/>
      <c r="K68" s="87"/>
      <c r="L68" s="87"/>
      <c r="M68" s="87"/>
      <c r="N68" s="87"/>
      <c r="O68" s="86"/>
      <c r="P68" s="86"/>
      <c r="Q68" s="88">
        <f>SUM(Q53:Q67)</f>
        <v>1100000000</v>
      </c>
      <c r="R68" s="86"/>
      <c r="S68" s="86"/>
      <c r="T68" s="86"/>
      <c r="U68" s="86"/>
      <c r="V68" s="103">
        <f>SUM(V53:V67)</f>
        <v>1069691047.79</v>
      </c>
      <c r="W68" s="89"/>
      <c r="X68" s="86"/>
      <c r="Y68" s="95"/>
      <c r="Z68" s="103">
        <f>SUM(Z53:Z67)</f>
        <v>1069691047.79</v>
      </c>
      <c r="AA68" s="86"/>
      <c r="AB68" s="95"/>
      <c r="AC68" s="103">
        <f>SUM(AC53:AC67)</f>
        <v>1069691047.79</v>
      </c>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row>
    <row r="69" spans="1:134" s="112" customFormat="1" ht="15" x14ac:dyDescent="0.25">
      <c r="A69" s="755" t="s">
        <v>1057</v>
      </c>
      <c r="B69" s="752" t="s">
        <v>1058</v>
      </c>
      <c r="C69" s="689" t="s">
        <v>1059</v>
      </c>
      <c r="D69" s="736" t="s">
        <v>809</v>
      </c>
      <c r="E69" s="689" t="s">
        <v>106</v>
      </c>
      <c r="F69" s="687">
        <v>2327500</v>
      </c>
      <c r="G69" s="692"/>
      <c r="H69" s="692"/>
      <c r="I69" s="710">
        <v>176116752</v>
      </c>
      <c r="J69" s="710">
        <v>2602353633</v>
      </c>
      <c r="K69" s="692"/>
      <c r="L69" s="710">
        <v>95635138</v>
      </c>
      <c r="M69" s="710"/>
      <c r="N69" s="710"/>
      <c r="O69" s="728">
        <v>2600</v>
      </c>
      <c r="P69" s="728">
        <v>2070</v>
      </c>
      <c r="Q69" s="749">
        <f>+F69+G69+H69+I69+J69+K69+L69+M69+N69+O69-P69</f>
        <v>2876433553</v>
      </c>
      <c r="R69" s="742">
        <f>+Q92</f>
        <v>2876433553</v>
      </c>
      <c r="S69" s="78" t="s">
        <v>2126</v>
      </c>
      <c r="T69" s="457" t="s">
        <v>2146</v>
      </c>
      <c r="U69" s="80" t="s">
        <v>2106</v>
      </c>
      <c r="V69" s="345">
        <v>66000000</v>
      </c>
      <c r="W69" s="46"/>
      <c r="X69" s="330">
        <v>959</v>
      </c>
      <c r="Y69" s="79">
        <v>44777</v>
      </c>
      <c r="Z69" s="345">
        <v>66000000</v>
      </c>
      <c r="AA69" s="400">
        <v>4893</v>
      </c>
      <c r="AB69" s="265" t="s">
        <v>2846</v>
      </c>
      <c r="AC69" s="169">
        <v>66000000</v>
      </c>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row>
    <row r="70" spans="1:134" s="112" customFormat="1" ht="15" x14ac:dyDescent="0.25">
      <c r="A70" s="756"/>
      <c r="B70" s="753"/>
      <c r="C70" s="690"/>
      <c r="D70" s="737"/>
      <c r="E70" s="690"/>
      <c r="F70" s="688"/>
      <c r="G70" s="693"/>
      <c r="H70" s="693"/>
      <c r="I70" s="711"/>
      <c r="J70" s="711"/>
      <c r="K70" s="693"/>
      <c r="L70" s="711"/>
      <c r="M70" s="711"/>
      <c r="N70" s="711"/>
      <c r="O70" s="735"/>
      <c r="P70" s="735"/>
      <c r="Q70" s="750"/>
      <c r="R70" s="743"/>
      <c r="S70" s="78" t="s">
        <v>2127</v>
      </c>
      <c r="T70" s="457" t="s">
        <v>2147</v>
      </c>
      <c r="U70" s="80" t="s">
        <v>2107</v>
      </c>
      <c r="V70" s="345">
        <v>127469017</v>
      </c>
      <c r="W70" s="46"/>
      <c r="X70" s="330">
        <v>953</v>
      </c>
      <c r="Y70" s="79">
        <v>44776</v>
      </c>
      <c r="Z70" s="345">
        <v>127469017</v>
      </c>
      <c r="AA70" s="400">
        <v>4947</v>
      </c>
      <c r="AB70" s="265" t="s">
        <v>2847</v>
      </c>
      <c r="AC70" s="169">
        <v>127469017</v>
      </c>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1"/>
      <c r="ED70" s="111"/>
    </row>
    <row r="71" spans="1:134" s="112" customFormat="1" ht="15" x14ac:dyDescent="0.25">
      <c r="A71" s="756"/>
      <c r="B71" s="753"/>
      <c r="C71" s="690"/>
      <c r="D71" s="737"/>
      <c r="E71" s="690"/>
      <c r="F71" s="688"/>
      <c r="G71" s="693"/>
      <c r="H71" s="693"/>
      <c r="I71" s="711"/>
      <c r="J71" s="711"/>
      <c r="K71" s="693"/>
      <c r="L71" s="711"/>
      <c r="M71" s="711"/>
      <c r="N71" s="711"/>
      <c r="O71" s="735"/>
      <c r="P71" s="735"/>
      <c r="Q71" s="750"/>
      <c r="R71" s="743"/>
      <c r="S71" s="78" t="s">
        <v>2128</v>
      </c>
      <c r="T71" s="457" t="s">
        <v>2148</v>
      </c>
      <c r="U71" s="80" t="s">
        <v>2108</v>
      </c>
      <c r="V71" s="345">
        <v>51660000</v>
      </c>
      <c r="W71" s="46"/>
      <c r="X71" s="330">
        <v>949</v>
      </c>
      <c r="Y71" s="79">
        <v>44776</v>
      </c>
      <c r="Z71" s="274">
        <v>51660000</v>
      </c>
      <c r="AA71" s="400">
        <v>4896</v>
      </c>
      <c r="AB71" s="265" t="s">
        <v>2846</v>
      </c>
      <c r="AC71" s="169">
        <v>51660000</v>
      </c>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row>
    <row r="72" spans="1:134" s="112" customFormat="1" ht="15" x14ac:dyDescent="0.25">
      <c r="A72" s="756"/>
      <c r="B72" s="753"/>
      <c r="C72" s="690"/>
      <c r="D72" s="737"/>
      <c r="E72" s="690"/>
      <c r="F72" s="688"/>
      <c r="G72" s="693"/>
      <c r="H72" s="693"/>
      <c r="I72" s="711"/>
      <c r="J72" s="711"/>
      <c r="K72" s="693"/>
      <c r="L72" s="711"/>
      <c r="M72" s="711"/>
      <c r="N72" s="711"/>
      <c r="O72" s="735"/>
      <c r="P72" s="735"/>
      <c r="Q72" s="750"/>
      <c r="R72" s="743"/>
      <c r="S72" s="78" t="s">
        <v>2129</v>
      </c>
      <c r="T72" s="457" t="s">
        <v>2149</v>
      </c>
      <c r="U72" s="80" t="s">
        <v>2109</v>
      </c>
      <c r="V72" s="345">
        <v>24913593</v>
      </c>
      <c r="W72" s="46"/>
      <c r="X72" s="330">
        <v>948</v>
      </c>
      <c r="Y72" s="79">
        <v>44776</v>
      </c>
      <c r="Z72" s="274">
        <v>24913593</v>
      </c>
      <c r="AA72" s="400">
        <v>4871</v>
      </c>
      <c r="AB72" s="265" t="s">
        <v>2845</v>
      </c>
      <c r="AC72" s="169">
        <v>24913593</v>
      </c>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c r="EA72" s="111"/>
      <c r="EB72" s="111"/>
      <c r="EC72" s="111"/>
      <c r="ED72" s="111"/>
    </row>
    <row r="73" spans="1:134" s="112" customFormat="1" ht="15" x14ac:dyDescent="0.25">
      <c r="A73" s="756"/>
      <c r="B73" s="753"/>
      <c r="C73" s="690"/>
      <c r="D73" s="737"/>
      <c r="E73" s="690"/>
      <c r="F73" s="688"/>
      <c r="G73" s="693"/>
      <c r="H73" s="693"/>
      <c r="I73" s="711"/>
      <c r="J73" s="711"/>
      <c r="K73" s="693"/>
      <c r="L73" s="711"/>
      <c r="M73" s="711"/>
      <c r="N73" s="711"/>
      <c r="O73" s="735"/>
      <c r="P73" s="735"/>
      <c r="Q73" s="750"/>
      <c r="R73" s="743"/>
      <c r="S73" s="78" t="s">
        <v>2130</v>
      </c>
      <c r="T73" s="457" t="s">
        <v>2150</v>
      </c>
      <c r="U73" s="80" t="s">
        <v>2110</v>
      </c>
      <c r="V73" s="345">
        <v>93967000</v>
      </c>
      <c r="W73" s="46"/>
      <c r="X73" s="330">
        <v>952</v>
      </c>
      <c r="Y73" s="79">
        <v>44776</v>
      </c>
      <c r="Z73" s="345">
        <v>93967000</v>
      </c>
      <c r="AA73" s="400">
        <v>4877</v>
      </c>
      <c r="AB73" s="265" t="s">
        <v>2822</v>
      </c>
      <c r="AC73" s="169">
        <v>93967000</v>
      </c>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row>
    <row r="74" spans="1:134" s="112" customFormat="1" ht="15" x14ac:dyDescent="0.25">
      <c r="A74" s="756"/>
      <c r="B74" s="753"/>
      <c r="C74" s="690"/>
      <c r="D74" s="737"/>
      <c r="E74" s="690"/>
      <c r="F74" s="688"/>
      <c r="G74" s="693"/>
      <c r="H74" s="693"/>
      <c r="I74" s="711"/>
      <c r="J74" s="711"/>
      <c r="K74" s="693"/>
      <c r="L74" s="711"/>
      <c r="M74" s="711"/>
      <c r="N74" s="711"/>
      <c r="O74" s="735"/>
      <c r="P74" s="735"/>
      <c r="Q74" s="750"/>
      <c r="R74" s="743"/>
      <c r="S74" s="78" t="s">
        <v>2131</v>
      </c>
      <c r="T74" s="457" t="s">
        <v>2151</v>
      </c>
      <c r="U74" s="80" t="s">
        <v>2111</v>
      </c>
      <c r="V74" s="345">
        <v>124360000</v>
      </c>
      <c r="W74" s="46"/>
      <c r="X74" s="330">
        <v>955</v>
      </c>
      <c r="Y74" s="79">
        <v>44777</v>
      </c>
      <c r="Z74" s="345">
        <v>124360000</v>
      </c>
      <c r="AA74" s="400">
        <v>5002</v>
      </c>
      <c r="AB74" s="265" t="s">
        <v>2825</v>
      </c>
      <c r="AC74" s="169">
        <v>124360000</v>
      </c>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row>
    <row r="75" spans="1:134" s="112" customFormat="1" ht="15" x14ac:dyDescent="0.25">
      <c r="A75" s="756"/>
      <c r="B75" s="753"/>
      <c r="C75" s="690"/>
      <c r="D75" s="737"/>
      <c r="E75" s="690"/>
      <c r="F75" s="688"/>
      <c r="G75" s="693"/>
      <c r="H75" s="693"/>
      <c r="I75" s="711"/>
      <c r="J75" s="711"/>
      <c r="K75" s="693"/>
      <c r="L75" s="711"/>
      <c r="M75" s="711"/>
      <c r="N75" s="711"/>
      <c r="O75" s="735"/>
      <c r="P75" s="735"/>
      <c r="Q75" s="750"/>
      <c r="R75" s="743"/>
      <c r="S75" s="78" t="s">
        <v>2132</v>
      </c>
      <c r="T75" s="457" t="s">
        <v>2152</v>
      </c>
      <c r="U75" s="80" t="s">
        <v>2112</v>
      </c>
      <c r="V75" s="345">
        <v>145000000</v>
      </c>
      <c r="W75" s="46"/>
      <c r="X75" s="330">
        <v>950</v>
      </c>
      <c r="Y75" s="79">
        <v>44776</v>
      </c>
      <c r="Z75" s="345">
        <v>145000000</v>
      </c>
      <c r="AA75" s="400">
        <v>5047</v>
      </c>
      <c r="AB75" s="265" t="s">
        <v>2849</v>
      </c>
      <c r="AC75" s="169">
        <v>145000000</v>
      </c>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row>
    <row r="76" spans="1:134" s="112" customFormat="1" ht="15" x14ac:dyDescent="0.25">
      <c r="A76" s="756"/>
      <c r="B76" s="753"/>
      <c r="C76" s="690"/>
      <c r="D76" s="737"/>
      <c r="E76" s="690"/>
      <c r="F76" s="688"/>
      <c r="G76" s="693"/>
      <c r="H76" s="693"/>
      <c r="I76" s="711"/>
      <c r="J76" s="711"/>
      <c r="K76" s="693"/>
      <c r="L76" s="711"/>
      <c r="M76" s="711"/>
      <c r="N76" s="711"/>
      <c r="O76" s="735"/>
      <c r="P76" s="735"/>
      <c r="Q76" s="750"/>
      <c r="R76" s="743"/>
      <c r="S76" s="78" t="s">
        <v>2133</v>
      </c>
      <c r="T76" s="457" t="s">
        <v>2153</v>
      </c>
      <c r="U76" s="80" t="s">
        <v>2113</v>
      </c>
      <c r="V76" s="345">
        <v>687500000</v>
      </c>
      <c r="W76" s="46"/>
      <c r="X76" s="330">
        <v>957</v>
      </c>
      <c r="Y76" s="79">
        <v>44777</v>
      </c>
      <c r="Z76" s="345">
        <v>687500000</v>
      </c>
      <c r="AA76" s="400">
        <v>5311</v>
      </c>
      <c r="AB76" s="265" t="s">
        <v>2813</v>
      </c>
      <c r="AC76" s="169">
        <v>687500000</v>
      </c>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c r="EA76" s="111"/>
      <c r="EB76" s="111"/>
      <c r="EC76" s="111"/>
      <c r="ED76" s="111"/>
    </row>
    <row r="77" spans="1:134" s="112" customFormat="1" ht="15" x14ac:dyDescent="0.25">
      <c r="A77" s="756"/>
      <c r="B77" s="753"/>
      <c r="C77" s="690"/>
      <c r="D77" s="737"/>
      <c r="E77" s="690"/>
      <c r="F77" s="688"/>
      <c r="G77" s="693"/>
      <c r="H77" s="693"/>
      <c r="I77" s="711"/>
      <c r="J77" s="711"/>
      <c r="K77" s="693"/>
      <c r="L77" s="711"/>
      <c r="M77" s="711"/>
      <c r="N77" s="711"/>
      <c r="O77" s="735"/>
      <c r="P77" s="735"/>
      <c r="Q77" s="750"/>
      <c r="R77" s="743"/>
      <c r="S77" s="78" t="s">
        <v>2134</v>
      </c>
      <c r="T77" s="457" t="s">
        <v>2154</v>
      </c>
      <c r="U77" s="80" t="s">
        <v>2114</v>
      </c>
      <c r="V77" s="345">
        <v>45610400</v>
      </c>
      <c r="W77" s="46"/>
      <c r="X77" s="330">
        <v>956</v>
      </c>
      <c r="Y77" s="79">
        <v>44777</v>
      </c>
      <c r="Z77" s="345">
        <v>45610400</v>
      </c>
      <c r="AA77" s="400">
        <v>4937</v>
      </c>
      <c r="AB77" s="265" t="s">
        <v>2848</v>
      </c>
      <c r="AC77" s="169">
        <v>45610400</v>
      </c>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c r="EA77" s="111"/>
      <c r="EB77" s="111"/>
      <c r="EC77" s="111"/>
      <c r="ED77" s="111"/>
    </row>
    <row r="78" spans="1:134" s="112" customFormat="1" ht="15" x14ac:dyDescent="0.25">
      <c r="A78" s="756"/>
      <c r="B78" s="753"/>
      <c r="C78" s="690"/>
      <c r="D78" s="737"/>
      <c r="E78" s="690"/>
      <c r="F78" s="688"/>
      <c r="G78" s="693"/>
      <c r="H78" s="693"/>
      <c r="I78" s="711"/>
      <c r="J78" s="711"/>
      <c r="K78" s="693"/>
      <c r="L78" s="711"/>
      <c r="M78" s="711"/>
      <c r="N78" s="711"/>
      <c r="O78" s="735"/>
      <c r="P78" s="735"/>
      <c r="Q78" s="750"/>
      <c r="R78" s="743"/>
      <c r="S78" s="78" t="s">
        <v>2135</v>
      </c>
      <c r="T78" s="457" t="s">
        <v>2155</v>
      </c>
      <c r="U78" s="80" t="s">
        <v>2115</v>
      </c>
      <c r="V78" s="345">
        <v>277873400</v>
      </c>
      <c r="W78" s="46"/>
      <c r="X78" s="330">
        <v>954</v>
      </c>
      <c r="Y78" s="79">
        <v>44777</v>
      </c>
      <c r="Z78" s="345">
        <v>277873400</v>
      </c>
      <c r="AA78" s="400">
        <v>5000</v>
      </c>
      <c r="AB78" s="265" t="s">
        <v>2825</v>
      </c>
      <c r="AC78" s="169">
        <v>277873400</v>
      </c>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c r="EA78" s="111"/>
      <c r="EB78" s="111"/>
      <c r="EC78" s="111"/>
      <c r="ED78" s="111"/>
    </row>
    <row r="79" spans="1:134" s="112" customFormat="1" ht="15" x14ac:dyDescent="0.25">
      <c r="A79" s="756"/>
      <c r="B79" s="753"/>
      <c r="C79" s="690"/>
      <c r="D79" s="737"/>
      <c r="E79" s="690"/>
      <c r="F79" s="688"/>
      <c r="G79" s="693"/>
      <c r="H79" s="693"/>
      <c r="I79" s="711"/>
      <c r="J79" s="711"/>
      <c r="K79" s="693"/>
      <c r="L79" s="711"/>
      <c r="M79" s="711"/>
      <c r="N79" s="711"/>
      <c r="O79" s="735"/>
      <c r="P79" s="735"/>
      <c r="Q79" s="750"/>
      <c r="R79" s="743"/>
      <c r="S79" s="78" t="s">
        <v>2136</v>
      </c>
      <c r="T79" s="457" t="s">
        <v>2156</v>
      </c>
      <c r="U79" s="80" t="s">
        <v>2116</v>
      </c>
      <c r="V79" s="345">
        <v>247347487</v>
      </c>
      <c r="W79" s="46"/>
      <c r="X79" s="330">
        <v>983</v>
      </c>
      <c r="Y79" s="79">
        <v>44778</v>
      </c>
      <c r="Z79" s="345">
        <v>247347487</v>
      </c>
      <c r="AA79" s="400">
        <v>5181</v>
      </c>
      <c r="AB79" s="265" t="s">
        <v>2850</v>
      </c>
      <c r="AC79" s="169">
        <v>247347487</v>
      </c>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c r="EA79" s="111"/>
      <c r="EB79" s="111"/>
      <c r="EC79" s="111"/>
      <c r="ED79" s="111"/>
    </row>
    <row r="80" spans="1:134" s="112" customFormat="1" ht="15" x14ac:dyDescent="0.25">
      <c r="A80" s="756"/>
      <c r="B80" s="753"/>
      <c r="C80" s="690"/>
      <c r="D80" s="737"/>
      <c r="E80" s="690"/>
      <c r="F80" s="688"/>
      <c r="G80" s="693"/>
      <c r="H80" s="693"/>
      <c r="I80" s="711"/>
      <c r="J80" s="711"/>
      <c r="K80" s="693"/>
      <c r="L80" s="711"/>
      <c r="M80" s="711"/>
      <c r="N80" s="711"/>
      <c r="O80" s="735"/>
      <c r="P80" s="735"/>
      <c r="Q80" s="750"/>
      <c r="R80" s="743"/>
      <c r="S80" s="78" t="s">
        <v>2137</v>
      </c>
      <c r="T80" s="457" t="s">
        <v>2157</v>
      </c>
      <c r="U80" s="80" t="s">
        <v>2117</v>
      </c>
      <c r="V80" s="345">
        <v>311000000</v>
      </c>
      <c r="W80" s="46"/>
      <c r="X80" s="330">
        <v>973</v>
      </c>
      <c r="Y80" s="79">
        <v>44778</v>
      </c>
      <c r="Z80" s="345">
        <v>311000000</v>
      </c>
      <c r="AA80" s="400">
        <v>5350</v>
      </c>
      <c r="AB80" s="265" t="s">
        <v>2769</v>
      </c>
      <c r="AC80" s="169">
        <v>311000000</v>
      </c>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c r="EA80" s="111"/>
      <c r="EB80" s="111"/>
      <c r="EC80" s="111"/>
      <c r="ED80" s="111"/>
    </row>
    <row r="81" spans="1:134" s="112" customFormat="1" ht="15" x14ac:dyDescent="0.25">
      <c r="A81" s="756"/>
      <c r="B81" s="753"/>
      <c r="C81" s="690"/>
      <c r="D81" s="737"/>
      <c r="E81" s="690"/>
      <c r="F81" s="688"/>
      <c r="G81" s="693"/>
      <c r="H81" s="693"/>
      <c r="I81" s="711"/>
      <c r="J81" s="711"/>
      <c r="K81" s="693"/>
      <c r="L81" s="711"/>
      <c r="M81" s="711"/>
      <c r="N81" s="711"/>
      <c r="O81" s="735"/>
      <c r="P81" s="735"/>
      <c r="Q81" s="750"/>
      <c r="R81" s="743"/>
      <c r="S81" s="78" t="s">
        <v>2138</v>
      </c>
      <c r="T81" s="457" t="s">
        <v>2158</v>
      </c>
      <c r="U81" s="80" t="s">
        <v>2118</v>
      </c>
      <c r="V81" s="345">
        <v>56645932</v>
      </c>
      <c r="W81" s="46"/>
      <c r="X81" s="330">
        <v>972</v>
      </c>
      <c r="Y81" s="79">
        <v>44778</v>
      </c>
      <c r="Z81" s="345">
        <v>56645932</v>
      </c>
      <c r="AA81" s="400">
        <v>4897</v>
      </c>
      <c r="AB81" s="265" t="s">
        <v>2846</v>
      </c>
      <c r="AC81" s="169">
        <v>56645932</v>
      </c>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c r="EA81" s="111"/>
      <c r="EB81" s="111"/>
      <c r="EC81" s="111"/>
      <c r="ED81" s="111"/>
    </row>
    <row r="82" spans="1:134" s="112" customFormat="1" ht="15" x14ac:dyDescent="0.25">
      <c r="A82" s="756"/>
      <c r="B82" s="753"/>
      <c r="C82" s="690"/>
      <c r="D82" s="737"/>
      <c r="E82" s="690"/>
      <c r="F82" s="688"/>
      <c r="G82" s="693"/>
      <c r="H82" s="693"/>
      <c r="I82" s="711"/>
      <c r="J82" s="711"/>
      <c r="K82" s="693"/>
      <c r="L82" s="711"/>
      <c r="M82" s="711"/>
      <c r="N82" s="711"/>
      <c r="O82" s="735"/>
      <c r="P82" s="735"/>
      <c r="Q82" s="750"/>
      <c r="R82" s="743"/>
      <c r="S82" s="78" t="s">
        <v>2139</v>
      </c>
      <c r="T82" s="457" t="s">
        <v>2159</v>
      </c>
      <c r="U82" s="80" t="s">
        <v>2119</v>
      </c>
      <c r="V82" s="345">
        <v>176840830</v>
      </c>
      <c r="W82" s="46"/>
      <c r="X82" s="330">
        <v>984</v>
      </c>
      <c r="Y82" s="79">
        <v>44778</v>
      </c>
      <c r="Z82" s="345">
        <v>176840830</v>
      </c>
      <c r="AA82" s="400">
        <v>5379</v>
      </c>
      <c r="AB82" s="265" t="s">
        <v>2775</v>
      </c>
      <c r="AC82" s="169">
        <v>176840830</v>
      </c>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c r="EA82" s="111"/>
      <c r="EB82" s="111"/>
      <c r="EC82" s="111"/>
      <c r="ED82" s="111"/>
    </row>
    <row r="83" spans="1:134" s="112" customFormat="1" ht="15" x14ac:dyDescent="0.25">
      <c r="A83" s="756"/>
      <c r="B83" s="753"/>
      <c r="C83" s="690"/>
      <c r="D83" s="737"/>
      <c r="E83" s="690"/>
      <c r="F83" s="688"/>
      <c r="G83" s="693"/>
      <c r="H83" s="693"/>
      <c r="I83" s="711"/>
      <c r="J83" s="711"/>
      <c r="K83" s="693"/>
      <c r="L83" s="711"/>
      <c r="M83" s="711"/>
      <c r="N83" s="711"/>
      <c r="O83" s="735"/>
      <c r="P83" s="735"/>
      <c r="Q83" s="750"/>
      <c r="R83" s="743"/>
      <c r="S83" s="78" t="s">
        <v>2140</v>
      </c>
      <c r="T83" s="457" t="s">
        <v>2160</v>
      </c>
      <c r="U83" s="80" t="s">
        <v>2120</v>
      </c>
      <c r="V83" s="345">
        <v>96816000</v>
      </c>
      <c r="W83" s="46"/>
      <c r="X83" s="330">
        <v>985</v>
      </c>
      <c r="Y83" s="79">
        <v>44778</v>
      </c>
      <c r="Z83" s="345">
        <v>96816000</v>
      </c>
      <c r="AA83" s="400">
        <v>5001</v>
      </c>
      <c r="AB83" s="265" t="s">
        <v>2825</v>
      </c>
      <c r="AC83" s="169">
        <v>96816000</v>
      </c>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c r="EA83" s="111"/>
      <c r="EB83" s="111"/>
      <c r="EC83" s="111"/>
      <c r="ED83" s="111"/>
    </row>
    <row r="84" spans="1:134" s="112" customFormat="1" ht="15" x14ac:dyDescent="0.25">
      <c r="A84" s="756"/>
      <c r="B84" s="753"/>
      <c r="C84" s="690"/>
      <c r="D84" s="737"/>
      <c r="E84" s="690"/>
      <c r="F84" s="688"/>
      <c r="G84" s="693"/>
      <c r="H84" s="693"/>
      <c r="I84" s="711"/>
      <c r="J84" s="711"/>
      <c r="K84" s="693"/>
      <c r="L84" s="711"/>
      <c r="M84" s="711"/>
      <c r="N84" s="711"/>
      <c r="O84" s="735"/>
      <c r="P84" s="735"/>
      <c r="Q84" s="750"/>
      <c r="R84" s="743"/>
      <c r="S84" s="78" t="s">
        <v>2141</v>
      </c>
      <c r="T84" s="457" t="s">
        <v>2161</v>
      </c>
      <c r="U84" s="80" t="s">
        <v>2121</v>
      </c>
      <c r="V84" s="345">
        <v>27500000</v>
      </c>
      <c r="W84" s="46"/>
      <c r="X84" s="330">
        <v>987</v>
      </c>
      <c r="Y84" s="79">
        <v>44778</v>
      </c>
      <c r="Z84" s="274">
        <v>27500000</v>
      </c>
      <c r="AA84" s="400">
        <v>4651</v>
      </c>
      <c r="AB84" s="265" t="s">
        <v>2820</v>
      </c>
      <c r="AC84" s="169">
        <v>27500000</v>
      </c>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c r="EA84" s="111"/>
      <c r="EB84" s="111"/>
      <c r="EC84" s="111"/>
      <c r="ED84" s="111"/>
    </row>
    <row r="85" spans="1:134" s="112" customFormat="1" ht="15" x14ac:dyDescent="0.25">
      <c r="A85" s="756"/>
      <c r="B85" s="753"/>
      <c r="C85" s="690"/>
      <c r="D85" s="737"/>
      <c r="E85" s="690"/>
      <c r="F85" s="688"/>
      <c r="G85" s="693"/>
      <c r="H85" s="693"/>
      <c r="I85" s="711"/>
      <c r="J85" s="711"/>
      <c r="K85" s="693"/>
      <c r="L85" s="711"/>
      <c r="M85" s="711"/>
      <c r="N85" s="711"/>
      <c r="O85" s="735"/>
      <c r="P85" s="735"/>
      <c r="Q85" s="750"/>
      <c r="R85" s="743"/>
      <c r="S85" s="78" t="s">
        <v>2142</v>
      </c>
      <c r="T85" s="457" t="s">
        <v>2162</v>
      </c>
      <c r="U85" s="80" t="s">
        <v>2122</v>
      </c>
      <c r="V85" s="345">
        <v>157445100</v>
      </c>
      <c r="W85" s="46"/>
      <c r="X85" s="330">
        <v>980</v>
      </c>
      <c r="Y85" s="79">
        <v>44778</v>
      </c>
      <c r="Z85" s="345">
        <v>157445100</v>
      </c>
      <c r="AA85" s="400">
        <v>5248</v>
      </c>
      <c r="AB85" s="265" t="s">
        <v>2812</v>
      </c>
      <c r="AC85" s="345">
        <v>157445100</v>
      </c>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c r="EA85" s="111"/>
      <c r="EB85" s="111"/>
      <c r="EC85" s="111"/>
      <c r="ED85" s="111"/>
    </row>
    <row r="86" spans="1:134" s="112" customFormat="1" ht="15" x14ac:dyDescent="0.25">
      <c r="A86" s="756"/>
      <c r="B86" s="753"/>
      <c r="C86" s="690"/>
      <c r="D86" s="737"/>
      <c r="E86" s="690"/>
      <c r="F86" s="688"/>
      <c r="G86" s="693"/>
      <c r="H86" s="693"/>
      <c r="I86" s="711"/>
      <c r="J86" s="711"/>
      <c r="K86" s="693"/>
      <c r="L86" s="711"/>
      <c r="M86" s="711"/>
      <c r="N86" s="711"/>
      <c r="O86" s="735"/>
      <c r="P86" s="735"/>
      <c r="Q86" s="750"/>
      <c r="R86" s="743"/>
      <c r="S86" s="78" t="s">
        <v>2143</v>
      </c>
      <c r="T86" s="457" t="s">
        <v>2163</v>
      </c>
      <c r="U86" s="80" t="s">
        <v>2123</v>
      </c>
      <c r="V86" s="345">
        <v>29948040</v>
      </c>
      <c r="W86" s="46"/>
      <c r="X86" s="330">
        <v>1013</v>
      </c>
      <c r="Y86" s="79">
        <v>44782</v>
      </c>
      <c r="Z86" s="345">
        <v>29948040</v>
      </c>
      <c r="AA86" s="400">
        <v>4813</v>
      </c>
      <c r="AB86" s="265" t="s">
        <v>2844</v>
      </c>
      <c r="AC86" s="169">
        <v>29948040</v>
      </c>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1"/>
      <c r="ED86" s="111"/>
    </row>
    <row r="87" spans="1:134" s="112" customFormat="1" ht="15" x14ac:dyDescent="0.25">
      <c r="A87" s="756"/>
      <c r="B87" s="753"/>
      <c r="C87" s="690"/>
      <c r="D87" s="737"/>
      <c r="E87" s="690"/>
      <c r="F87" s="688"/>
      <c r="G87" s="693"/>
      <c r="H87" s="693"/>
      <c r="I87" s="711"/>
      <c r="J87" s="711"/>
      <c r="K87" s="693"/>
      <c r="L87" s="711"/>
      <c r="M87" s="711"/>
      <c r="N87" s="711"/>
      <c r="O87" s="735"/>
      <c r="P87" s="735"/>
      <c r="Q87" s="750"/>
      <c r="R87" s="743"/>
      <c r="S87" s="78" t="s">
        <v>2144</v>
      </c>
      <c r="T87" s="457" t="s">
        <v>2164</v>
      </c>
      <c r="U87" s="80" t="s">
        <v>2124</v>
      </c>
      <c r="V87" s="345">
        <v>49459000</v>
      </c>
      <c r="W87" s="46"/>
      <c r="X87" s="330">
        <v>1009</v>
      </c>
      <c r="Y87" s="79">
        <v>44781</v>
      </c>
      <c r="Z87" s="345">
        <v>49459000</v>
      </c>
      <c r="AA87" s="400">
        <v>4693</v>
      </c>
      <c r="AB87" s="265" t="s">
        <v>2843</v>
      </c>
      <c r="AC87" s="169">
        <v>49459000</v>
      </c>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1"/>
      <c r="ED87" s="111"/>
    </row>
    <row r="88" spans="1:134" s="112" customFormat="1" ht="15" x14ac:dyDescent="0.25">
      <c r="A88" s="756"/>
      <c r="B88" s="753"/>
      <c r="C88" s="690"/>
      <c r="D88" s="737"/>
      <c r="E88" s="690"/>
      <c r="F88" s="688"/>
      <c r="G88" s="693"/>
      <c r="H88" s="693"/>
      <c r="I88" s="711"/>
      <c r="J88" s="711"/>
      <c r="K88" s="693"/>
      <c r="L88" s="711"/>
      <c r="M88" s="711"/>
      <c r="N88" s="711"/>
      <c r="O88" s="735"/>
      <c r="P88" s="735"/>
      <c r="Q88" s="750"/>
      <c r="R88" s="743"/>
      <c r="S88" s="78" t="s">
        <v>2145</v>
      </c>
      <c r="T88" s="457" t="s">
        <v>2165</v>
      </c>
      <c r="U88" s="80" t="s">
        <v>2125</v>
      </c>
      <c r="V88" s="345">
        <v>74740704</v>
      </c>
      <c r="W88" s="46"/>
      <c r="X88" s="330">
        <v>1011</v>
      </c>
      <c r="Y88" s="79">
        <v>44781</v>
      </c>
      <c r="Z88" s="345">
        <v>74740704</v>
      </c>
      <c r="AA88" s="400">
        <v>4827</v>
      </c>
      <c r="AB88" s="265" t="s">
        <v>2844</v>
      </c>
      <c r="AC88" s="169">
        <v>74740704</v>
      </c>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c r="EA88" s="111"/>
      <c r="EB88" s="111"/>
      <c r="EC88" s="111"/>
      <c r="ED88" s="111"/>
    </row>
    <row r="89" spans="1:134" s="112" customFormat="1" ht="15" x14ac:dyDescent="0.25">
      <c r="A89" s="756"/>
      <c r="B89" s="753"/>
      <c r="C89" s="690"/>
      <c r="D89" s="737"/>
      <c r="E89" s="690"/>
      <c r="F89" s="688"/>
      <c r="G89" s="693"/>
      <c r="H89" s="693"/>
      <c r="I89" s="711"/>
      <c r="J89" s="711"/>
      <c r="K89" s="693"/>
      <c r="L89" s="711"/>
      <c r="M89" s="711"/>
      <c r="N89" s="711"/>
      <c r="O89" s="735"/>
      <c r="P89" s="735"/>
      <c r="Q89" s="750"/>
      <c r="R89" s="743"/>
      <c r="S89" s="80" t="s">
        <v>2224</v>
      </c>
      <c r="T89" s="458" t="s">
        <v>2225</v>
      </c>
      <c r="U89" s="80" t="s">
        <v>2226</v>
      </c>
      <c r="V89" s="345">
        <v>4337050</v>
      </c>
      <c r="W89" s="46"/>
      <c r="X89" s="330">
        <v>1348</v>
      </c>
      <c r="Y89" s="79" t="s">
        <v>2781</v>
      </c>
      <c r="Z89" s="274">
        <v>4337050</v>
      </c>
      <c r="AA89" s="554">
        <v>5980</v>
      </c>
      <c r="AB89" s="265" t="s">
        <v>2783</v>
      </c>
      <c r="AC89" s="169">
        <v>4337050</v>
      </c>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c r="EA89" s="111"/>
      <c r="EB89" s="111"/>
      <c r="EC89" s="111"/>
      <c r="ED89" s="111"/>
    </row>
    <row r="90" spans="1:134" s="112" customFormat="1" ht="15" x14ac:dyDescent="0.25">
      <c r="A90" s="756"/>
      <c r="B90" s="753"/>
      <c r="C90" s="690"/>
      <c r="D90" s="737"/>
      <c r="E90" s="690"/>
      <c r="F90" s="688"/>
      <c r="G90" s="693"/>
      <c r="H90" s="693"/>
      <c r="I90" s="711"/>
      <c r="J90" s="711"/>
      <c r="K90" s="693"/>
      <c r="L90" s="711"/>
      <c r="M90" s="711"/>
      <c r="N90" s="711"/>
      <c r="O90" s="735"/>
      <c r="P90" s="735"/>
      <c r="Q90" s="750"/>
      <c r="R90" s="743"/>
      <c r="S90" s="504"/>
      <c r="T90" s="330"/>
      <c r="U90" s="330"/>
      <c r="V90" s="244"/>
      <c r="W90" s="46"/>
      <c r="X90" s="330"/>
      <c r="Y90" s="79"/>
      <c r="Z90" s="432"/>
      <c r="AA90" s="309"/>
      <c r="AB90" s="47"/>
      <c r="AC90" s="210"/>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1"/>
      <c r="ED90" s="111"/>
    </row>
    <row r="91" spans="1:134" s="112" customFormat="1" ht="15" x14ac:dyDescent="0.25">
      <c r="A91" s="757"/>
      <c r="B91" s="754"/>
      <c r="C91" s="691"/>
      <c r="D91" s="738"/>
      <c r="E91" s="691"/>
      <c r="F91" s="698"/>
      <c r="G91" s="694"/>
      <c r="H91" s="694"/>
      <c r="I91" s="712"/>
      <c r="J91" s="712"/>
      <c r="K91" s="694"/>
      <c r="L91" s="712"/>
      <c r="M91" s="712"/>
      <c r="N91" s="712"/>
      <c r="O91" s="729"/>
      <c r="P91" s="729"/>
      <c r="Q91" s="751"/>
      <c r="R91" s="744"/>
      <c r="S91" s="330"/>
      <c r="T91" s="330"/>
      <c r="U91" s="330"/>
      <c r="V91" s="244"/>
      <c r="W91" s="46"/>
      <c r="X91" s="330"/>
      <c r="Y91" s="79"/>
      <c r="Z91" s="432"/>
      <c r="AA91" s="309"/>
      <c r="AB91" s="47"/>
      <c r="AC91" s="210"/>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1"/>
      <c r="ED91" s="111"/>
    </row>
    <row r="92" spans="1:134" s="112" customFormat="1" ht="15" x14ac:dyDescent="0.25">
      <c r="A92" s="86"/>
      <c r="B92" s="86"/>
      <c r="C92" s="86"/>
      <c r="D92" s="86"/>
      <c r="E92" s="86"/>
      <c r="F92" s="86"/>
      <c r="G92" s="86"/>
      <c r="H92" s="86"/>
      <c r="I92" s="87"/>
      <c r="J92" s="87"/>
      <c r="K92" s="87"/>
      <c r="L92" s="87"/>
      <c r="M92" s="87"/>
      <c r="N92" s="87"/>
      <c r="O92" s="86"/>
      <c r="P92" s="86"/>
      <c r="Q92" s="88">
        <f>+Q69</f>
        <v>2876433553</v>
      </c>
      <c r="R92" s="86"/>
      <c r="S92" s="86"/>
      <c r="T92" s="86"/>
      <c r="U92" s="86"/>
      <c r="V92" s="103">
        <f>SUM(V69:V91)</f>
        <v>2876433553</v>
      </c>
      <c r="W92" s="89"/>
      <c r="X92" s="86"/>
      <c r="Y92" s="95"/>
      <c r="Z92" s="103">
        <f>SUM(Z69:Z91)</f>
        <v>2876433553</v>
      </c>
      <c r="AA92" s="86"/>
      <c r="AB92" s="95"/>
      <c r="AC92" s="103">
        <f>SUM(AC69:AC91)</f>
        <v>2876433553</v>
      </c>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c r="EA92" s="111"/>
      <c r="EB92" s="111"/>
      <c r="EC92" s="111"/>
      <c r="ED92" s="111"/>
    </row>
    <row r="93" spans="1:134" s="112" customFormat="1" ht="27" x14ac:dyDescent="0.25">
      <c r="A93" s="692" t="s">
        <v>1060</v>
      </c>
      <c r="B93" s="732" t="s">
        <v>1061</v>
      </c>
      <c r="C93" s="699" t="s">
        <v>1062</v>
      </c>
      <c r="D93" s="200" t="s">
        <v>801</v>
      </c>
      <c r="E93" s="8" t="s">
        <v>244</v>
      </c>
      <c r="F93" s="228"/>
      <c r="G93" s="228"/>
      <c r="H93" s="228"/>
      <c r="I93" s="228"/>
      <c r="J93" s="289">
        <v>172550000</v>
      </c>
      <c r="K93" s="228"/>
      <c r="L93" s="228"/>
      <c r="M93" s="330"/>
      <c r="N93" s="330"/>
      <c r="O93" s="228"/>
      <c r="P93" s="505">
        <f>8550000+270386</f>
        <v>8820386</v>
      </c>
      <c r="Q93" s="613">
        <f t="shared" si="0"/>
        <v>163729614</v>
      </c>
      <c r="R93" s="742">
        <f>+Q97</f>
        <v>192276405</v>
      </c>
      <c r="S93" s="78" t="s">
        <v>1779</v>
      </c>
      <c r="T93" s="457">
        <v>501</v>
      </c>
      <c r="U93" s="80" t="s">
        <v>1780</v>
      </c>
      <c r="V93" s="345">
        <v>154234007</v>
      </c>
      <c r="W93" s="46"/>
      <c r="X93" s="182">
        <v>1048</v>
      </c>
      <c r="Y93" s="47">
        <v>44792</v>
      </c>
      <c r="Z93" s="345">
        <v>154234007</v>
      </c>
      <c r="AA93" s="182">
        <v>6051</v>
      </c>
      <c r="AB93" s="47" t="s">
        <v>2789</v>
      </c>
      <c r="AC93" s="169">
        <v>154234007</v>
      </c>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c r="ED93" s="111"/>
    </row>
    <row r="94" spans="1:134" s="112" customFormat="1" ht="40.5" x14ac:dyDescent="0.25">
      <c r="A94" s="693"/>
      <c r="B94" s="733"/>
      <c r="C94" s="700"/>
      <c r="D94" s="200" t="s">
        <v>1140</v>
      </c>
      <c r="E94" s="8" t="s">
        <v>139</v>
      </c>
      <c r="F94" s="228"/>
      <c r="G94" s="228"/>
      <c r="H94" s="228"/>
      <c r="I94" s="228"/>
      <c r="J94" s="289">
        <v>11900000</v>
      </c>
      <c r="K94" s="228"/>
      <c r="L94" s="228"/>
      <c r="M94" s="330"/>
      <c r="N94" s="330"/>
      <c r="O94" s="274">
        <v>8550000</v>
      </c>
      <c r="P94" s="497">
        <f>13000000+3507768</f>
        <v>16507768</v>
      </c>
      <c r="Q94" s="613">
        <f t="shared" si="0"/>
        <v>3942232</v>
      </c>
      <c r="R94" s="743"/>
      <c r="S94" s="80" t="s">
        <v>2227</v>
      </c>
      <c r="T94" s="459" t="s">
        <v>2228</v>
      </c>
      <c r="U94" s="80" t="s">
        <v>2229</v>
      </c>
      <c r="V94" s="519">
        <v>3885086</v>
      </c>
      <c r="W94" s="46"/>
      <c r="X94" s="196">
        <v>1282</v>
      </c>
      <c r="Y94" s="47" t="s">
        <v>2775</v>
      </c>
      <c r="Z94" s="560">
        <v>3885086</v>
      </c>
      <c r="AA94" s="196">
        <v>5928</v>
      </c>
      <c r="AB94" s="47" t="s">
        <v>2797</v>
      </c>
      <c r="AC94" s="169">
        <v>3885086</v>
      </c>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1"/>
      <c r="ED94" s="111"/>
    </row>
    <row r="95" spans="1:134" s="112" customFormat="1" ht="27" x14ac:dyDescent="0.25">
      <c r="A95" s="694"/>
      <c r="B95" s="734"/>
      <c r="C95" s="701"/>
      <c r="D95" s="200" t="s">
        <v>1142</v>
      </c>
      <c r="E95" s="8" t="s">
        <v>247</v>
      </c>
      <c r="F95" s="228"/>
      <c r="G95" s="228"/>
      <c r="H95" s="228"/>
      <c r="I95" s="228"/>
      <c r="J95" s="289">
        <v>11900000</v>
      </c>
      <c r="K95" s="228"/>
      <c r="L95" s="228"/>
      <c r="M95" s="330"/>
      <c r="N95" s="330"/>
      <c r="O95" s="228"/>
      <c r="P95" s="274">
        <v>295441</v>
      </c>
      <c r="Q95" s="613">
        <f t="shared" si="0"/>
        <v>11604559</v>
      </c>
      <c r="R95" s="743"/>
      <c r="S95" s="80" t="s">
        <v>2192</v>
      </c>
      <c r="T95" s="457">
        <v>589</v>
      </c>
      <c r="U95" s="80" t="s">
        <v>2193</v>
      </c>
      <c r="V95" s="345">
        <v>7914393</v>
      </c>
      <c r="W95" s="46"/>
      <c r="X95" s="196">
        <v>1172</v>
      </c>
      <c r="Y95" s="47">
        <v>44819</v>
      </c>
      <c r="Z95" s="345">
        <v>7914393</v>
      </c>
      <c r="AA95" s="196">
        <v>6337</v>
      </c>
      <c r="AB95" s="47" t="s">
        <v>2832</v>
      </c>
      <c r="AC95" s="169">
        <v>7914393</v>
      </c>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c r="EA95" s="111"/>
      <c r="EB95" s="111"/>
      <c r="EC95" s="111"/>
      <c r="ED95" s="111"/>
    </row>
    <row r="96" spans="1:134" s="112" customFormat="1" ht="25.5" x14ac:dyDescent="0.25">
      <c r="A96" s="332"/>
      <c r="B96" s="335"/>
      <c r="C96" s="331"/>
      <c r="D96" s="330" t="s">
        <v>806</v>
      </c>
      <c r="E96" s="8" t="s">
        <v>239</v>
      </c>
      <c r="F96" s="330"/>
      <c r="G96" s="330"/>
      <c r="H96" s="330"/>
      <c r="I96" s="45"/>
      <c r="J96" s="290"/>
      <c r="K96" s="45"/>
      <c r="L96" s="45"/>
      <c r="M96" s="45"/>
      <c r="N96" s="45"/>
      <c r="O96" s="274">
        <v>13000000</v>
      </c>
      <c r="P96" s="504">
        <f>163729614-Q93</f>
        <v>0</v>
      </c>
      <c r="Q96" s="613">
        <f t="shared" si="0"/>
        <v>13000000</v>
      </c>
      <c r="R96" s="744"/>
      <c r="S96" s="80" t="s">
        <v>2227</v>
      </c>
      <c r="T96" s="457" t="s">
        <v>2230</v>
      </c>
      <c r="U96" s="80" t="s">
        <v>2231</v>
      </c>
      <c r="V96" s="345">
        <v>12823704</v>
      </c>
      <c r="W96" s="46"/>
      <c r="X96" s="333">
        <v>1282</v>
      </c>
      <c r="Y96" s="47" t="s">
        <v>2775</v>
      </c>
      <c r="Z96" s="560">
        <v>12823704</v>
      </c>
      <c r="AA96" s="333">
        <v>5928</v>
      </c>
      <c r="AB96" s="47" t="s">
        <v>2797</v>
      </c>
      <c r="AC96" s="169">
        <v>12823704</v>
      </c>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1"/>
      <c r="ED96" s="111"/>
    </row>
    <row r="97" spans="1:134" s="112" customFormat="1" ht="15" x14ac:dyDescent="0.25">
      <c r="A97" s="86"/>
      <c r="B97" s="86"/>
      <c r="C97" s="86"/>
      <c r="D97" s="86"/>
      <c r="E97" s="86"/>
      <c r="F97" s="86"/>
      <c r="G97" s="86"/>
      <c r="H97" s="86"/>
      <c r="I97" s="87"/>
      <c r="J97" s="87"/>
      <c r="K97" s="87"/>
      <c r="L97" s="87"/>
      <c r="M97" s="87"/>
      <c r="N97" s="87"/>
      <c r="O97" s="86"/>
      <c r="P97" s="86"/>
      <c r="Q97" s="88">
        <f>SUM(Q93:Q96)</f>
        <v>192276405</v>
      </c>
      <c r="R97" s="86"/>
      <c r="S97" s="86"/>
      <c r="T97" s="86"/>
      <c r="U97" s="86"/>
      <c r="V97" s="103">
        <f>SUM(V93:V96)</f>
        <v>178857190</v>
      </c>
      <c r="W97" s="89"/>
      <c r="X97" s="86"/>
      <c r="Y97" s="95"/>
      <c r="Z97" s="103">
        <f>SUM(Z93:Z96)</f>
        <v>178857190</v>
      </c>
      <c r="AA97" s="86"/>
      <c r="AB97" s="95"/>
      <c r="AC97" s="103">
        <f>SUM(AC93:AC96)</f>
        <v>178857190</v>
      </c>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c r="EA97" s="111"/>
      <c r="EB97" s="111"/>
      <c r="EC97" s="111"/>
      <c r="ED97" s="111"/>
    </row>
    <row r="98" spans="1:134" s="112" customFormat="1" ht="25.5" x14ac:dyDescent="0.25">
      <c r="A98" s="692" t="s">
        <v>1063</v>
      </c>
      <c r="B98" s="702" t="s">
        <v>1064</v>
      </c>
      <c r="C98" s="699" t="s">
        <v>1065</v>
      </c>
      <c r="D98" s="200" t="s">
        <v>802</v>
      </c>
      <c r="E98" s="8" t="s">
        <v>245</v>
      </c>
      <c r="F98" s="228"/>
      <c r="G98" s="228"/>
      <c r="H98" s="228"/>
      <c r="I98" s="228"/>
      <c r="J98" s="289">
        <v>23577292</v>
      </c>
      <c r="K98" s="228"/>
      <c r="L98" s="228"/>
      <c r="M98" s="330"/>
      <c r="N98" s="330"/>
      <c r="O98" s="228"/>
      <c r="P98" s="274">
        <v>23577292</v>
      </c>
      <c r="Q98" s="614">
        <f t="shared" si="0"/>
        <v>0</v>
      </c>
      <c r="R98" s="742">
        <f>+Q100</f>
        <v>196350000</v>
      </c>
      <c r="S98" s="182"/>
      <c r="T98" s="241"/>
      <c r="U98" s="182"/>
      <c r="V98" s="180"/>
      <c r="W98" s="46"/>
      <c r="X98" s="182"/>
      <c r="Y98" s="47"/>
      <c r="Z98" s="180"/>
      <c r="AA98" s="182"/>
      <c r="AB98" s="47"/>
      <c r="AC98" s="210"/>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row>
    <row r="99" spans="1:134" s="112" customFormat="1" ht="25.5" x14ac:dyDescent="0.25">
      <c r="A99" s="694"/>
      <c r="B99" s="704"/>
      <c r="C99" s="701"/>
      <c r="D99" s="200" t="s">
        <v>1138</v>
      </c>
      <c r="E99" s="8" t="s">
        <v>1137</v>
      </c>
      <c r="F99" s="228"/>
      <c r="G99" s="228"/>
      <c r="H99" s="228"/>
      <c r="I99" s="228"/>
      <c r="J99" s="289">
        <v>172772708</v>
      </c>
      <c r="K99" s="228"/>
      <c r="L99" s="228"/>
      <c r="M99" s="330"/>
      <c r="N99" s="330"/>
      <c r="O99" s="274">
        <v>23577292</v>
      </c>
      <c r="P99" s="228"/>
      <c r="Q99" s="614">
        <f t="shared" si="0"/>
        <v>196350000</v>
      </c>
      <c r="R99" s="744"/>
      <c r="S99" s="460" t="s">
        <v>2232</v>
      </c>
      <c r="T99" s="154" t="s">
        <v>885</v>
      </c>
      <c r="U99" s="265">
        <v>44860</v>
      </c>
      <c r="V99" s="417">
        <v>0</v>
      </c>
      <c r="W99" s="46"/>
      <c r="X99" s="196"/>
      <c r="Y99" s="47"/>
      <c r="Z99" s="194"/>
      <c r="AA99" s="196"/>
      <c r="AB99" s="47"/>
      <c r="AC99" s="210"/>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row>
    <row r="100" spans="1:134" s="112" customFormat="1" ht="15" x14ac:dyDescent="0.25">
      <c r="A100" s="86"/>
      <c r="B100" s="86"/>
      <c r="C100" s="86"/>
      <c r="D100" s="86"/>
      <c r="E100" s="86"/>
      <c r="F100" s="86"/>
      <c r="G100" s="86"/>
      <c r="H100" s="86"/>
      <c r="I100" s="87"/>
      <c r="J100" s="87"/>
      <c r="K100" s="87"/>
      <c r="L100" s="87"/>
      <c r="M100" s="87"/>
      <c r="N100" s="87"/>
      <c r="O100" s="86"/>
      <c r="P100" s="86"/>
      <c r="Q100" s="88">
        <f>SUM(Q98:Q99)</f>
        <v>196350000</v>
      </c>
      <c r="R100" s="86"/>
      <c r="S100" s="86"/>
      <c r="T100" s="86"/>
      <c r="U100" s="86"/>
      <c r="V100" s="103">
        <f>SUM(V98:V99)</f>
        <v>0</v>
      </c>
      <c r="W100" s="89"/>
      <c r="X100" s="86"/>
      <c r="Y100" s="95"/>
      <c r="Z100" s="103">
        <f>SUM(Z98:Z99)</f>
        <v>0</v>
      </c>
      <c r="AA100" s="86"/>
      <c r="AB100" s="95"/>
      <c r="AC100" s="103">
        <f>SUM(AC98:AC99)</f>
        <v>0</v>
      </c>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row>
    <row r="101" spans="1:134" s="112" customFormat="1" ht="27" x14ac:dyDescent="0.25">
      <c r="A101" s="692" t="s">
        <v>1066</v>
      </c>
      <c r="B101" s="702" t="s">
        <v>1067</v>
      </c>
      <c r="C101" s="699" t="s">
        <v>1065</v>
      </c>
      <c r="D101" s="200" t="s">
        <v>804</v>
      </c>
      <c r="E101" s="8" t="s">
        <v>165</v>
      </c>
      <c r="F101" s="228"/>
      <c r="G101" s="228"/>
      <c r="H101" s="228"/>
      <c r="I101" s="228"/>
      <c r="J101" s="289">
        <v>69398753</v>
      </c>
      <c r="K101" s="289">
        <v>4047797</v>
      </c>
      <c r="L101" s="228"/>
      <c r="M101" s="330"/>
      <c r="N101" s="330"/>
      <c r="O101" s="228"/>
      <c r="P101" s="228"/>
      <c r="Q101" s="614">
        <f t="shared" si="0"/>
        <v>73446550</v>
      </c>
      <c r="R101" s="742">
        <f>+Q103</f>
        <v>73446550</v>
      </c>
      <c r="S101" s="78" t="s">
        <v>1758</v>
      </c>
      <c r="T101" s="457">
        <v>558</v>
      </c>
      <c r="U101" s="80" t="s">
        <v>1763</v>
      </c>
      <c r="V101" s="345">
        <v>73446550</v>
      </c>
      <c r="W101" s="46"/>
      <c r="X101" s="365">
        <v>1115</v>
      </c>
      <c r="Y101" s="47">
        <v>44799</v>
      </c>
      <c r="Z101" s="347">
        <v>73446550</v>
      </c>
      <c r="AA101" s="182">
        <v>5188</v>
      </c>
      <c r="AB101" s="47" t="s">
        <v>2833</v>
      </c>
      <c r="AC101" s="347">
        <v>73446550</v>
      </c>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1"/>
      <c r="ED101" s="111"/>
    </row>
    <row r="102" spans="1:134" s="112" customFormat="1" ht="25.5" x14ac:dyDescent="0.25">
      <c r="A102" s="694"/>
      <c r="B102" s="704"/>
      <c r="C102" s="701"/>
      <c r="D102" s="200" t="s">
        <v>1138</v>
      </c>
      <c r="E102" s="8" t="s">
        <v>1137</v>
      </c>
      <c r="F102" s="228"/>
      <c r="G102" s="228"/>
      <c r="H102" s="228"/>
      <c r="I102" s="228"/>
      <c r="J102" s="289">
        <v>5504356</v>
      </c>
      <c r="K102" s="228"/>
      <c r="L102" s="228"/>
      <c r="M102" s="330"/>
      <c r="N102" s="330"/>
      <c r="O102" s="228"/>
      <c r="P102" s="274">
        <v>5504356</v>
      </c>
      <c r="Q102" s="66">
        <f t="shared" si="0"/>
        <v>0</v>
      </c>
      <c r="R102" s="744"/>
      <c r="S102" s="462" t="s">
        <v>2233</v>
      </c>
      <c r="T102" s="154" t="s">
        <v>885</v>
      </c>
      <c r="U102" s="273">
        <v>44861</v>
      </c>
      <c r="V102" s="274">
        <v>0</v>
      </c>
      <c r="W102" s="46"/>
      <c r="X102" s="196"/>
      <c r="Y102" s="47"/>
      <c r="Z102" s="194"/>
      <c r="AA102" s="196"/>
      <c r="AB102" s="47"/>
      <c r="AC102" s="210"/>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1"/>
      <c r="ED102" s="111"/>
    </row>
    <row r="103" spans="1:134" s="112" customFormat="1" ht="15" x14ac:dyDescent="0.25">
      <c r="A103" s="86"/>
      <c r="B103" s="86"/>
      <c r="C103" s="86"/>
      <c r="D103" s="86"/>
      <c r="E103" s="86"/>
      <c r="F103" s="86"/>
      <c r="G103" s="86"/>
      <c r="H103" s="86"/>
      <c r="I103" s="87"/>
      <c r="J103" s="87"/>
      <c r="K103" s="87"/>
      <c r="L103" s="87"/>
      <c r="M103" s="87"/>
      <c r="N103" s="87"/>
      <c r="O103" s="86"/>
      <c r="P103" s="86"/>
      <c r="Q103" s="88">
        <f>SUM(Q101:Q102)</f>
        <v>73446550</v>
      </c>
      <c r="R103" s="86"/>
      <c r="S103" s="86"/>
      <c r="T103" s="86"/>
      <c r="U103" s="86"/>
      <c r="V103" s="103">
        <f>SUM(V101:V102)</f>
        <v>73446550</v>
      </c>
      <c r="W103" s="89"/>
      <c r="X103" s="86"/>
      <c r="Y103" s="95"/>
      <c r="Z103" s="103">
        <f>SUM(Z101:Z102)</f>
        <v>73446550</v>
      </c>
      <c r="AA103" s="86"/>
      <c r="AB103" s="95"/>
      <c r="AC103" s="103">
        <f>SUM(AC101:AC102)</f>
        <v>73446550</v>
      </c>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1"/>
      <c r="ED103" s="111"/>
    </row>
    <row r="104" spans="1:134" s="112" customFormat="1" ht="27" x14ac:dyDescent="0.25">
      <c r="A104" s="692" t="s">
        <v>1068</v>
      </c>
      <c r="B104" s="702" t="s">
        <v>1069</v>
      </c>
      <c r="C104" s="699" t="s">
        <v>1070</v>
      </c>
      <c r="D104" s="200" t="s">
        <v>801</v>
      </c>
      <c r="E104" s="8" t="s">
        <v>244</v>
      </c>
      <c r="F104" s="228"/>
      <c r="G104" s="228"/>
      <c r="H104" s="228"/>
      <c r="I104" s="228"/>
      <c r="J104" s="289">
        <v>69500000</v>
      </c>
      <c r="K104" s="228"/>
      <c r="L104" s="228"/>
      <c r="M104" s="330"/>
      <c r="N104" s="330"/>
      <c r="O104" s="228"/>
      <c r="P104" s="274">
        <v>69500000</v>
      </c>
      <c r="Q104" s="230">
        <f>+F104+G104+H104+I104+J104+K104+L104+O104-P104</f>
        <v>0</v>
      </c>
      <c r="R104" s="742">
        <f>+Q107</f>
        <v>0</v>
      </c>
      <c r="S104" s="330"/>
      <c r="T104" s="330"/>
      <c r="U104" s="330"/>
      <c r="V104" s="432"/>
      <c r="W104" s="46"/>
      <c r="X104" s="182"/>
      <c r="Y104" s="47"/>
      <c r="Z104" s="180"/>
      <c r="AA104" s="182"/>
      <c r="AB104" s="47"/>
      <c r="AC104" s="210"/>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c r="EA104" s="111"/>
      <c r="EB104" s="111"/>
      <c r="EC104" s="111"/>
      <c r="ED104" s="111"/>
    </row>
    <row r="105" spans="1:134" s="112" customFormat="1" ht="25.5" x14ac:dyDescent="0.25">
      <c r="A105" s="693"/>
      <c r="B105" s="703"/>
      <c r="C105" s="700"/>
      <c r="D105" s="200" t="s">
        <v>1141</v>
      </c>
      <c r="E105" s="8" t="s">
        <v>980</v>
      </c>
      <c r="F105" s="228"/>
      <c r="G105" s="228"/>
      <c r="H105" s="228"/>
      <c r="I105" s="228"/>
      <c r="J105" s="289">
        <v>8461500</v>
      </c>
      <c r="K105" s="228"/>
      <c r="L105" s="228"/>
      <c r="M105" s="330"/>
      <c r="N105" s="330"/>
      <c r="O105" s="228"/>
      <c r="P105" s="274">
        <v>8461500</v>
      </c>
      <c r="Q105" s="230">
        <f>+F105+G105+H105+I105+J105+K105+L105+O105-P105</f>
        <v>0</v>
      </c>
      <c r="R105" s="743"/>
      <c r="S105" s="330"/>
      <c r="T105" s="330"/>
      <c r="U105" s="330"/>
      <c r="V105" s="432"/>
      <c r="W105" s="46"/>
      <c r="X105" s="196"/>
      <c r="Y105" s="47"/>
      <c r="Z105" s="194"/>
      <c r="AA105" s="196"/>
      <c r="AB105" s="47"/>
      <c r="AC105" s="210"/>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c r="EA105" s="111"/>
      <c r="EB105" s="111"/>
      <c r="EC105" s="111"/>
      <c r="ED105" s="111"/>
    </row>
    <row r="106" spans="1:134" s="112" customFormat="1" ht="25.5" x14ac:dyDescent="0.25">
      <c r="A106" s="694"/>
      <c r="B106" s="704"/>
      <c r="C106" s="701"/>
      <c r="D106" s="200" t="s">
        <v>1143</v>
      </c>
      <c r="E106" s="8" t="s">
        <v>123</v>
      </c>
      <c r="F106" s="228"/>
      <c r="G106" s="228"/>
      <c r="H106" s="228"/>
      <c r="I106" s="228"/>
      <c r="J106" s="289">
        <v>59954343</v>
      </c>
      <c r="K106" s="228"/>
      <c r="L106" s="228"/>
      <c r="M106" s="330"/>
      <c r="N106" s="330"/>
      <c r="O106" s="228"/>
      <c r="P106" s="274">
        <v>59954343</v>
      </c>
      <c r="Q106" s="230">
        <f t="shared" si="0"/>
        <v>0</v>
      </c>
      <c r="R106" s="744"/>
      <c r="S106" s="330"/>
      <c r="T106" s="330"/>
      <c r="U106" s="330"/>
      <c r="V106" s="432"/>
      <c r="W106" s="46"/>
      <c r="X106" s="196"/>
      <c r="Y106" s="47"/>
      <c r="Z106" s="194"/>
      <c r="AA106" s="196"/>
      <c r="AB106" s="47"/>
      <c r="AC106" s="210"/>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c r="EA106" s="111"/>
      <c r="EB106" s="111"/>
      <c r="EC106" s="111"/>
      <c r="ED106" s="111"/>
    </row>
    <row r="107" spans="1:134" s="112" customFormat="1" ht="15" x14ac:dyDescent="0.25">
      <c r="A107" s="86"/>
      <c r="B107" s="86"/>
      <c r="C107" s="86"/>
      <c r="D107" s="86"/>
      <c r="E107" s="86"/>
      <c r="F107" s="86"/>
      <c r="G107" s="86"/>
      <c r="H107" s="86"/>
      <c r="I107" s="87"/>
      <c r="J107" s="87"/>
      <c r="K107" s="87"/>
      <c r="L107" s="87"/>
      <c r="M107" s="87"/>
      <c r="N107" s="87"/>
      <c r="O107" s="86"/>
      <c r="P107" s="86"/>
      <c r="Q107" s="88">
        <f>SUM(Q104:Q106)</f>
        <v>0</v>
      </c>
      <c r="R107" s="86"/>
      <c r="S107" s="86"/>
      <c r="T107" s="86"/>
      <c r="U107" s="86"/>
      <c r="V107" s="103">
        <f>SUM(V104:V106)</f>
        <v>0</v>
      </c>
      <c r="W107" s="89"/>
      <c r="X107" s="86"/>
      <c r="Y107" s="95"/>
      <c r="Z107" s="103">
        <f>SUM(Z104:Z106)</f>
        <v>0</v>
      </c>
      <c r="AA107" s="86"/>
      <c r="AB107" s="95"/>
      <c r="AC107" s="103">
        <f>SUM(AC104:AC106)</f>
        <v>0</v>
      </c>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c r="EA107" s="111"/>
      <c r="EB107" s="111"/>
      <c r="EC107" s="111"/>
      <c r="ED107" s="111"/>
    </row>
    <row r="108" spans="1:134" s="112" customFormat="1" ht="27" x14ac:dyDescent="0.25">
      <c r="A108" s="692" t="s">
        <v>1071</v>
      </c>
      <c r="B108" s="702" t="s">
        <v>1072</v>
      </c>
      <c r="C108" s="699" t="s">
        <v>1073</v>
      </c>
      <c r="D108" s="200" t="s">
        <v>801</v>
      </c>
      <c r="E108" s="8" t="s">
        <v>244</v>
      </c>
      <c r="F108" s="228"/>
      <c r="G108" s="228"/>
      <c r="H108" s="228"/>
      <c r="I108" s="228"/>
      <c r="J108" s="289">
        <v>6000000</v>
      </c>
      <c r="K108" s="228"/>
      <c r="L108" s="228"/>
      <c r="M108" s="330"/>
      <c r="N108" s="330"/>
      <c r="O108" s="228"/>
      <c r="P108" s="274">
        <v>3679500</v>
      </c>
      <c r="Q108" s="614">
        <f t="shared" si="0"/>
        <v>2320500</v>
      </c>
      <c r="R108" s="742">
        <f>+Q120</f>
        <v>104070321</v>
      </c>
      <c r="S108" s="78" t="s">
        <v>1784</v>
      </c>
      <c r="T108" s="457">
        <v>662</v>
      </c>
      <c r="U108" s="80" t="s">
        <v>1788</v>
      </c>
      <c r="V108" s="345">
        <v>2320500</v>
      </c>
      <c r="W108" s="46"/>
      <c r="X108" s="182">
        <v>1276</v>
      </c>
      <c r="Y108" s="47" t="s">
        <v>2769</v>
      </c>
      <c r="Z108" s="345">
        <v>2320500</v>
      </c>
      <c r="AA108" s="568">
        <v>6311</v>
      </c>
      <c r="AB108" s="273" t="s">
        <v>2832</v>
      </c>
      <c r="AC108" s="345">
        <v>2320500</v>
      </c>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c r="EA108" s="111"/>
      <c r="EB108" s="111"/>
      <c r="EC108" s="111"/>
      <c r="ED108" s="111"/>
    </row>
    <row r="109" spans="1:134" s="112" customFormat="1" ht="27" x14ac:dyDescent="0.25">
      <c r="A109" s="693"/>
      <c r="B109" s="703"/>
      <c r="C109" s="700"/>
      <c r="D109" s="200" t="s">
        <v>804</v>
      </c>
      <c r="E109" s="8" t="s">
        <v>165</v>
      </c>
      <c r="F109" s="228"/>
      <c r="G109" s="228"/>
      <c r="H109" s="228"/>
      <c r="I109" s="228"/>
      <c r="J109" s="289">
        <v>27450000</v>
      </c>
      <c r="K109" s="228"/>
      <c r="L109" s="228"/>
      <c r="M109" s="330"/>
      <c r="N109" s="330"/>
      <c r="O109" s="274">
        <v>24047020</v>
      </c>
      <c r="P109" s="274"/>
      <c r="Q109" s="614">
        <f t="shared" si="0"/>
        <v>51497020</v>
      </c>
      <c r="R109" s="743"/>
      <c r="S109" s="78" t="s">
        <v>1758</v>
      </c>
      <c r="T109" s="457">
        <v>556</v>
      </c>
      <c r="U109" s="80" t="s">
        <v>1760</v>
      </c>
      <c r="V109" s="345">
        <v>18250000</v>
      </c>
      <c r="W109" s="46"/>
      <c r="X109" s="365">
        <v>1115</v>
      </c>
      <c r="Y109" s="47">
        <v>44799</v>
      </c>
      <c r="Z109" s="345">
        <v>18250000</v>
      </c>
      <c r="AA109" s="554">
        <v>5188</v>
      </c>
      <c r="AB109" s="265" t="s">
        <v>2833</v>
      </c>
      <c r="AC109" s="345">
        <v>18250000</v>
      </c>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c r="EA109" s="111"/>
      <c r="EB109" s="111"/>
      <c r="EC109" s="111"/>
      <c r="ED109" s="111"/>
    </row>
    <row r="110" spans="1:134" s="112" customFormat="1" ht="15" x14ac:dyDescent="0.25">
      <c r="A110" s="693"/>
      <c r="B110" s="703"/>
      <c r="C110" s="700"/>
      <c r="D110" s="330"/>
      <c r="E110" s="8"/>
      <c r="F110" s="330"/>
      <c r="G110" s="330"/>
      <c r="H110" s="330"/>
      <c r="I110" s="330"/>
      <c r="J110" s="289"/>
      <c r="K110" s="330"/>
      <c r="L110" s="330"/>
      <c r="M110" s="330"/>
      <c r="N110" s="330"/>
      <c r="O110" s="274"/>
      <c r="P110" s="330"/>
      <c r="Q110" s="274"/>
      <c r="R110" s="743"/>
      <c r="S110" s="462" t="s">
        <v>2233</v>
      </c>
      <c r="T110" s="154" t="s">
        <v>885</v>
      </c>
      <c r="U110" s="273">
        <v>44861</v>
      </c>
      <c r="V110" s="345"/>
      <c r="W110" s="46"/>
      <c r="X110" s="409"/>
      <c r="Y110" s="47"/>
      <c r="Z110" s="347"/>
      <c r="AA110" s="409"/>
      <c r="AB110" s="47"/>
      <c r="AC110" s="463"/>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c r="EA110" s="111"/>
      <c r="EB110" s="111"/>
      <c r="EC110" s="111"/>
      <c r="ED110" s="111"/>
    </row>
    <row r="111" spans="1:134" s="633" customFormat="1" ht="27" x14ac:dyDescent="0.25">
      <c r="A111" s="693"/>
      <c r="B111" s="703"/>
      <c r="C111" s="700"/>
      <c r="D111" s="618" t="s">
        <v>2194</v>
      </c>
      <c r="E111" s="619" t="s">
        <v>111</v>
      </c>
      <c r="F111" s="617"/>
      <c r="G111" s="617"/>
      <c r="H111" s="617"/>
      <c r="I111" s="617"/>
      <c r="J111" s="622">
        <v>10500000</v>
      </c>
      <c r="K111" s="617"/>
      <c r="L111" s="617"/>
      <c r="M111" s="617"/>
      <c r="N111" s="617"/>
      <c r="O111" s="656"/>
      <c r="P111" s="617"/>
      <c r="Q111" s="622">
        <f t="shared" si="0"/>
        <v>10500000</v>
      </c>
      <c r="R111" s="743"/>
      <c r="S111" s="624" t="s">
        <v>2233</v>
      </c>
      <c r="T111" s="617" t="s">
        <v>885</v>
      </c>
      <c r="U111" s="625">
        <v>44861</v>
      </c>
      <c r="V111" s="638"/>
      <c r="W111" s="627"/>
      <c r="X111" s="628"/>
      <c r="Y111" s="629"/>
      <c r="Z111" s="630"/>
      <c r="AA111" s="628"/>
      <c r="AB111" s="629"/>
      <c r="AC111" s="631"/>
      <c r="AD111" s="632"/>
      <c r="AE111" s="632"/>
      <c r="AF111" s="632"/>
      <c r="AG111" s="632"/>
      <c r="AH111" s="632"/>
      <c r="AI111" s="632"/>
      <c r="AJ111" s="632"/>
      <c r="AK111" s="632"/>
      <c r="AL111" s="632"/>
      <c r="AM111" s="632"/>
      <c r="AN111" s="632"/>
      <c r="AO111" s="632"/>
      <c r="AP111" s="632"/>
      <c r="AQ111" s="632"/>
      <c r="AR111" s="632"/>
      <c r="AS111" s="632"/>
      <c r="AT111" s="632"/>
      <c r="AU111" s="632"/>
      <c r="AV111" s="632"/>
      <c r="AW111" s="632"/>
      <c r="AX111" s="632"/>
      <c r="AY111" s="632"/>
      <c r="AZ111" s="632"/>
      <c r="BA111" s="632"/>
      <c r="BB111" s="632"/>
      <c r="BC111" s="632"/>
      <c r="BD111" s="632"/>
      <c r="BE111" s="632"/>
      <c r="BF111" s="632"/>
      <c r="BG111" s="632"/>
      <c r="BH111" s="632"/>
      <c r="BI111" s="632"/>
      <c r="BJ111" s="632"/>
      <c r="BK111" s="632"/>
      <c r="BL111" s="632"/>
      <c r="BM111" s="632"/>
      <c r="BN111" s="632"/>
      <c r="BO111" s="632"/>
      <c r="BP111" s="632"/>
      <c r="BQ111" s="632"/>
      <c r="BR111" s="632"/>
      <c r="BS111" s="632"/>
      <c r="BT111" s="632"/>
      <c r="BU111" s="632"/>
      <c r="BV111" s="632"/>
      <c r="BW111" s="632"/>
      <c r="BX111" s="632"/>
      <c r="BY111" s="632"/>
      <c r="BZ111" s="632"/>
      <c r="CA111" s="632"/>
      <c r="CB111" s="632"/>
      <c r="CC111" s="632"/>
      <c r="CD111" s="632"/>
      <c r="CE111" s="632"/>
      <c r="CF111" s="632"/>
      <c r="CG111" s="632"/>
      <c r="CH111" s="632"/>
      <c r="CI111" s="632"/>
      <c r="CJ111" s="632"/>
      <c r="CK111" s="632"/>
      <c r="CL111" s="632"/>
      <c r="CM111" s="632"/>
      <c r="CN111" s="632"/>
      <c r="CO111" s="632"/>
      <c r="CP111" s="632"/>
      <c r="CQ111" s="632"/>
      <c r="CR111" s="632"/>
      <c r="CS111" s="632"/>
      <c r="CT111" s="632"/>
      <c r="CU111" s="632"/>
      <c r="CV111" s="632"/>
      <c r="CW111" s="632"/>
      <c r="CX111" s="632"/>
      <c r="CY111" s="632"/>
      <c r="CZ111" s="632"/>
      <c r="DA111" s="632"/>
      <c r="DB111" s="632"/>
      <c r="DC111" s="632"/>
      <c r="DD111" s="632"/>
      <c r="DE111" s="632"/>
      <c r="DF111" s="632"/>
      <c r="DG111" s="632"/>
      <c r="DH111" s="632"/>
      <c r="DI111" s="632"/>
      <c r="DJ111" s="632"/>
      <c r="DK111" s="632"/>
      <c r="DL111" s="632"/>
      <c r="DM111" s="632"/>
      <c r="DN111" s="632"/>
      <c r="DO111" s="632"/>
      <c r="DP111" s="632"/>
      <c r="DQ111" s="632"/>
      <c r="DR111" s="632"/>
      <c r="DS111" s="632"/>
      <c r="DT111" s="632"/>
      <c r="DU111" s="632"/>
      <c r="DV111" s="632"/>
      <c r="DW111" s="632"/>
      <c r="DX111" s="632"/>
      <c r="DY111" s="632"/>
      <c r="DZ111" s="632"/>
      <c r="EA111" s="632"/>
      <c r="EB111" s="632"/>
      <c r="EC111" s="632"/>
      <c r="ED111" s="632"/>
    </row>
    <row r="112" spans="1:134" s="112" customFormat="1" ht="27" x14ac:dyDescent="0.25">
      <c r="A112" s="693"/>
      <c r="B112" s="703"/>
      <c r="C112" s="700"/>
      <c r="D112" s="129" t="s">
        <v>1144</v>
      </c>
      <c r="E112" s="8" t="s">
        <v>117</v>
      </c>
      <c r="F112" s="228"/>
      <c r="G112" s="228"/>
      <c r="H112" s="228"/>
      <c r="I112" s="228"/>
      <c r="J112" s="289">
        <v>2400000</v>
      </c>
      <c r="K112" s="228"/>
      <c r="L112" s="228"/>
      <c r="M112" s="330"/>
      <c r="N112" s="330"/>
      <c r="O112" s="228"/>
      <c r="P112" s="274">
        <v>2400000</v>
      </c>
      <c r="Q112" s="66">
        <f t="shared" si="0"/>
        <v>0</v>
      </c>
      <c r="R112" s="743"/>
      <c r="S112" s="330"/>
      <c r="T112" s="330"/>
      <c r="U112" s="330"/>
      <c r="V112" s="244"/>
      <c r="W112" s="46"/>
      <c r="X112" s="196"/>
      <c r="Y112" s="47"/>
      <c r="Z112" s="194"/>
      <c r="AA112" s="196"/>
      <c r="AB112" s="47"/>
      <c r="AC112" s="210"/>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c r="EA112" s="111"/>
      <c r="EB112" s="111"/>
      <c r="EC112" s="111"/>
      <c r="ED112" s="111"/>
    </row>
    <row r="113" spans="1:134" s="112" customFormat="1" ht="25.5" x14ac:dyDescent="0.25">
      <c r="A113" s="693"/>
      <c r="B113" s="703"/>
      <c r="C113" s="700"/>
      <c r="D113" s="129" t="s">
        <v>1145</v>
      </c>
      <c r="E113" s="8" t="s">
        <v>140</v>
      </c>
      <c r="F113" s="228"/>
      <c r="G113" s="228"/>
      <c r="H113" s="228"/>
      <c r="I113" s="228"/>
      <c r="J113" s="289">
        <v>3500000</v>
      </c>
      <c r="K113" s="228"/>
      <c r="L113" s="228"/>
      <c r="M113" s="330"/>
      <c r="N113" s="330"/>
      <c r="O113" s="228"/>
      <c r="P113" s="274">
        <v>3500000</v>
      </c>
      <c r="Q113" s="66">
        <f t="shared" si="0"/>
        <v>0</v>
      </c>
      <c r="R113" s="743"/>
      <c r="S113" s="330"/>
      <c r="T113" s="330"/>
      <c r="U113" s="330"/>
      <c r="V113" s="244"/>
      <c r="W113" s="46"/>
      <c r="X113" s="196"/>
      <c r="Y113" s="47"/>
      <c r="Z113" s="194"/>
      <c r="AA113" s="196"/>
      <c r="AB113" s="47"/>
      <c r="AC113" s="210"/>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c r="EA113" s="111"/>
      <c r="EB113" s="111"/>
      <c r="EC113" s="111"/>
      <c r="ED113" s="111"/>
    </row>
    <row r="114" spans="1:134" s="112" customFormat="1" ht="67.5" x14ac:dyDescent="0.25">
      <c r="A114" s="693"/>
      <c r="B114" s="703"/>
      <c r="C114" s="700"/>
      <c r="D114" s="129" t="s">
        <v>1146</v>
      </c>
      <c r="E114" s="8" t="s">
        <v>100</v>
      </c>
      <c r="F114" s="228"/>
      <c r="G114" s="228"/>
      <c r="H114" s="228"/>
      <c r="I114" s="228"/>
      <c r="J114" s="289">
        <v>380432420</v>
      </c>
      <c r="K114" s="228"/>
      <c r="L114" s="228"/>
      <c r="M114" s="330"/>
      <c r="N114" s="330"/>
      <c r="O114" s="228"/>
      <c r="P114" s="274">
        <f>7775825+301542255+33614340</f>
        <v>342932420</v>
      </c>
      <c r="Q114" s="614">
        <f t="shared" si="0"/>
        <v>37500000</v>
      </c>
      <c r="R114" s="743"/>
      <c r="S114" s="78" t="s">
        <v>1849</v>
      </c>
      <c r="T114" s="457">
        <v>654</v>
      </c>
      <c r="U114" s="80" t="s">
        <v>1850</v>
      </c>
      <c r="V114" s="534">
        <v>11250000</v>
      </c>
      <c r="W114" s="46"/>
      <c r="X114" s="196">
        <v>1266</v>
      </c>
      <c r="Y114" s="47" t="s">
        <v>2776</v>
      </c>
      <c r="Z114" s="194">
        <v>11250000</v>
      </c>
      <c r="AA114" s="554">
        <v>5582</v>
      </c>
      <c r="AB114" s="265" t="s">
        <v>2781</v>
      </c>
      <c r="AC114" s="169">
        <v>3750000</v>
      </c>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c r="EA114" s="111"/>
      <c r="EB114" s="111"/>
      <c r="EC114" s="111"/>
      <c r="ED114" s="111"/>
    </row>
    <row r="115" spans="1:134" s="112" customFormat="1" ht="15" x14ac:dyDescent="0.25">
      <c r="A115" s="693"/>
      <c r="B115" s="703"/>
      <c r="C115" s="700"/>
      <c r="D115" s="557"/>
      <c r="E115" s="8"/>
      <c r="F115" s="330"/>
      <c r="G115" s="330"/>
      <c r="H115" s="330"/>
      <c r="I115" s="330"/>
      <c r="J115" s="289"/>
      <c r="K115" s="330"/>
      <c r="L115" s="330"/>
      <c r="M115" s="330"/>
      <c r="N115" s="330"/>
      <c r="O115" s="330"/>
      <c r="P115" s="274"/>
      <c r="Q115" s="274"/>
      <c r="R115" s="743"/>
      <c r="S115" s="78"/>
      <c r="T115" s="569"/>
      <c r="U115" s="80"/>
      <c r="V115" s="562"/>
      <c r="W115" s="46"/>
      <c r="X115" s="551"/>
      <c r="Y115" s="47"/>
      <c r="Z115" s="562"/>
      <c r="AA115" s="554">
        <v>5583</v>
      </c>
      <c r="AB115" s="265" t="s">
        <v>2781</v>
      </c>
      <c r="AC115" s="169">
        <v>3750000</v>
      </c>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c r="EA115" s="111"/>
      <c r="EB115" s="111"/>
      <c r="EC115" s="111"/>
      <c r="ED115" s="111"/>
    </row>
    <row r="116" spans="1:134" s="112" customFormat="1" ht="15" x14ac:dyDescent="0.25">
      <c r="A116" s="693"/>
      <c r="B116" s="703"/>
      <c r="C116" s="700"/>
      <c r="D116" s="557"/>
      <c r="E116" s="8"/>
      <c r="F116" s="330"/>
      <c r="G116" s="330"/>
      <c r="H116" s="330"/>
      <c r="I116" s="330"/>
      <c r="J116" s="289"/>
      <c r="K116" s="330"/>
      <c r="L116" s="330"/>
      <c r="M116" s="330"/>
      <c r="N116" s="330"/>
      <c r="O116" s="330"/>
      <c r="P116" s="274"/>
      <c r="Q116" s="274"/>
      <c r="R116" s="743"/>
      <c r="S116" s="78"/>
      <c r="T116" s="569"/>
      <c r="U116" s="80"/>
      <c r="V116" s="562"/>
      <c r="W116" s="46"/>
      <c r="X116" s="551"/>
      <c r="Y116" s="47"/>
      <c r="Z116" s="562"/>
      <c r="AA116" s="554">
        <v>5584</v>
      </c>
      <c r="AB116" s="265" t="s">
        <v>2781</v>
      </c>
      <c r="AC116" s="169">
        <v>3750000</v>
      </c>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c r="EA116" s="111"/>
      <c r="EB116" s="111"/>
      <c r="EC116" s="111"/>
      <c r="ED116" s="111"/>
    </row>
    <row r="117" spans="1:134" s="112" customFormat="1" ht="40.5" x14ac:dyDescent="0.25">
      <c r="A117" s="693"/>
      <c r="B117" s="703"/>
      <c r="C117" s="700"/>
      <c r="D117" s="202" t="s">
        <v>809</v>
      </c>
      <c r="E117" s="8" t="s">
        <v>106</v>
      </c>
      <c r="F117" s="228"/>
      <c r="G117" s="228"/>
      <c r="H117" s="228"/>
      <c r="I117" s="228"/>
      <c r="J117" s="289">
        <v>30000000</v>
      </c>
      <c r="K117" s="228"/>
      <c r="L117" s="228"/>
      <c r="M117" s="330"/>
      <c r="N117" s="330"/>
      <c r="O117" s="228"/>
      <c r="P117" s="274">
        <f>26535010+3462189</f>
        <v>29997199</v>
      </c>
      <c r="Q117" s="614">
        <f t="shared" si="0"/>
        <v>2801</v>
      </c>
      <c r="R117" s="743"/>
      <c r="S117" s="330"/>
      <c r="T117" s="330"/>
      <c r="U117" s="330"/>
      <c r="V117" s="244"/>
      <c r="W117" s="46"/>
      <c r="X117" s="196"/>
      <c r="Y117" s="47"/>
      <c r="Z117" s="194"/>
      <c r="AA117" s="196"/>
      <c r="AB117" s="47"/>
      <c r="AC117" s="210"/>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c r="EA117" s="111"/>
      <c r="EB117" s="111"/>
      <c r="EC117" s="111"/>
      <c r="ED117" s="111"/>
    </row>
    <row r="118" spans="1:134" s="112" customFormat="1" ht="25.5" x14ac:dyDescent="0.25">
      <c r="A118" s="693"/>
      <c r="B118" s="703"/>
      <c r="C118" s="700"/>
      <c r="D118" s="202" t="s">
        <v>1147</v>
      </c>
      <c r="E118" s="8" t="s">
        <v>113</v>
      </c>
      <c r="F118" s="228"/>
      <c r="G118" s="228"/>
      <c r="H118" s="228"/>
      <c r="I118" s="228"/>
      <c r="J118" s="289">
        <v>2400000</v>
      </c>
      <c r="K118" s="228"/>
      <c r="L118" s="228"/>
      <c r="M118" s="330"/>
      <c r="N118" s="330"/>
      <c r="O118" s="228"/>
      <c r="P118" s="274">
        <v>2400000</v>
      </c>
      <c r="Q118" s="66">
        <f t="shared" si="0"/>
        <v>0</v>
      </c>
      <c r="R118" s="743"/>
      <c r="S118" s="330"/>
      <c r="T118" s="330"/>
      <c r="U118" s="330"/>
      <c r="V118" s="244"/>
      <c r="W118" s="46"/>
      <c r="X118" s="196"/>
      <c r="Y118" s="47"/>
      <c r="Z118" s="194"/>
      <c r="AA118" s="196"/>
      <c r="AB118" s="47"/>
      <c r="AC118" s="210"/>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c r="EA118" s="111"/>
      <c r="EB118" s="111"/>
      <c r="EC118" s="111"/>
      <c r="ED118" s="111"/>
    </row>
    <row r="119" spans="1:134" s="112" customFormat="1" ht="54" x14ac:dyDescent="0.25">
      <c r="A119" s="694"/>
      <c r="B119" s="704"/>
      <c r="C119" s="701"/>
      <c r="D119" s="202" t="s">
        <v>1148</v>
      </c>
      <c r="E119" s="8" t="s">
        <v>230</v>
      </c>
      <c r="F119" s="228"/>
      <c r="G119" s="228"/>
      <c r="H119" s="228"/>
      <c r="I119" s="228"/>
      <c r="J119" s="289">
        <v>4150000</v>
      </c>
      <c r="K119" s="228"/>
      <c r="L119" s="228"/>
      <c r="M119" s="330"/>
      <c r="N119" s="330"/>
      <c r="O119" s="228"/>
      <c r="P119" s="274">
        <f>950000+950000</f>
        <v>1900000</v>
      </c>
      <c r="Q119" s="614">
        <f t="shared" si="0"/>
        <v>2250000</v>
      </c>
      <c r="R119" s="744"/>
      <c r="S119" s="78"/>
      <c r="T119" s="148"/>
      <c r="U119" s="80"/>
      <c r="V119" s="345"/>
      <c r="W119" s="46"/>
      <c r="X119" s="196"/>
      <c r="Y119" s="47"/>
      <c r="Z119" s="194"/>
      <c r="AA119" s="196"/>
      <c r="AB119" s="47"/>
      <c r="AC119" s="210"/>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c r="EA119" s="111"/>
      <c r="EB119" s="111"/>
      <c r="EC119" s="111"/>
      <c r="ED119" s="111"/>
    </row>
    <row r="120" spans="1:134" s="112" customFormat="1" ht="15" x14ac:dyDescent="0.25">
      <c r="A120" s="86"/>
      <c r="B120" s="86"/>
      <c r="C120" s="86"/>
      <c r="D120" s="86"/>
      <c r="E120" s="86"/>
      <c r="F120" s="86"/>
      <c r="G120" s="86"/>
      <c r="H120" s="86"/>
      <c r="I120" s="87"/>
      <c r="J120" s="87"/>
      <c r="K120" s="87"/>
      <c r="L120" s="87"/>
      <c r="M120" s="87"/>
      <c r="N120" s="87"/>
      <c r="O120" s="86"/>
      <c r="P120" s="86"/>
      <c r="Q120" s="88">
        <f>SUM(Q108:Q119)</f>
        <v>104070321</v>
      </c>
      <c r="R120" s="86"/>
      <c r="S120" s="86"/>
      <c r="T120" s="86"/>
      <c r="U120" s="86"/>
      <c r="V120" s="103">
        <f>SUM(V108:V119)</f>
        <v>31820500</v>
      </c>
      <c r="W120" s="89"/>
      <c r="X120" s="86"/>
      <c r="Y120" s="95"/>
      <c r="Z120" s="103">
        <f>SUM(Z108:Z119)</f>
        <v>31820500</v>
      </c>
      <c r="AA120" s="86"/>
      <c r="AB120" s="95"/>
      <c r="AC120" s="103">
        <f>SUM(AC108:AC119)</f>
        <v>31820500</v>
      </c>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c r="EA120" s="111"/>
      <c r="EB120" s="111"/>
      <c r="EC120" s="111"/>
      <c r="ED120" s="111"/>
    </row>
    <row r="121" spans="1:134" s="112" customFormat="1" ht="42.75" x14ac:dyDescent="0.25">
      <c r="A121" s="187" t="s">
        <v>1074</v>
      </c>
      <c r="B121" s="538" t="s">
        <v>1075</v>
      </c>
      <c r="C121" s="38" t="s">
        <v>1059</v>
      </c>
      <c r="D121" s="200" t="s">
        <v>804</v>
      </c>
      <c r="E121" s="8" t="s">
        <v>165</v>
      </c>
      <c r="F121" s="228"/>
      <c r="G121" s="228"/>
      <c r="H121" s="228"/>
      <c r="I121" s="228"/>
      <c r="J121" s="289">
        <v>2002456092</v>
      </c>
      <c r="K121" s="228"/>
      <c r="L121" s="228"/>
      <c r="M121" s="330"/>
      <c r="N121" s="330"/>
      <c r="O121" s="274">
        <v>314471755</v>
      </c>
      <c r="P121" s="228"/>
      <c r="Q121" s="614">
        <f t="shared" si="0"/>
        <v>2316927847</v>
      </c>
      <c r="R121" s="293">
        <f>+Q123</f>
        <v>2316927847</v>
      </c>
      <c r="S121" s="78" t="s">
        <v>1758</v>
      </c>
      <c r="T121" s="457">
        <v>559</v>
      </c>
      <c r="U121" s="80" t="s">
        <v>1759</v>
      </c>
      <c r="V121" s="274">
        <v>2001534514.4000001</v>
      </c>
      <c r="W121" s="46"/>
      <c r="X121" s="182">
        <v>1115</v>
      </c>
      <c r="Y121" s="47">
        <v>44799</v>
      </c>
      <c r="Z121" s="519">
        <v>2001534514.4000001</v>
      </c>
      <c r="AA121" s="554">
        <v>5188</v>
      </c>
      <c r="AB121" s="265" t="s">
        <v>2833</v>
      </c>
      <c r="AC121" s="545">
        <v>2001534514.4000001</v>
      </c>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c r="EA121" s="111"/>
      <c r="EB121" s="111"/>
      <c r="EC121" s="111"/>
      <c r="ED121" s="111"/>
    </row>
    <row r="122" spans="1:134" s="112" customFormat="1" ht="15" x14ac:dyDescent="0.25">
      <c r="A122" s="330"/>
      <c r="B122" s="211"/>
      <c r="C122" s="443"/>
      <c r="D122" s="330"/>
      <c r="E122" s="8"/>
      <c r="F122" s="330"/>
      <c r="G122" s="330"/>
      <c r="H122" s="330"/>
      <c r="I122" s="45"/>
      <c r="J122" s="290"/>
      <c r="K122" s="45"/>
      <c r="L122" s="45"/>
      <c r="M122" s="45"/>
      <c r="N122" s="45"/>
      <c r="O122" s="274"/>
      <c r="P122" s="330"/>
      <c r="Q122" s="274"/>
      <c r="R122" s="428"/>
      <c r="S122" s="78" t="s">
        <v>2234</v>
      </c>
      <c r="T122" s="457" t="s">
        <v>2235</v>
      </c>
      <c r="U122" s="80" t="s">
        <v>2236</v>
      </c>
      <c r="V122" s="274">
        <v>314471755</v>
      </c>
      <c r="W122" s="46"/>
      <c r="X122" s="409">
        <v>1364</v>
      </c>
      <c r="Y122" s="47" t="s">
        <v>2774</v>
      </c>
      <c r="Z122" s="274">
        <v>314471755</v>
      </c>
      <c r="AA122" s="554">
        <v>5867</v>
      </c>
      <c r="AB122" s="265" t="s">
        <v>2804</v>
      </c>
      <c r="AC122" s="210">
        <v>314471755</v>
      </c>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c r="EA122" s="111"/>
      <c r="EB122" s="111"/>
      <c r="EC122" s="111"/>
      <c r="ED122" s="111"/>
    </row>
    <row r="123" spans="1:134" s="112" customFormat="1" ht="15" x14ac:dyDescent="0.25">
      <c r="A123" s="86"/>
      <c r="B123" s="86"/>
      <c r="C123" s="86"/>
      <c r="D123" s="86"/>
      <c r="E123" s="86"/>
      <c r="F123" s="86"/>
      <c r="G123" s="86"/>
      <c r="H123" s="86"/>
      <c r="I123" s="87"/>
      <c r="J123" s="87"/>
      <c r="K123" s="87"/>
      <c r="L123" s="87"/>
      <c r="M123" s="87"/>
      <c r="N123" s="87"/>
      <c r="O123" s="86"/>
      <c r="P123" s="86"/>
      <c r="Q123" s="88">
        <f>+Q121</f>
        <v>2316927847</v>
      </c>
      <c r="R123" s="86"/>
      <c r="S123" s="86"/>
      <c r="T123" s="86"/>
      <c r="U123" s="86"/>
      <c r="V123" s="103">
        <f>+V121+V122</f>
        <v>2316006269.4000001</v>
      </c>
      <c r="W123" s="89"/>
      <c r="X123" s="86"/>
      <c r="Y123" s="95"/>
      <c r="Z123" s="103">
        <f>SUM(Z121:Z122)</f>
        <v>2316006269.4000001</v>
      </c>
      <c r="AA123" s="86"/>
      <c r="AB123" s="95"/>
      <c r="AC123" s="103">
        <f>SUM(AC121:AC122)</f>
        <v>2316006269.4000001</v>
      </c>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c r="EA123" s="111"/>
      <c r="EB123" s="111"/>
      <c r="EC123" s="111"/>
      <c r="ED123" s="111"/>
    </row>
    <row r="124" spans="1:134" s="112" customFormat="1" ht="27" x14ac:dyDescent="0.25">
      <c r="A124" s="692" t="s">
        <v>1076</v>
      </c>
      <c r="B124" s="702" t="s">
        <v>1077</v>
      </c>
      <c r="C124" s="699" t="s">
        <v>1078</v>
      </c>
      <c r="D124" s="200" t="s">
        <v>804</v>
      </c>
      <c r="E124" s="8" t="s">
        <v>165</v>
      </c>
      <c r="F124" s="228"/>
      <c r="G124" s="228"/>
      <c r="H124" s="228"/>
      <c r="I124" s="228"/>
      <c r="J124" s="289">
        <v>80250000</v>
      </c>
      <c r="K124" s="228"/>
      <c r="L124" s="228"/>
      <c r="M124" s="330"/>
      <c r="N124" s="330"/>
      <c r="O124" s="228"/>
      <c r="P124" s="228"/>
      <c r="Q124" s="614">
        <f t="shared" si="0"/>
        <v>80250000</v>
      </c>
      <c r="R124" s="742">
        <f>+Q126</f>
        <v>119356900</v>
      </c>
      <c r="S124" s="261" t="s">
        <v>1758</v>
      </c>
      <c r="T124" s="461">
        <v>557</v>
      </c>
      <c r="U124" s="328" t="s">
        <v>1757</v>
      </c>
      <c r="V124" s="345">
        <v>77000000</v>
      </c>
      <c r="W124" s="46"/>
      <c r="X124" s="365">
        <v>1115</v>
      </c>
      <c r="Y124" s="47">
        <v>44799</v>
      </c>
      <c r="Z124" s="347">
        <v>77000000</v>
      </c>
      <c r="AA124" s="554">
        <v>5188</v>
      </c>
      <c r="AB124" s="265" t="s">
        <v>2833</v>
      </c>
      <c r="AC124" s="347">
        <v>77000000</v>
      </c>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c r="EA124" s="111"/>
      <c r="EB124" s="111"/>
      <c r="EC124" s="111"/>
      <c r="ED124" s="111"/>
    </row>
    <row r="125" spans="1:134" s="112" customFormat="1" ht="25.5" x14ac:dyDescent="0.25">
      <c r="A125" s="694"/>
      <c r="B125" s="704"/>
      <c r="C125" s="701"/>
      <c r="D125" s="200" t="s">
        <v>1138</v>
      </c>
      <c r="E125" s="8" t="s">
        <v>1137</v>
      </c>
      <c r="F125" s="228"/>
      <c r="G125" s="228"/>
      <c r="H125" s="228"/>
      <c r="I125" s="228"/>
      <c r="J125" s="289">
        <v>42296000</v>
      </c>
      <c r="K125" s="228"/>
      <c r="L125" s="228"/>
      <c r="M125" s="330"/>
      <c r="N125" s="330"/>
      <c r="O125" s="228"/>
      <c r="P125" s="274">
        <v>3189100</v>
      </c>
      <c r="Q125" s="614">
        <f t="shared" si="0"/>
        <v>39106900</v>
      </c>
      <c r="R125" s="744"/>
      <c r="S125" s="462" t="s">
        <v>2233</v>
      </c>
      <c r="T125" s="154" t="s">
        <v>885</v>
      </c>
      <c r="U125" s="273">
        <v>44861</v>
      </c>
      <c r="V125" s="432"/>
      <c r="W125" s="46"/>
      <c r="X125" s="196"/>
      <c r="Y125" s="47"/>
      <c r="Z125" s="194"/>
      <c r="AA125" s="196"/>
      <c r="AB125" s="47"/>
      <c r="AC125" s="210"/>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c r="EA125" s="111"/>
      <c r="EB125" s="111"/>
      <c r="EC125" s="111"/>
      <c r="ED125" s="111"/>
    </row>
    <row r="126" spans="1:134" s="112" customFormat="1" ht="15" x14ac:dyDescent="0.25">
      <c r="A126" s="86"/>
      <c r="B126" s="86"/>
      <c r="C126" s="86"/>
      <c r="D126" s="86"/>
      <c r="E126" s="86"/>
      <c r="F126" s="86"/>
      <c r="G126" s="86"/>
      <c r="H126" s="86"/>
      <c r="I126" s="87"/>
      <c r="J126" s="87"/>
      <c r="K126" s="87"/>
      <c r="L126" s="87"/>
      <c r="M126" s="87"/>
      <c r="N126" s="87"/>
      <c r="O126" s="86"/>
      <c r="P126" s="86"/>
      <c r="Q126" s="88">
        <f>SUM(Q124:Q125)</f>
        <v>119356900</v>
      </c>
      <c r="R126" s="86"/>
      <c r="S126" s="86"/>
      <c r="T126" s="86"/>
      <c r="U126" s="86"/>
      <c r="V126" s="103">
        <f>SUM(V124:V125)</f>
        <v>77000000</v>
      </c>
      <c r="W126" s="89"/>
      <c r="X126" s="86"/>
      <c r="Y126" s="95"/>
      <c r="Z126" s="103">
        <f>SUM(Z124:Z125)</f>
        <v>77000000</v>
      </c>
      <c r="AA126" s="86"/>
      <c r="AB126" s="95"/>
      <c r="AC126" s="103">
        <f>SUM(AC124:AC125)</f>
        <v>77000000</v>
      </c>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c r="EA126" s="111"/>
      <c r="EB126" s="111"/>
      <c r="EC126" s="111"/>
      <c r="ED126" s="111"/>
    </row>
    <row r="127" spans="1:134" s="112" customFormat="1" ht="27" x14ac:dyDescent="0.25">
      <c r="A127" s="692" t="s">
        <v>1079</v>
      </c>
      <c r="B127" s="702" t="s">
        <v>1080</v>
      </c>
      <c r="C127" s="699" t="s">
        <v>1078</v>
      </c>
      <c r="D127" s="200" t="s">
        <v>801</v>
      </c>
      <c r="E127" s="8" t="s">
        <v>244</v>
      </c>
      <c r="F127" s="228"/>
      <c r="G127" s="228"/>
      <c r="H127" s="228"/>
      <c r="I127" s="228"/>
      <c r="J127" s="289">
        <v>24250000</v>
      </c>
      <c r="K127" s="228"/>
      <c r="L127" s="228"/>
      <c r="M127" s="330"/>
      <c r="N127" s="330"/>
      <c r="O127" s="228"/>
      <c r="P127" s="274">
        <v>2424191</v>
      </c>
      <c r="Q127" s="613">
        <f t="shared" si="0"/>
        <v>21825809</v>
      </c>
      <c r="R127" s="742">
        <f>+Q132</f>
        <v>65616363</v>
      </c>
      <c r="S127" s="80" t="s">
        <v>1784</v>
      </c>
      <c r="T127" s="457">
        <v>661</v>
      </c>
      <c r="U127" s="443" t="s">
        <v>1795</v>
      </c>
      <c r="V127" s="274">
        <v>21825809</v>
      </c>
      <c r="W127" s="46"/>
      <c r="X127" s="182">
        <v>1276</v>
      </c>
      <c r="Y127" s="47" t="s">
        <v>2769</v>
      </c>
      <c r="Z127" s="274">
        <v>21825809</v>
      </c>
      <c r="AA127" s="554">
        <v>6311</v>
      </c>
      <c r="AB127" s="265" t="s">
        <v>2832</v>
      </c>
      <c r="AC127" s="274">
        <v>21825809</v>
      </c>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c r="EA127" s="111"/>
      <c r="EB127" s="111"/>
      <c r="EC127" s="111"/>
      <c r="ED127" s="111"/>
    </row>
    <row r="128" spans="1:134" s="112" customFormat="1" ht="25.5" x14ac:dyDescent="0.25">
      <c r="A128" s="693"/>
      <c r="B128" s="703"/>
      <c r="C128" s="700"/>
      <c r="D128" s="200" t="s">
        <v>1138</v>
      </c>
      <c r="E128" s="8" t="s">
        <v>1137</v>
      </c>
      <c r="F128" s="228"/>
      <c r="G128" s="228"/>
      <c r="H128" s="228"/>
      <c r="I128" s="228"/>
      <c r="J128" s="289">
        <v>214133100</v>
      </c>
      <c r="K128" s="228"/>
      <c r="L128" s="228"/>
      <c r="M128" s="330"/>
      <c r="N128" s="330"/>
      <c r="O128" s="228"/>
      <c r="P128" s="274">
        <f>67240000+146000000</f>
        <v>213240000</v>
      </c>
      <c r="Q128" s="613">
        <f t="shared" si="0"/>
        <v>893100</v>
      </c>
      <c r="R128" s="743"/>
      <c r="S128" s="462" t="s">
        <v>2233</v>
      </c>
      <c r="T128" s="154" t="s">
        <v>885</v>
      </c>
      <c r="U128" s="273">
        <v>44861</v>
      </c>
      <c r="V128" s="432"/>
      <c r="W128" s="46"/>
      <c r="X128" s="196"/>
      <c r="Y128" s="47"/>
      <c r="Z128" s="194"/>
      <c r="AA128" s="196"/>
      <c r="AB128" s="47"/>
      <c r="AC128" s="210"/>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c r="EA128" s="111"/>
      <c r="EB128" s="111"/>
      <c r="EC128" s="111"/>
      <c r="ED128" s="111"/>
    </row>
    <row r="129" spans="1:134" s="633" customFormat="1" ht="27" x14ac:dyDescent="0.25">
      <c r="A129" s="693"/>
      <c r="B129" s="703"/>
      <c r="C129" s="700"/>
      <c r="D129" s="618" t="s">
        <v>2194</v>
      </c>
      <c r="E129" s="619" t="s">
        <v>111</v>
      </c>
      <c r="F129" s="617"/>
      <c r="G129" s="617"/>
      <c r="H129" s="617"/>
      <c r="I129" s="617"/>
      <c r="J129" s="622">
        <v>46807000</v>
      </c>
      <c r="K129" s="617"/>
      <c r="L129" s="617"/>
      <c r="M129" s="617"/>
      <c r="N129" s="617"/>
      <c r="O129" s="656"/>
      <c r="P129" s="622">
        <v>20766000</v>
      </c>
      <c r="Q129" s="638">
        <f t="shared" si="0"/>
        <v>26041000</v>
      </c>
      <c r="R129" s="743"/>
      <c r="S129" s="624" t="s">
        <v>2233</v>
      </c>
      <c r="T129" s="617" t="s">
        <v>885</v>
      </c>
      <c r="U129" s="625">
        <v>44861</v>
      </c>
      <c r="V129" s="638"/>
      <c r="W129" s="627"/>
      <c r="X129" s="628"/>
      <c r="Y129" s="629"/>
      <c r="Z129" s="630"/>
      <c r="AA129" s="628"/>
      <c r="AB129" s="629"/>
      <c r="AC129" s="631"/>
      <c r="AD129" s="632"/>
      <c r="AE129" s="632"/>
      <c r="AF129" s="632"/>
      <c r="AG129" s="632"/>
      <c r="AH129" s="632"/>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2"/>
      <c r="BW129" s="632"/>
      <c r="BX129" s="632"/>
      <c r="BY129" s="632"/>
      <c r="BZ129" s="632"/>
      <c r="CA129" s="632"/>
      <c r="CB129" s="632"/>
      <c r="CC129" s="632"/>
      <c r="CD129" s="632"/>
      <c r="CE129" s="632"/>
      <c r="CF129" s="632"/>
      <c r="CG129" s="632"/>
      <c r="CH129" s="632"/>
      <c r="CI129" s="632"/>
      <c r="CJ129" s="632"/>
      <c r="CK129" s="632"/>
      <c r="CL129" s="632"/>
      <c r="CM129" s="632"/>
      <c r="CN129" s="632"/>
      <c r="CO129" s="632"/>
      <c r="CP129" s="632"/>
      <c r="CQ129" s="632"/>
      <c r="CR129" s="632"/>
      <c r="CS129" s="632"/>
      <c r="CT129" s="632"/>
      <c r="CU129" s="632"/>
      <c r="CV129" s="632"/>
      <c r="CW129" s="632"/>
      <c r="CX129" s="632"/>
      <c r="CY129" s="632"/>
      <c r="CZ129" s="632"/>
      <c r="DA129" s="632"/>
      <c r="DB129" s="632"/>
      <c r="DC129" s="632"/>
      <c r="DD129" s="632"/>
      <c r="DE129" s="632"/>
      <c r="DF129" s="632"/>
      <c r="DG129" s="632"/>
      <c r="DH129" s="632"/>
      <c r="DI129" s="632"/>
      <c r="DJ129" s="632"/>
      <c r="DK129" s="632"/>
      <c r="DL129" s="632"/>
      <c r="DM129" s="632"/>
      <c r="DN129" s="632"/>
      <c r="DO129" s="632"/>
      <c r="DP129" s="632"/>
      <c r="DQ129" s="632"/>
      <c r="DR129" s="632"/>
      <c r="DS129" s="632"/>
      <c r="DT129" s="632"/>
      <c r="DU129" s="632"/>
      <c r="DV129" s="632"/>
      <c r="DW129" s="632"/>
      <c r="DX129" s="632"/>
      <c r="DY129" s="632"/>
      <c r="DZ129" s="632"/>
      <c r="EA129" s="632"/>
      <c r="EB129" s="632"/>
      <c r="EC129" s="632"/>
      <c r="ED129" s="632"/>
    </row>
    <row r="130" spans="1:134" s="112" customFormat="1" ht="27" x14ac:dyDescent="0.25">
      <c r="A130" s="693"/>
      <c r="B130" s="703"/>
      <c r="C130" s="700"/>
      <c r="D130" s="330" t="s">
        <v>804</v>
      </c>
      <c r="E130" s="8" t="s">
        <v>165</v>
      </c>
      <c r="F130" s="330"/>
      <c r="G130" s="330"/>
      <c r="H130" s="330"/>
      <c r="I130" s="45"/>
      <c r="J130" s="290"/>
      <c r="K130" s="45"/>
      <c r="L130" s="45"/>
      <c r="M130" s="45"/>
      <c r="N130" s="45"/>
      <c r="O130" s="274">
        <v>46390000</v>
      </c>
      <c r="P130" s="497">
        <f>29357250+176296</f>
        <v>29533546</v>
      </c>
      <c r="Q130" s="613">
        <f t="shared" si="0"/>
        <v>16856454</v>
      </c>
      <c r="R130" s="743"/>
      <c r="S130" s="462" t="s">
        <v>2233</v>
      </c>
      <c r="T130" s="154" t="s">
        <v>885</v>
      </c>
      <c r="U130" s="273">
        <v>44861</v>
      </c>
      <c r="V130" s="432"/>
      <c r="W130" s="46"/>
      <c r="X130" s="333"/>
      <c r="Y130" s="47"/>
      <c r="Z130" s="337"/>
      <c r="AA130" s="333"/>
      <c r="AB130" s="47"/>
      <c r="AC130" s="210"/>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c r="EA130" s="111"/>
      <c r="EB130" s="111"/>
      <c r="EC130" s="111"/>
      <c r="ED130" s="111"/>
    </row>
    <row r="131" spans="1:134" s="112" customFormat="1" ht="25.5" x14ac:dyDescent="0.25">
      <c r="A131" s="694"/>
      <c r="B131" s="704"/>
      <c r="C131" s="701"/>
      <c r="D131" s="330" t="s">
        <v>803</v>
      </c>
      <c r="E131" s="8" t="s">
        <v>150</v>
      </c>
      <c r="F131" s="330"/>
      <c r="G131" s="330"/>
      <c r="H131" s="330"/>
      <c r="I131" s="45"/>
      <c r="J131" s="290"/>
      <c r="K131" s="45"/>
      <c r="L131" s="45"/>
      <c r="M131" s="45"/>
      <c r="N131" s="45"/>
      <c r="O131" s="274">
        <v>3850000</v>
      </c>
      <c r="P131" s="274">
        <v>3850000</v>
      </c>
      <c r="Q131" s="244">
        <f t="shared" si="0"/>
        <v>0</v>
      </c>
      <c r="R131" s="744"/>
      <c r="S131" s="330"/>
      <c r="T131" s="330"/>
      <c r="U131" s="330"/>
      <c r="V131" s="432"/>
      <c r="W131" s="46"/>
      <c r="X131" s="333"/>
      <c r="Y131" s="47"/>
      <c r="Z131" s="337"/>
      <c r="AA131" s="333"/>
      <c r="AB131" s="47"/>
      <c r="AC131" s="210"/>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c r="EA131" s="111"/>
      <c r="EB131" s="111"/>
      <c r="EC131" s="111"/>
      <c r="ED131" s="111"/>
    </row>
    <row r="132" spans="1:134" s="112" customFormat="1" ht="15" x14ac:dyDescent="0.25">
      <c r="A132" s="86"/>
      <c r="B132" s="86"/>
      <c r="C132" s="86"/>
      <c r="D132" s="86"/>
      <c r="E132" s="86"/>
      <c r="F132" s="86"/>
      <c r="G132" s="86"/>
      <c r="H132" s="86"/>
      <c r="I132" s="87"/>
      <c r="J132" s="87"/>
      <c r="K132" s="87"/>
      <c r="L132" s="87"/>
      <c r="M132" s="87"/>
      <c r="N132" s="87"/>
      <c r="O132" s="86"/>
      <c r="P132" s="86"/>
      <c r="Q132" s="88">
        <f>SUM(Q127:Q131)</f>
        <v>65616363</v>
      </c>
      <c r="R132" s="86"/>
      <c r="S132" s="86"/>
      <c r="T132" s="86"/>
      <c r="U132" s="86"/>
      <c r="V132" s="103">
        <f>SUM(V127:V129)</f>
        <v>21825809</v>
      </c>
      <c r="W132" s="89"/>
      <c r="X132" s="86"/>
      <c r="Y132" s="95"/>
      <c r="Z132" s="103">
        <f>SUM(Z127:Z129)</f>
        <v>21825809</v>
      </c>
      <c r="AA132" s="86"/>
      <c r="AB132" s="95"/>
      <c r="AC132" s="103">
        <f>SUM(AC127:AC129)</f>
        <v>21825809</v>
      </c>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c r="EA132" s="111"/>
      <c r="EB132" s="111"/>
      <c r="EC132" s="111"/>
      <c r="ED132" s="111"/>
    </row>
    <row r="133" spans="1:134" s="633" customFormat="1" ht="42.75" x14ac:dyDescent="0.25">
      <c r="A133" s="617" t="s">
        <v>1081</v>
      </c>
      <c r="B133" s="634" t="s">
        <v>1082</v>
      </c>
      <c r="C133" s="635" t="s">
        <v>1083</v>
      </c>
      <c r="D133" s="618" t="s">
        <v>2194</v>
      </c>
      <c r="E133" s="619" t="s">
        <v>111</v>
      </c>
      <c r="F133" s="617"/>
      <c r="G133" s="617"/>
      <c r="H133" s="617"/>
      <c r="I133" s="617"/>
      <c r="J133" s="622">
        <v>55834000</v>
      </c>
      <c r="K133" s="617"/>
      <c r="L133" s="617"/>
      <c r="M133" s="617"/>
      <c r="N133" s="617"/>
      <c r="O133" s="617"/>
      <c r="P133" s="623"/>
      <c r="Q133" s="622">
        <f t="shared" si="0"/>
        <v>55834000</v>
      </c>
      <c r="R133" s="630">
        <f>+Q135</f>
        <v>55834000</v>
      </c>
      <c r="S133" s="636" t="s">
        <v>1689</v>
      </c>
      <c r="T133" s="617" t="s">
        <v>885</v>
      </c>
      <c r="U133" s="637" t="s">
        <v>1690</v>
      </c>
      <c r="V133" s="626">
        <v>0</v>
      </c>
      <c r="W133" s="627"/>
      <c r="X133" s="628"/>
      <c r="Y133" s="629"/>
      <c r="Z133" s="630"/>
      <c r="AA133" s="628"/>
      <c r="AB133" s="629"/>
      <c r="AC133" s="631"/>
      <c r="AD133" s="632"/>
      <c r="AE133" s="632"/>
      <c r="AF133" s="632"/>
      <c r="AG133" s="632"/>
      <c r="AH133" s="632"/>
      <c r="AI133" s="632"/>
      <c r="AJ133" s="632"/>
      <c r="AK133" s="632"/>
      <c r="AL133" s="632"/>
      <c r="AM133" s="632"/>
      <c r="AN133" s="632"/>
      <c r="AO133" s="632"/>
      <c r="AP133" s="632"/>
      <c r="AQ133" s="632"/>
      <c r="AR133" s="632"/>
      <c r="AS133" s="632"/>
      <c r="AT133" s="632"/>
      <c r="AU133" s="632"/>
      <c r="AV133" s="632"/>
      <c r="AW133" s="632"/>
      <c r="AX133" s="632"/>
      <c r="AY133" s="632"/>
      <c r="AZ133" s="632"/>
      <c r="BA133" s="632"/>
      <c r="BB133" s="632"/>
      <c r="BC133" s="632"/>
      <c r="BD133" s="632"/>
      <c r="BE133" s="632"/>
      <c r="BF133" s="632"/>
      <c r="BG133" s="632"/>
      <c r="BH133" s="632"/>
      <c r="BI133" s="632"/>
      <c r="BJ133" s="632"/>
      <c r="BK133" s="632"/>
      <c r="BL133" s="632"/>
      <c r="BM133" s="632"/>
      <c r="BN133" s="632"/>
      <c r="BO133" s="632"/>
      <c r="BP133" s="632"/>
      <c r="BQ133" s="632"/>
      <c r="BR133" s="632"/>
      <c r="BS133" s="632"/>
      <c r="BT133" s="632"/>
      <c r="BU133" s="632"/>
      <c r="BV133" s="632"/>
      <c r="BW133" s="632"/>
      <c r="BX133" s="632"/>
      <c r="BY133" s="632"/>
      <c r="BZ133" s="632"/>
      <c r="CA133" s="632"/>
      <c r="CB133" s="632"/>
      <c r="CC133" s="632"/>
      <c r="CD133" s="632"/>
      <c r="CE133" s="632"/>
      <c r="CF133" s="632"/>
      <c r="CG133" s="632"/>
      <c r="CH133" s="632"/>
      <c r="CI133" s="632"/>
      <c r="CJ133" s="632"/>
      <c r="CK133" s="632"/>
      <c r="CL133" s="632"/>
      <c r="CM133" s="632"/>
      <c r="CN133" s="632"/>
      <c r="CO133" s="632"/>
      <c r="CP133" s="632"/>
      <c r="CQ133" s="632"/>
      <c r="CR133" s="632"/>
      <c r="CS133" s="632"/>
      <c r="CT133" s="632"/>
      <c r="CU133" s="632"/>
      <c r="CV133" s="632"/>
      <c r="CW133" s="632"/>
      <c r="CX133" s="632"/>
      <c r="CY133" s="632"/>
      <c r="CZ133" s="632"/>
      <c r="DA133" s="632"/>
      <c r="DB133" s="632"/>
      <c r="DC133" s="632"/>
      <c r="DD133" s="632"/>
      <c r="DE133" s="632"/>
      <c r="DF133" s="632"/>
      <c r="DG133" s="632"/>
      <c r="DH133" s="632"/>
      <c r="DI133" s="632"/>
      <c r="DJ133" s="632"/>
      <c r="DK133" s="632"/>
      <c r="DL133" s="632"/>
      <c r="DM133" s="632"/>
      <c r="DN133" s="632"/>
      <c r="DO133" s="632"/>
      <c r="DP133" s="632"/>
      <c r="DQ133" s="632"/>
      <c r="DR133" s="632"/>
      <c r="DS133" s="632"/>
      <c r="DT133" s="632"/>
      <c r="DU133" s="632"/>
      <c r="DV133" s="632"/>
      <c r="DW133" s="632"/>
      <c r="DX133" s="632"/>
      <c r="DY133" s="632"/>
      <c r="DZ133" s="632"/>
      <c r="EA133" s="632"/>
      <c r="EB133" s="632"/>
      <c r="EC133" s="632"/>
      <c r="ED133" s="632"/>
    </row>
    <row r="134" spans="1:134" s="112" customFormat="1" ht="15" x14ac:dyDescent="0.25">
      <c r="A134" s="330"/>
      <c r="B134" s="213"/>
      <c r="C134" s="212"/>
      <c r="D134" s="129"/>
      <c r="E134" s="8"/>
      <c r="F134" s="330"/>
      <c r="G134" s="330"/>
      <c r="H134" s="330"/>
      <c r="I134" s="45"/>
      <c r="J134" s="290"/>
      <c r="K134" s="45"/>
      <c r="L134" s="45"/>
      <c r="M134" s="45"/>
      <c r="N134" s="45"/>
      <c r="O134" s="330"/>
      <c r="P134" s="330"/>
      <c r="Q134" s="274"/>
      <c r="R134" s="428"/>
      <c r="S134" s="261" t="s">
        <v>2238</v>
      </c>
      <c r="T134" s="461" t="s">
        <v>2239</v>
      </c>
      <c r="U134" s="441" t="s">
        <v>2240</v>
      </c>
      <c r="V134" s="517">
        <v>46460218</v>
      </c>
      <c r="W134" s="46"/>
      <c r="X134" s="554">
        <v>1344</v>
      </c>
      <c r="Y134" s="265" t="s">
        <v>2773</v>
      </c>
      <c r="Z134" s="560">
        <v>46460218</v>
      </c>
      <c r="AA134" s="554">
        <v>6323</v>
      </c>
      <c r="AB134" s="265" t="s">
        <v>2832</v>
      </c>
      <c r="AC134" s="169">
        <v>46460218</v>
      </c>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c r="EA134" s="111"/>
      <c r="EB134" s="111"/>
      <c r="EC134" s="111"/>
      <c r="ED134" s="111"/>
    </row>
    <row r="135" spans="1:134" s="112" customFormat="1" ht="15" x14ac:dyDescent="0.25">
      <c r="A135" s="86"/>
      <c r="B135" s="86"/>
      <c r="C135" s="86"/>
      <c r="D135" s="86"/>
      <c r="E135" s="86"/>
      <c r="F135" s="86"/>
      <c r="G135" s="86"/>
      <c r="H135" s="86"/>
      <c r="I135" s="87"/>
      <c r="J135" s="87"/>
      <c r="K135" s="87"/>
      <c r="L135" s="87"/>
      <c r="M135" s="87"/>
      <c r="N135" s="87"/>
      <c r="O135" s="86"/>
      <c r="P135" s="86"/>
      <c r="Q135" s="88">
        <f>SUM(Q133)</f>
        <v>55834000</v>
      </c>
      <c r="R135" s="86"/>
      <c r="S135" s="86"/>
      <c r="T135" s="86"/>
      <c r="U135" s="86"/>
      <c r="V135" s="103">
        <f>SUM(V133:V134)</f>
        <v>46460218</v>
      </c>
      <c r="W135" s="89"/>
      <c r="X135" s="86"/>
      <c r="Y135" s="95"/>
      <c r="Z135" s="103">
        <f>SUM(Z133:Z134)</f>
        <v>46460218</v>
      </c>
      <c r="AA135" s="86"/>
      <c r="AB135" s="95"/>
      <c r="AC135" s="103">
        <f>SUM(AC133:AC134)</f>
        <v>46460218</v>
      </c>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c r="EA135" s="111"/>
      <c r="EB135" s="111"/>
      <c r="EC135" s="111"/>
      <c r="ED135" s="111"/>
    </row>
    <row r="136" spans="1:134" s="112" customFormat="1" ht="27" customHeight="1" x14ac:dyDescent="0.25">
      <c r="A136" s="692" t="s">
        <v>1536</v>
      </c>
      <c r="B136" s="705" t="s">
        <v>1537</v>
      </c>
      <c r="C136" s="689" t="s">
        <v>1059</v>
      </c>
      <c r="D136" s="330" t="s">
        <v>801</v>
      </c>
      <c r="E136" s="8" t="s">
        <v>244</v>
      </c>
      <c r="F136" s="303"/>
      <c r="G136" s="303"/>
      <c r="H136" s="303"/>
      <c r="I136" s="45"/>
      <c r="J136" s="45"/>
      <c r="K136" s="45"/>
      <c r="L136" s="45"/>
      <c r="M136" s="274">
        <v>2045413217</v>
      </c>
      <c r="N136" s="274"/>
      <c r="O136" s="330"/>
      <c r="P136" s="330"/>
      <c r="Q136" s="615">
        <f>+F136+G136+H136+I136+J136+K136+L136+M136+O136-P136</f>
        <v>2045413217</v>
      </c>
      <c r="R136" s="687">
        <f>+Q141</f>
        <v>4694793093</v>
      </c>
      <c r="S136" s="78" t="s">
        <v>1798</v>
      </c>
      <c r="T136" s="457">
        <v>560</v>
      </c>
      <c r="U136" s="80" t="s">
        <v>1799</v>
      </c>
      <c r="V136" s="347">
        <v>2025737000</v>
      </c>
      <c r="W136" s="46"/>
      <c r="X136" s="554">
        <v>1120</v>
      </c>
      <c r="Y136" s="265">
        <v>44802</v>
      </c>
      <c r="Z136" s="347">
        <v>2025737000</v>
      </c>
      <c r="AA136" s="554">
        <v>6280</v>
      </c>
      <c r="AB136" s="265" t="s">
        <v>2832</v>
      </c>
      <c r="AC136" s="347">
        <v>2025737000</v>
      </c>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c r="EA136" s="111"/>
      <c r="EB136" s="111"/>
      <c r="EC136" s="111"/>
      <c r="ED136" s="111"/>
    </row>
    <row r="137" spans="1:134" s="112" customFormat="1" ht="27" x14ac:dyDescent="0.25">
      <c r="A137" s="693"/>
      <c r="B137" s="706"/>
      <c r="C137" s="690"/>
      <c r="D137" s="330" t="s">
        <v>804</v>
      </c>
      <c r="E137" s="8" t="s">
        <v>165</v>
      </c>
      <c r="F137" s="303"/>
      <c r="G137" s="303"/>
      <c r="H137" s="303"/>
      <c r="I137" s="45"/>
      <c r="J137" s="45"/>
      <c r="K137" s="45"/>
      <c r="L137" s="45"/>
      <c r="M137" s="274">
        <v>1261102664</v>
      </c>
      <c r="N137" s="274"/>
      <c r="O137" s="330"/>
      <c r="P137" s="330"/>
      <c r="Q137" s="615">
        <f t="shared" ref="Q137:Q139" si="1">+F137+G137+H137+I137+J137+K137+L137+M137+O137-P137</f>
        <v>1261102664</v>
      </c>
      <c r="R137" s="688"/>
      <c r="S137" s="80" t="s">
        <v>1767</v>
      </c>
      <c r="T137" s="457">
        <v>621</v>
      </c>
      <c r="U137" s="80" t="s">
        <v>1766</v>
      </c>
      <c r="V137" s="519">
        <v>1231174000</v>
      </c>
      <c r="W137" s="46"/>
      <c r="X137" s="554">
        <v>1183</v>
      </c>
      <c r="Y137" s="265">
        <v>44825</v>
      </c>
      <c r="Z137" s="560">
        <v>1231174000</v>
      </c>
      <c r="AA137" s="554">
        <v>6245</v>
      </c>
      <c r="AB137" s="265" t="s">
        <v>2831</v>
      </c>
      <c r="AC137" s="169">
        <v>1231174000</v>
      </c>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c r="EA137" s="111"/>
      <c r="EB137" s="111"/>
      <c r="EC137" s="111"/>
      <c r="ED137" s="111"/>
    </row>
    <row r="138" spans="1:134" s="112" customFormat="1" ht="25.5" x14ac:dyDescent="0.25">
      <c r="A138" s="693"/>
      <c r="B138" s="706"/>
      <c r="C138" s="690"/>
      <c r="D138" s="330" t="s">
        <v>1143</v>
      </c>
      <c r="E138" s="8" t="s">
        <v>123</v>
      </c>
      <c r="F138" s="303"/>
      <c r="G138" s="303"/>
      <c r="H138" s="303"/>
      <c r="I138" s="45"/>
      <c r="J138" s="45"/>
      <c r="K138" s="45"/>
      <c r="L138" s="45"/>
      <c r="M138" s="274">
        <v>1351202241</v>
      </c>
      <c r="N138" s="274"/>
      <c r="O138" s="330"/>
      <c r="P138" s="274">
        <v>127000000</v>
      </c>
      <c r="Q138" s="615">
        <f t="shared" si="1"/>
        <v>1224202241</v>
      </c>
      <c r="R138" s="688"/>
      <c r="S138" s="80" t="s">
        <v>2243</v>
      </c>
      <c r="T138" s="459" t="s">
        <v>2244</v>
      </c>
      <c r="U138" s="80" t="s">
        <v>2245</v>
      </c>
      <c r="V138" s="535">
        <v>1221151144</v>
      </c>
      <c r="W138" s="46"/>
      <c r="X138" s="554">
        <v>1342</v>
      </c>
      <c r="Y138" s="265" t="s">
        <v>2779</v>
      </c>
      <c r="Z138" s="560">
        <v>1221151144</v>
      </c>
      <c r="AA138" s="554">
        <v>6344</v>
      </c>
      <c r="AB138" s="265" t="s">
        <v>2816</v>
      </c>
      <c r="AC138" s="169">
        <v>1221151144</v>
      </c>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c r="EA138" s="111"/>
      <c r="EB138" s="111"/>
      <c r="EC138" s="111"/>
      <c r="ED138" s="111"/>
    </row>
    <row r="139" spans="1:134" s="112" customFormat="1" ht="45" customHeight="1" x14ac:dyDescent="0.25">
      <c r="A139" s="694"/>
      <c r="B139" s="706"/>
      <c r="C139" s="691"/>
      <c r="D139" s="332" t="s">
        <v>873</v>
      </c>
      <c r="E139" s="336" t="s">
        <v>166</v>
      </c>
      <c r="F139" s="332"/>
      <c r="G139" s="332"/>
      <c r="H139" s="332"/>
      <c r="I139" s="45"/>
      <c r="J139" s="45"/>
      <c r="K139" s="45"/>
      <c r="L139" s="45"/>
      <c r="M139" s="274"/>
      <c r="N139" s="274"/>
      <c r="O139" s="274">
        <v>127000000</v>
      </c>
      <c r="P139" s="274"/>
      <c r="Q139" s="216">
        <f t="shared" si="1"/>
        <v>127000000</v>
      </c>
      <c r="R139" s="688"/>
      <c r="S139" s="80" t="s">
        <v>2241</v>
      </c>
      <c r="T139" s="541" t="s">
        <v>885</v>
      </c>
      <c r="U139" s="80" t="s">
        <v>2242</v>
      </c>
      <c r="V139" s="349"/>
      <c r="W139" s="46"/>
      <c r="X139" s="333"/>
      <c r="Y139" s="47"/>
      <c r="Z139" s="337"/>
      <c r="AA139" s="333"/>
      <c r="AB139" s="47"/>
      <c r="AC139" s="210"/>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c r="EA139" s="111"/>
      <c r="EB139" s="111"/>
      <c r="EC139" s="111"/>
      <c r="ED139" s="111"/>
    </row>
    <row r="140" spans="1:134" s="112" customFormat="1" ht="25.5" x14ac:dyDescent="0.25">
      <c r="A140" s="410"/>
      <c r="B140" s="707"/>
      <c r="C140" s="415"/>
      <c r="D140" s="330" t="s">
        <v>802</v>
      </c>
      <c r="E140" s="8" t="s">
        <v>245</v>
      </c>
      <c r="F140" s="410"/>
      <c r="G140" s="410"/>
      <c r="H140" s="410"/>
      <c r="I140" s="45"/>
      <c r="J140" s="45"/>
      <c r="K140" s="45"/>
      <c r="L140" s="45"/>
      <c r="M140" s="274"/>
      <c r="N140" s="274"/>
      <c r="O140" s="497">
        <v>37074971</v>
      </c>
      <c r="P140" s="274"/>
      <c r="Q140" s="615">
        <f>+F140+G140+H140+I140+J140+K140+L140+M140+O140-P140</f>
        <v>37074971</v>
      </c>
      <c r="R140" s="688"/>
      <c r="S140" s="80" t="s">
        <v>2246</v>
      </c>
      <c r="T140" s="459" t="s">
        <v>2247</v>
      </c>
      <c r="U140" s="80" t="s">
        <v>2248</v>
      </c>
      <c r="V140" s="517">
        <v>37074971</v>
      </c>
      <c r="W140" s="46"/>
      <c r="X140" s="554">
        <v>1434</v>
      </c>
      <c r="Y140" s="265" t="s">
        <v>2772</v>
      </c>
      <c r="Z140" s="560">
        <v>37074971</v>
      </c>
      <c r="AA140" s="554">
        <v>6129</v>
      </c>
      <c r="AB140" s="265" t="s">
        <v>2834</v>
      </c>
      <c r="AC140" s="560">
        <v>37074971</v>
      </c>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c r="EA140" s="111"/>
      <c r="EB140" s="111"/>
      <c r="EC140" s="111"/>
      <c r="ED140" s="111"/>
    </row>
    <row r="141" spans="1:134" s="112" customFormat="1" ht="15" x14ac:dyDescent="0.25">
      <c r="A141" s="86"/>
      <c r="B141" s="86"/>
      <c r="C141" s="86"/>
      <c r="D141" s="86"/>
      <c r="E141" s="86"/>
      <c r="F141" s="92"/>
      <c r="G141" s="92"/>
      <c r="H141" s="92"/>
      <c r="I141" s="87"/>
      <c r="J141" s="87"/>
      <c r="K141" s="87"/>
      <c r="L141" s="87"/>
      <c r="M141" s="86"/>
      <c r="N141" s="86"/>
      <c r="O141" s="86"/>
      <c r="P141" s="86"/>
      <c r="Q141" s="88">
        <f>SUM(Q136:Q140)</f>
        <v>4694793093</v>
      </c>
      <c r="R141" s="90"/>
      <c r="S141" s="90"/>
      <c r="T141" s="90"/>
      <c r="U141" s="90"/>
      <c r="V141" s="94">
        <f>SUM(V136:V140)</f>
        <v>4515137115</v>
      </c>
      <c r="W141" s="89"/>
      <c r="X141" s="90"/>
      <c r="Y141" s="91"/>
      <c r="Z141" s="94">
        <f>SUM(Z136:Z140)</f>
        <v>4515137115</v>
      </c>
      <c r="AA141" s="90"/>
      <c r="AB141" s="91"/>
      <c r="AC141" s="121">
        <f>SUM(AC136:AC140)</f>
        <v>4515137115</v>
      </c>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c r="EA141" s="111"/>
      <c r="EB141" s="111"/>
      <c r="EC141" s="111"/>
      <c r="ED141" s="111"/>
    </row>
    <row r="142" spans="1:134" s="112" customFormat="1" ht="27" x14ac:dyDescent="0.25">
      <c r="A142" s="330"/>
      <c r="B142" s="689" t="s">
        <v>1542</v>
      </c>
      <c r="C142" s="689" t="s">
        <v>1543</v>
      </c>
      <c r="D142" s="330" t="s">
        <v>801</v>
      </c>
      <c r="E142" s="8" t="s">
        <v>244</v>
      </c>
      <c r="F142" s="303"/>
      <c r="G142" s="303"/>
      <c r="H142" s="303"/>
      <c r="I142" s="45"/>
      <c r="J142" s="45"/>
      <c r="K142" s="45"/>
      <c r="L142" s="45"/>
      <c r="M142" s="330"/>
      <c r="N142" s="274">
        <v>92227023</v>
      </c>
      <c r="O142" s="330"/>
      <c r="P142" s="330"/>
      <c r="Q142" s="615">
        <f>+F142+G142+H142+I142+J142+K142+L142+M142+N142+O142-P142</f>
        <v>92227023</v>
      </c>
      <c r="R142" s="695">
        <f>+Q145</f>
        <v>348322042</v>
      </c>
      <c r="S142" s="261" t="s">
        <v>1784</v>
      </c>
      <c r="T142" s="457">
        <v>659</v>
      </c>
      <c r="U142" s="328" t="s">
        <v>1785</v>
      </c>
      <c r="V142" s="345">
        <v>92227023</v>
      </c>
      <c r="W142" s="46"/>
      <c r="X142" s="554">
        <v>1276</v>
      </c>
      <c r="Y142" s="265" t="s">
        <v>2769</v>
      </c>
      <c r="Z142" s="345">
        <v>92227023</v>
      </c>
      <c r="AA142" s="554">
        <v>6311</v>
      </c>
      <c r="AB142" s="265" t="s">
        <v>2832</v>
      </c>
      <c r="AC142" s="345">
        <v>92227023</v>
      </c>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row>
    <row r="143" spans="1:134" s="112" customFormat="1" ht="27" x14ac:dyDescent="0.25">
      <c r="A143" s="330"/>
      <c r="B143" s="690"/>
      <c r="C143" s="690"/>
      <c r="D143" s="330" t="s">
        <v>804</v>
      </c>
      <c r="E143" s="8" t="s">
        <v>165</v>
      </c>
      <c r="F143" s="359"/>
      <c r="G143" s="359"/>
      <c r="H143" s="359"/>
      <c r="I143" s="45"/>
      <c r="J143" s="45"/>
      <c r="K143" s="45"/>
      <c r="L143" s="45"/>
      <c r="M143" s="330"/>
      <c r="N143" s="274">
        <v>207860171</v>
      </c>
      <c r="O143" s="330"/>
      <c r="P143" s="330"/>
      <c r="Q143" s="615">
        <f t="shared" ref="Q143:Q144" si="2">+F143+G143+H143+I143+J143+K143+L143+M143+N143+O143-P143</f>
        <v>207860171</v>
      </c>
      <c r="R143" s="696"/>
      <c r="S143" s="462" t="s">
        <v>2233</v>
      </c>
      <c r="T143" s="154" t="s">
        <v>885</v>
      </c>
      <c r="U143" s="273">
        <v>44861</v>
      </c>
      <c r="V143" s="345"/>
      <c r="W143" s="46"/>
      <c r="X143" s="554"/>
      <c r="Y143" s="265"/>
      <c r="Z143" s="560"/>
      <c r="AA143" s="554"/>
      <c r="AB143" s="265"/>
      <c r="AC143" s="169"/>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c r="EA143" s="111"/>
      <c r="EB143" s="111"/>
      <c r="EC143" s="111"/>
      <c r="ED143" s="111"/>
    </row>
    <row r="144" spans="1:134" s="112" customFormat="1" ht="25.5" x14ac:dyDescent="0.25">
      <c r="A144" s="330"/>
      <c r="B144" s="691"/>
      <c r="C144" s="691"/>
      <c r="D144" s="330" t="s">
        <v>1143</v>
      </c>
      <c r="E144" s="8" t="s">
        <v>123</v>
      </c>
      <c r="F144" s="359"/>
      <c r="G144" s="359"/>
      <c r="H144" s="359"/>
      <c r="I144" s="45"/>
      <c r="J144" s="45"/>
      <c r="K144" s="45"/>
      <c r="L144" s="45"/>
      <c r="M144" s="330"/>
      <c r="N144" s="274">
        <v>48234848</v>
      </c>
      <c r="O144" s="330"/>
      <c r="P144" s="330"/>
      <c r="Q144" s="615">
        <f t="shared" si="2"/>
        <v>48234848</v>
      </c>
      <c r="R144" s="697"/>
      <c r="S144" s="261" t="s">
        <v>2249</v>
      </c>
      <c r="T144" s="461" t="s">
        <v>2250</v>
      </c>
      <c r="U144" s="362" t="s">
        <v>2251</v>
      </c>
      <c r="V144" s="517">
        <v>44376480</v>
      </c>
      <c r="W144" s="46"/>
      <c r="X144" s="554">
        <v>1472</v>
      </c>
      <c r="Y144" s="265" t="s">
        <v>2780</v>
      </c>
      <c r="Z144" s="560">
        <v>44376480</v>
      </c>
      <c r="AA144" s="554">
        <v>6210</v>
      </c>
      <c r="AB144" s="265" t="s">
        <v>2807</v>
      </c>
      <c r="AC144" s="169">
        <v>44376480</v>
      </c>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c r="EA144" s="111"/>
      <c r="EB144" s="111"/>
      <c r="EC144" s="111"/>
      <c r="ED144" s="111"/>
    </row>
    <row r="145" spans="1:134" s="112" customFormat="1" ht="15" x14ac:dyDescent="0.25">
      <c r="A145" s="86"/>
      <c r="B145" s="86"/>
      <c r="C145" s="86"/>
      <c r="D145" s="86"/>
      <c r="E145" s="86"/>
      <c r="F145" s="92"/>
      <c r="G145" s="92"/>
      <c r="H145" s="92"/>
      <c r="I145" s="87"/>
      <c r="J145" s="87"/>
      <c r="K145" s="87"/>
      <c r="L145" s="87"/>
      <c r="M145" s="86"/>
      <c r="N145" s="86"/>
      <c r="O145" s="86"/>
      <c r="P145" s="86"/>
      <c r="Q145" s="88">
        <f>SUM(Q142:Q144)</f>
        <v>348322042</v>
      </c>
      <c r="R145" s="90"/>
      <c r="S145" s="90"/>
      <c r="T145" s="90"/>
      <c r="U145" s="90"/>
      <c r="V145" s="94">
        <f>SUM(V142:V144)</f>
        <v>136603503</v>
      </c>
      <c r="W145" s="89"/>
      <c r="X145" s="90"/>
      <c r="Y145" s="91"/>
      <c r="Z145" s="94">
        <f>SUM(Z142:Z144)</f>
        <v>136603503</v>
      </c>
      <c r="AA145" s="90"/>
      <c r="AB145" s="91"/>
      <c r="AC145" s="121">
        <f>SUM(AC142:AC144)</f>
        <v>136603503</v>
      </c>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c r="EA145" s="111"/>
      <c r="EB145" s="111"/>
      <c r="EC145" s="111"/>
      <c r="ED145" s="111"/>
    </row>
    <row r="146" spans="1:134" s="112" customFormat="1" ht="27" x14ac:dyDescent="0.25">
      <c r="A146" s="330"/>
      <c r="B146" s="689" t="s">
        <v>1544</v>
      </c>
      <c r="C146" s="689" t="s">
        <v>1545</v>
      </c>
      <c r="D146" s="330" t="s">
        <v>801</v>
      </c>
      <c r="E146" s="8" t="s">
        <v>244</v>
      </c>
      <c r="F146" s="303"/>
      <c r="G146" s="303"/>
      <c r="H146" s="303"/>
      <c r="I146" s="45"/>
      <c r="J146" s="45"/>
      <c r="K146" s="45"/>
      <c r="L146" s="45"/>
      <c r="M146" s="330"/>
      <c r="N146" s="274">
        <v>69325747</v>
      </c>
      <c r="O146" s="330"/>
      <c r="P146" s="330"/>
      <c r="Q146" s="615">
        <f>+F146+G146+H146+I146+J146+K146+L146+M146+N146+O146-P146</f>
        <v>69325747</v>
      </c>
      <c r="R146" s="687">
        <f>+Q152</f>
        <v>500175040</v>
      </c>
      <c r="S146" s="78" t="s">
        <v>1786</v>
      </c>
      <c r="T146" s="457">
        <v>660</v>
      </c>
      <c r="U146" s="80" t="s">
        <v>1787</v>
      </c>
      <c r="V146" s="345">
        <v>69325747</v>
      </c>
      <c r="W146" s="46"/>
      <c r="X146" s="309">
        <v>1276</v>
      </c>
      <c r="Y146" s="47" t="s">
        <v>2769</v>
      </c>
      <c r="Z146" s="345">
        <v>69325747</v>
      </c>
      <c r="AA146" s="309">
        <v>6311</v>
      </c>
      <c r="AB146" s="47" t="s">
        <v>2832</v>
      </c>
      <c r="AC146" s="345">
        <v>69325747</v>
      </c>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c r="EA146" s="111"/>
      <c r="EB146" s="111"/>
      <c r="EC146" s="111"/>
      <c r="ED146" s="111"/>
    </row>
    <row r="147" spans="1:134" s="112" customFormat="1" ht="27" x14ac:dyDescent="0.25">
      <c r="A147" s="330"/>
      <c r="B147" s="690"/>
      <c r="C147" s="690"/>
      <c r="D147" s="330" t="s">
        <v>804</v>
      </c>
      <c r="E147" s="8" t="s">
        <v>165</v>
      </c>
      <c r="F147" s="359"/>
      <c r="G147" s="359"/>
      <c r="H147" s="359"/>
      <c r="I147" s="45"/>
      <c r="J147" s="45"/>
      <c r="K147" s="45"/>
      <c r="L147" s="45"/>
      <c r="M147" s="330"/>
      <c r="N147" s="274">
        <v>98175000</v>
      </c>
      <c r="O147" s="330"/>
      <c r="P147" s="330"/>
      <c r="Q147" s="615">
        <f t="shared" ref="Q147:Q151" si="3">+F147+G147+H147+I147+J147+K147+L147+M147+N147+O147-P147</f>
        <v>98175000</v>
      </c>
      <c r="R147" s="688"/>
      <c r="S147" s="462" t="s">
        <v>2233</v>
      </c>
      <c r="T147" s="154" t="s">
        <v>885</v>
      </c>
      <c r="U147" s="273">
        <v>44861</v>
      </c>
      <c r="V147" s="345"/>
      <c r="W147" s="46"/>
      <c r="X147" s="358"/>
      <c r="Y147" s="47"/>
      <c r="Z147" s="361"/>
      <c r="AA147" s="358"/>
      <c r="AB147" s="47"/>
      <c r="AC147" s="210"/>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c r="EA147" s="111"/>
      <c r="EB147" s="111"/>
      <c r="EC147" s="111"/>
      <c r="ED147" s="111"/>
    </row>
    <row r="148" spans="1:134" s="112" customFormat="1" ht="25.5" x14ac:dyDescent="0.25">
      <c r="A148" s="330"/>
      <c r="B148" s="690"/>
      <c r="C148" s="690"/>
      <c r="D148" s="330" t="s">
        <v>1138</v>
      </c>
      <c r="E148" s="8" t="s">
        <v>1137</v>
      </c>
      <c r="F148" s="359"/>
      <c r="G148" s="359"/>
      <c r="H148" s="359"/>
      <c r="I148" s="45"/>
      <c r="J148" s="45"/>
      <c r="K148" s="45"/>
      <c r="L148" s="45"/>
      <c r="M148" s="330"/>
      <c r="N148" s="274">
        <v>35405832</v>
      </c>
      <c r="O148" s="330"/>
      <c r="P148" s="330"/>
      <c r="Q148" s="615">
        <f t="shared" si="3"/>
        <v>35405832</v>
      </c>
      <c r="R148" s="688"/>
      <c r="S148" s="462" t="s">
        <v>2233</v>
      </c>
      <c r="T148" s="154" t="s">
        <v>885</v>
      </c>
      <c r="U148" s="273">
        <v>44861</v>
      </c>
      <c r="V148" s="345"/>
      <c r="W148" s="46"/>
      <c r="X148" s="358"/>
      <c r="Y148" s="47"/>
      <c r="Z148" s="361"/>
      <c r="AA148" s="358"/>
      <c r="AB148" s="47"/>
      <c r="AC148" s="210"/>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c r="EA148" s="111"/>
      <c r="EB148" s="111"/>
      <c r="EC148" s="111"/>
      <c r="ED148" s="111"/>
    </row>
    <row r="149" spans="1:134" s="633" customFormat="1" ht="27" x14ac:dyDescent="0.25">
      <c r="A149" s="617"/>
      <c r="B149" s="690"/>
      <c r="C149" s="690"/>
      <c r="D149" s="618" t="s">
        <v>2194</v>
      </c>
      <c r="E149" s="619" t="s">
        <v>111</v>
      </c>
      <c r="F149" s="620"/>
      <c r="G149" s="620"/>
      <c r="H149" s="620"/>
      <c r="I149" s="621"/>
      <c r="J149" s="621"/>
      <c r="K149" s="621"/>
      <c r="L149" s="621"/>
      <c r="M149" s="617"/>
      <c r="N149" s="622">
        <v>14327600</v>
      </c>
      <c r="O149" s="617"/>
      <c r="P149" s="617"/>
      <c r="Q149" s="623">
        <f t="shared" si="3"/>
        <v>14327600</v>
      </c>
      <c r="R149" s="688"/>
      <c r="S149" s="624" t="s">
        <v>2233</v>
      </c>
      <c r="T149" s="617" t="s">
        <v>885</v>
      </c>
      <c r="U149" s="625">
        <v>44861</v>
      </c>
      <c r="V149" s="626"/>
      <c r="W149" s="627"/>
      <c r="X149" s="628"/>
      <c r="Y149" s="629"/>
      <c r="Z149" s="630"/>
      <c r="AA149" s="628"/>
      <c r="AB149" s="629"/>
      <c r="AC149" s="631"/>
      <c r="AD149" s="632"/>
      <c r="AE149" s="632"/>
      <c r="AF149" s="632"/>
      <c r="AG149" s="632"/>
      <c r="AH149" s="632"/>
      <c r="AI149" s="632"/>
      <c r="AJ149" s="632"/>
      <c r="AK149" s="632"/>
      <c r="AL149" s="632"/>
      <c r="AM149" s="632"/>
      <c r="AN149" s="632"/>
      <c r="AO149" s="632"/>
      <c r="AP149" s="632"/>
      <c r="AQ149" s="632"/>
      <c r="AR149" s="632"/>
      <c r="AS149" s="632"/>
      <c r="AT149" s="632"/>
      <c r="AU149" s="632"/>
      <c r="AV149" s="632"/>
      <c r="AW149" s="632"/>
      <c r="AX149" s="632"/>
      <c r="AY149" s="632"/>
      <c r="AZ149" s="632"/>
      <c r="BA149" s="632"/>
      <c r="BB149" s="632"/>
      <c r="BC149" s="632"/>
      <c r="BD149" s="632"/>
      <c r="BE149" s="632"/>
      <c r="BF149" s="632"/>
      <c r="BG149" s="632"/>
      <c r="BH149" s="632"/>
      <c r="BI149" s="632"/>
      <c r="BJ149" s="632"/>
      <c r="BK149" s="632"/>
      <c r="BL149" s="632"/>
      <c r="BM149" s="632"/>
      <c r="BN149" s="632"/>
      <c r="BO149" s="632"/>
      <c r="BP149" s="632"/>
      <c r="BQ149" s="632"/>
      <c r="BR149" s="632"/>
      <c r="BS149" s="632"/>
      <c r="BT149" s="632"/>
      <c r="BU149" s="632"/>
      <c r="BV149" s="632"/>
      <c r="BW149" s="632"/>
      <c r="BX149" s="632"/>
      <c r="BY149" s="632"/>
      <c r="BZ149" s="632"/>
      <c r="CA149" s="632"/>
      <c r="CB149" s="632"/>
      <c r="CC149" s="632"/>
      <c r="CD149" s="632"/>
      <c r="CE149" s="632"/>
      <c r="CF149" s="632"/>
      <c r="CG149" s="632"/>
      <c r="CH149" s="632"/>
      <c r="CI149" s="632"/>
      <c r="CJ149" s="632"/>
      <c r="CK149" s="632"/>
      <c r="CL149" s="632"/>
      <c r="CM149" s="632"/>
      <c r="CN149" s="632"/>
      <c r="CO149" s="632"/>
      <c r="CP149" s="632"/>
      <c r="CQ149" s="632"/>
      <c r="CR149" s="632"/>
      <c r="CS149" s="632"/>
      <c r="CT149" s="632"/>
      <c r="CU149" s="632"/>
      <c r="CV149" s="632"/>
      <c r="CW149" s="632"/>
      <c r="CX149" s="632"/>
      <c r="CY149" s="632"/>
      <c r="CZ149" s="632"/>
      <c r="DA149" s="632"/>
      <c r="DB149" s="632"/>
      <c r="DC149" s="632"/>
      <c r="DD149" s="632"/>
      <c r="DE149" s="632"/>
      <c r="DF149" s="632"/>
      <c r="DG149" s="632"/>
      <c r="DH149" s="632"/>
      <c r="DI149" s="632"/>
      <c r="DJ149" s="632"/>
      <c r="DK149" s="632"/>
      <c r="DL149" s="632"/>
      <c r="DM149" s="632"/>
      <c r="DN149" s="632"/>
      <c r="DO149" s="632"/>
      <c r="DP149" s="632"/>
      <c r="DQ149" s="632"/>
      <c r="DR149" s="632"/>
      <c r="DS149" s="632"/>
      <c r="DT149" s="632"/>
      <c r="DU149" s="632"/>
      <c r="DV149" s="632"/>
      <c r="DW149" s="632"/>
      <c r="DX149" s="632"/>
      <c r="DY149" s="632"/>
      <c r="DZ149" s="632"/>
      <c r="EA149" s="632"/>
      <c r="EB149" s="632"/>
      <c r="EC149" s="632"/>
      <c r="ED149" s="632"/>
    </row>
    <row r="150" spans="1:134" s="112" customFormat="1" ht="40.5" x14ac:dyDescent="0.25">
      <c r="A150" s="330"/>
      <c r="B150" s="690"/>
      <c r="C150" s="690"/>
      <c r="D150" s="359" t="s">
        <v>2195</v>
      </c>
      <c r="E150" s="360" t="s">
        <v>138</v>
      </c>
      <c r="F150" s="359"/>
      <c r="G150" s="359"/>
      <c r="H150" s="359"/>
      <c r="I150" s="45"/>
      <c r="J150" s="45"/>
      <c r="K150" s="45"/>
      <c r="L150" s="45"/>
      <c r="M150" s="330"/>
      <c r="N150" s="274">
        <v>36461995</v>
      </c>
      <c r="O150" s="330"/>
      <c r="P150" s="330"/>
      <c r="Q150" s="615">
        <f t="shared" si="3"/>
        <v>36461995</v>
      </c>
      <c r="R150" s="688"/>
      <c r="S150" s="78" t="s">
        <v>2252</v>
      </c>
      <c r="T150" s="457" t="s">
        <v>2253</v>
      </c>
      <c r="U150" s="80" t="s">
        <v>2254</v>
      </c>
      <c r="V150" s="345">
        <v>25965360</v>
      </c>
      <c r="W150" s="46"/>
      <c r="X150" s="358">
        <v>1391</v>
      </c>
      <c r="Y150" s="47" t="s">
        <v>2777</v>
      </c>
      <c r="Z150" s="345">
        <v>25965360</v>
      </c>
      <c r="AA150" s="358">
        <v>6043</v>
      </c>
      <c r="AB150" s="47" t="s">
        <v>2789</v>
      </c>
      <c r="AC150" s="210">
        <v>25965360</v>
      </c>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c r="EA150" s="111"/>
      <c r="EB150" s="111"/>
      <c r="EC150" s="111"/>
      <c r="ED150" s="111"/>
    </row>
    <row r="151" spans="1:134" s="112" customFormat="1" ht="25.5" x14ac:dyDescent="0.25">
      <c r="A151" s="330"/>
      <c r="B151" s="691"/>
      <c r="C151" s="691"/>
      <c r="D151" s="330" t="s">
        <v>1143</v>
      </c>
      <c r="E151" s="8" t="s">
        <v>123</v>
      </c>
      <c r="F151" s="359"/>
      <c r="G151" s="359"/>
      <c r="H151" s="359"/>
      <c r="I151" s="45"/>
      <c r="J151" s="45"/>
      <c r="K151" s="45"/>
      <c r="L151" s="45"/>
      <c r="M151" s="330"/>
      <c r="N151" s="274">
        <v>246478866</v>
      </c>
      <c r="O151" s="330"/>
      <c r="P151" s="330"/>
      <c r="Q151" s="615">
        <f t="shared" si="3"/>
        <v>246478866</v>
      </c>
      <c r="R151" s="698"/>
      <c r="S151" s="78"/>
      <c r="T151" s="330"/>
      <c r="U151" s="80"/>
      <c r="V151" s="345"/>
      <c r="W151" s="46"/>
      <c r="X151" s="358"/>
      <c r="Y151" s="47"/>
      <c r="Z151" s="361"/>
      <c r="AA151" s="358"/>
      <c r="AB151" s="47"/>
      <c r="AC151" s="210"/>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c r="EA151" s="111"/>
      <c r="EB151" s="111"/>
      <c r="EC151" s="111"/>
      <c r="ED151" s="111"/>
    </row>
    <row r="152" spans="1:134" s="112" customFormat="1" ht="15.75" thickBot="1" x14ac:dyDescent="0.3">
      <c r="A152" s="86"/>
      <c r="B152" s="86"/>
      <c r="C152" s="86"/>
      <c r="D152" s="86"/>
      <c r="E152" s="86"/>
      <c r="F152" s="92"/>
      <c r="G152" s="92"/>
      <c r="H152" s="92"/>
      <c r="I152" s="87"/>
      <c r="J152" s="87"/>
      <c r="K152" s="87"/>
      <c r="L152" s="87"/>
      <c r="M152" s="86"/>
      <c r="N152" s="86"/>
      <c r="O152" s="86"/>
      <c r="P152" s="86"/>
      <c r="Q152" s="88">
        <f>SUM(Q146:Q151)</f>
        <v>500175040</v>
      </c>
      <c r="R152" s="90"/>
      <c r="S152" s="86"/>
      <c r="T152" s="86"/>
      <c r="U152" s="86"/>
      <c r="V152" s="103">
        <f>SUM(V146:V151)</f>
        <v>95291107</v>
      </c>
      <c r="W152" s="89"/>
      <c r="X152" s="90"/>
      <c r="Y152" s="91"/>
      <c r="Z152" s="94">
        <f>SUM(Z146:Z151)</f>
        <v>95291107</v>
      </c>
      <c r="AA152" s="90"/>
      <c r="AB152" s="91"/>
      <c r="AC152" s="121">
        <f>SUM(AC146:AC151)</f>
        <v>95291107</v>
      </c>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c r="EA152" s="111"/>
      <c r="EB152" s="111"/>
      <c r="EC152" s="111"/>
      <c r="ED152" s="111"/>
    </row>
    <row r="153" spans="1:134" s="63" customFormat="1" ht="17.25" thickBot="1" x14ac:dyDescent="0.35">
      <c r="A153" s="51"/>
      <c r="B153" s="51"/>
      <c r="C153" s="42"/>
      <c r="D153" s="42"/>
      <c r="E153" s="42"/>
      <c r="F153" s="221"/>
      <c r="G153" s="220"/>
      <c r="H153" s="220"/>
      <c r="I153" s="42"/>
      <c r="J153" s="42"/>
      <c r="K153" s="42"/>
      <c r="L153" s="42"/>
      <c r="M153" s="342"/>
      <c r="N153" s="342"/>
      <c r="O153" s="54" t="s">
        <v>29</v>
      </c>
      <c r="P153" s="54"/>
      <c r="Q153" s="55">
        <f>+Q13+Q18+Q50+Q68+Q52+Q92+Q97+Q100+Q103+Q107+Q120+Q123+Q126+Q132+Q135+Q141+Q145+Q152</f>
        <v>14602625742</v>
      </c>
      <c r="R153" s="56"/>
      <c r="S153" s="56"/>
      <c r="T153" s="243"/>
      <c r="U153" s="56"/>
      <c r="V153" s="67">
        <f>+V13+V18+V50+V68+V52+V92+V97+V100+V103+V107+V120+V123+V126+V132+V135+V141+V145+V152</f>
        <v>13362771838.67</v>
      </c>
      <c r="W153" s="57">
        <f>(V153*1)/Q153</f>
        <v>0.91509376976197243</v>
      </c>
      <c r="X153" s="83"/>
      <c r="Y153" s="113"/>
      <c r="Z153" s="114">
        <f>+Z13+Z18+Z50+Z68+Z52+Z92+Z97+Z100+Z103+Z107+Z120+Z123+Z126+Z132+Z135+Z141+Z145+Z152</f>
        <v>13362771838.67</v>
      </c>
      <c r="AA153" s="83"/>
      <c r="AB153" s="113"/>
      <c r="AC153" s="115">
        <f>+AC13+AC18+AC50+AC68+AC52+AC92+AC97+AC100+AC103+AC107+AC120+AC123+AC126+AC132+AC135+AC141+AC145+AC152</f>
        <v>13362771838.67</v>
      </c>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row>
    <row r="154" spans="1:134" ht="15" x14ac:dyDescent="0.25">
      <c r="W154" s="4"/>
    </row>
    <row r="155" spans="1:134" ht="15" x14ac:dyDescent="0.25">
      <c r="Q155" s="285"/>
      <c r="V155" s="39"/>
      <c r="W155" s="6"/>
      <c r="X155" s="39"/>
    </row>
    <row r="156" spans="1:134" ht="15" x14ac:dyDescent="0.25">
      <c r="V156" s="39"/>
      <c r="W156" s="6"/>
      <c r="X156" s="39"/>
    </row>
    <row r="157" spans="1:134" ht="15" x14ac:dyDescent="0.25">
      <c r="Q157" s="285"/>
      <c r="V157" s="39"/>
      <c r="W157" s="6"/>
      <c r="X157" s="39"/>
    </row>
    <row r="158" spans="1:134" ht="15" x14ac:dyDescent="0.25">
      <c r="V158" s="39"/>
      <c r="W158" s="6"/>
      <c r="X158" s="39"/>
    </row>
    <row r="159" spans="1:134" ht="15" x14ac:dyDescent="0.25">
      <c r="V159" s="39"/>
      <c r="W159" s="6"/>
      <c r="X159" s="39"/>
    </row>
    <row r="160" spans="1:134" ht="15" x14ac:dyDescent="0.25">
      <c r="V160" s="39"/>
      <c r="W160" s="6"/>
      <c r="X160" s="39"/>
    </row>
    <row r="161" spans="22:24" ht="15" x14ac:dyDescent="0.25">
      <c r="V161" s="39"/>
      <c r="W161" s="6"/>
      <c r="X161" s="39"/>
    </row>
    <row r="162" spans="22:24" ht="15" x14ac:dyDescent="0.25">
      <c r="V162" s="39"/>
      <c r="W162" s="6"/>
      <c r="X162" s="39"/>
    </row>
    <row r="163" spans="22:24" ht="15" x14ac:dyDescent="0.25">
      <c r="V163" s="39"/>
      <c r="W163" s="7"/>
      <c r="X163" s="39"/>
    </row>
    <row r="164" spans="22:24" ht="15" x14ac:dyDescent="0.25"/>
    <row r="165" spans="22:24" ht="15" x14ac:dyDescent="0.25"/>
    <row r="166" spans="22:24" ht="15" x14ac:dyDescent="0.25"/>
    <row r="167" spans="22:24" ht="15" x14ac:dyDescent="0.25"/>
    <row r="168" spans="22:24" ht="15" x14ac:dyDescent="0.25"/>
    <row r="169" spans="22:24" ht="15" x14ac:dyDescent="0.25"/>
    <row r="170" spans="22:24" ht="15" x14ac:dyDescent="0.25"/>
    <row r="171" spans="22:24" ht="15" x14ac:dyDescent="0.25"/>
    <row r="172" spans="22:24" ht="15" x14ac:dyDescent="0.25"/>
    <row r="173" spans="22:24" ht="15" x14ac:dyDescent="0.25"/>
    <row r="174" spans="22:24" ht="15" x14ac:dyDescent="0.25"/>
    <row r="175" spans="22:24" ht="15" x14ac:dyDescent="0.25"/>
    <row r="176" spans="22:24"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customHeight="1" x14ac:dyDescent="0.25"/>
    <row r="207" ht="15" customHeight="1" x14ac:dyDescent="0.25"/>
    <row r="208" ht="15" customHeight="1" x14ac:dyDescent="0.25"/>
    <row r="209" ht="15" customHeight="1" x14ac:dyDescent="0.25"/>
    <row r="210" ht="15" customHeight="1" x14ac:dyDescent="0.25"/>
  </sheetData>
  <sheetProtection algorithmName="SHA-512" hashValue="NIgPrLn4/PsMkDscd/UCB+GQbhSq7TlTSzh1M+lAQjYJkpLzULO6srJfE0vEGUvxlNUUrezIWYmS3jze6Rx7VA==" saltValue="QJVkeGtjPsOyFzEzKZTQPA==" spinCount="100000" sheet="1" objects="1" scenarios="1" selectLockedCells="1" selectUnlockedCells="1"/>
  <mergeCells count="192">
    <mergeCell ref="R69:R91"/>
    <mergeCell ref="R93:R96"/>
    <mergeCell ref="B127:B131"/>
    <mergeCell ref="A127:A131"/>
    <mergeCell ref="C127:C131"/>
    <mergeCell ref="R127:R131"/>
    <mergeCell ref="E69:E91"/>
    <mergeCell ref="D69:D91"/>
    <mergeCell ref="C69:C91"/>
    <mergeCell ref="B69:B91"/>
    <mergeCell ref="A69:A91"/>
    <mergeCell ref="R98:R99"/>
    <mergeCell ref="R101:R102"/>
    <mergeCell ref="R104:R106"/>
    <mergeCell ref="R108:R119"/>
    <mergeCell ref="R124:R125"/>
    <mergeCell ref="A124:A125"/>
    <mergeCell ref="B124:B125"/>
    <mergeCell ref="B108:B119"/>
    <mergeCell ref="C124:C125"/>
    <mergeCell ref="C108:C119"/>
    <mergeCell ref="C98:C99"/>
    <mergeCell ref="B98:B99"/>
    <mergeCell ref="A98:A99"/>
    <mergeCell ref="G63:G64"/>
    <mergeCell ref="F63:F64"/>
    <mergeCell ref="E63:E64"/>
    <mergeCell ref="D63:D64"/>
    <mergeCell ref="Q69:Q91"/>
    <mergeCell ref="P69:P91"/>
    <mergeCell ref="O69:O91"/>
    <mergeCell ref="N69:N91"/>
    <mergeCell ref="M69:M91"/>
    <mergeCell ref="L69:L91"/>
    <mergeCell ref="K69:K91"/>
    <mergeCell ref="J69:J91"/>
    <mergeCell ref="I69:I91"/>
    <mergeCell ref="H69:H91"/>
    <mergeCell ref="G69:G91"/>
    <mergeCell ref="F69:F91"/>
    <mergeCell ref="L63:L64"/>
    <mergeCell ref="K63:K64"/>
    <mergeCell ref="J63:J64"/>
    <mergeCell ref="I63:I64"/>
    <mergeCell ref="H63:H64"/>
    <mergeCell ref="Q63:Q64"/>
    <mergeCell ref="P63:P64"/>
    <mergeCell ref="O63:O64"/>
    <mergeCell ref="N63:N64"/>
    <mergeCell ref="M63:M64"/>
    <mergeCell ref="M60:M61"/>
    <mergeCell ref="N60:N61"/>
    <mergeCell ref="O60:O61"/>
    <mergeCell ref="P60:P61"/>
    <mergeCell ref="Q60:Q61"/>
    <mergeCell ref="H60:H61"/>
    <mergeCell ref="I60:I61"/>
    <mergeCell ref="J60:J61"/>
    <mergeCell ref="K60:K61"/>
    <mergeCell ref="L60:L61"/>
    <mergeCell ref="Q55:Q56"/>
    <mergeCell ref="L57:L58"/>
    <mergeCell ref="K57:K58"/>
    <mergeCell ref="J57:J58"/>
    <mergeCell ref="I57:I58"/>
    <mergeCell ref="H57:H58"/>
    <mergeCell ref="Q57:Q58"/>
    <mergeCell ref="P57:P58"/>
    <mergeCell ref="O57:O58"/>
    <mergeCell ref="N57:N58"/>
    <mergeCell ref="M57:M58"/>
    <mergeCell ref="H55:H56"/>
    <mergeCell ref="I55:I56"/>
    <mergeCell ref="J55:J56"/>
    <mergeCell ref="K55:K56"/>
    <mergeCell ref="L55:L56"/>
    <mergeCell ref="M55:M56"/>
    <mergeCell ref="N55:N56"/>
    <mergeCell ref="O55:O56"/>
    <mergeCell ref="P55:P56"/>
    <mergeCell ref="O19:O45"/>
    <mergeCell ref="P19:P45"/>
    <mergeCell ref="Q19:Q45"/>
    <mergeCell ref="R19:R45"/>
    <mergeCell ref="E53:E54"/>
    <mergeCell ref="F53:F54"/>
    <mergeCell ref="G53:G54"/>
    <mergeCell ref="H53:H54"/>
    <mergeCell ref="I53:I54"/>
    <mergeCell ref="J53:J54"/>
    <mergeCell ref="K53:K54"/>
    <mergeCell ref="L53:L54"/>
    <mergeCell ref="M53:M54"/>
    <mergeCell ref="N53:N54"/>
    <mergeCell ref="O53:O54"/>
    <mergeCell ref="P53:P54"/>
    <mergeCell ref="J19:J45"/>
    <mergeCell ref="K19:K45"/>
    <mergeCell ref="L19:L45"/>
    <mergeCell ref="M19:M45"/>
    <mergeCell ref="N19:N45"/>
    <mergeCell ref="Q53:Q54"/>
    <mergeCell ref="R8:R12"/>
    <mergeCell ref="F14:F17"/>
    <mergeCell ref="G14:G17"/>
    <mergeCell ref="H14:H17"/>
    <mergeCell ref="I14:I17"/>
    <mergeCell ref="J14:J17"/>
    <mergeCell ref="K14:K17"/>
    <mergeCell ref="L14:L17"/>
    <mergeCell ref="M14:M17"/>
    <mergeCell ref="N14:N17"/>
    <mergeCell ref="O14:O17"/>
    <mergeCell ref="P14:P17"/>
    <mergeCell ref="Q14:Q17"/>
    <mergeCell ref="R14:R17"/>
    <mergeCell ref="M8:M12"/>
    <mergeCell ref="N8:N12"/>
    <mergeCell ref="O8:O12"/>
    <mergeCell ref="P8:P12"/>
    <mergeCell ref="Q8:Q12"/>
    <mergeCell ref="E60:E61"/>
    <mergeCell ref="D60:D61"/>
    <mergeCell ref="F60:F61"/>
    <mergeCell ref="G60:G61"/>
    <mergeCell ref="B14:B17"/>
    <mergeCell ref="A14:A17"/>
    <mergeCell ref="A19:A45"/>
    <mergeCell ref="C19:C45"/>
    <mergeCell ref="F55:F56"/>
    <mergeCell ref="E55:E56"/>
    <mergeCell ref="D55:D56"/>
    <mergeCell ref="G55:G56"/>
    <mergeCell ref="B19:B49"/>
    <mergeCell ref="AB2:AC2"/>
    <mergeCell ref="B3:AA3"/>
    <mergeCell ref="AB3:AC3"/>
    <mergeCell ref="B4:AA5"/>
    <mergeCell ref="AB4:AC4"/>
    <mergeCell ref="AB5:AC5"/>
    <mergeCell ref="B93:B95"/>
    <mergeCell ref="B53:B67"/>
    <mergeCell ref="C53:C67"/>
    <mergeCell ref="E8:E12"/>
    <mergeCell ref="G8:G12"/>
    <mergeCell ref="H8:H12"/>
    <mergeCell ref="I8:I12"/>
    <mergeCell ref="J8:J12"/>
    <mergeCell ref="K8:K12"/>
    <mergeCell ref="L8:L12"/>
    <mergeCell ref="E14:E17"/>
    <mergeCell ref="D14:D17"/>
    <mergeCell ref="C14:C17"/>
    <mergeCell ref="C93:C95"/>
    <mergeCell ref="D53:D54"/>
    <mergeCell ref="B8:B12"/>
    <mergeCell ref="C8:C12"/>
    <mergeCell ref="D8:D12"/>
    <mergeCell ref="A101:A102"/>
    <mergeCell ref="B101:B102"/>
    <mergeCell ref="C101:C102"/>
    <mergeCell ref="B146:B151"/>
    <mergeCell ref="C146:C151"/>
    <mergeCell ref="A136:A139"/>
    <mergeCell ref="C136:C139"/>
    <mergeCell ref="A2:A5"/>
    <mergeCell ref="B2:AA2"/>
    <mergeCell ref="A93:A95"/>
    <mergeCell ref="A8:A12"/>
    <mergeCell ref="F8:F12"/>
    <mergeCell ref="R53:R67"/>
    <mergeCell ref="A53:A67"/>
    <mergeCell ref="D19:D45"/>
    <mergeCell ref="E19:E45"/>
    <mergeCell ref="F19:F45"/>
    <mergeCell ref="I19:I45"/>
    <mergeCell ref="G19:G45"/>
    <mergeCell ref="H19:H45"/>
    <mergeCell ref="G57:G58"/>
    <mergeCell ref="F57:F58"/>
    <mergeCell ref="E57:E58"/>
    <mergeCell ref="D57:D58"/>
    <mergeCell ref="R136:R140"/>
    <mergeCell ref="B142:B144"/>
    <mergeCell ref="C142:C144"/>
    <mergeCell ref="A108:A119"/>
    <mergeCell ref="R142:R144"/>
    <mergeCell ref="R146:R151"/>
    <mergeCell ref="C104:C106"/>
    <mergeCell ref="B104:B106"/>
    <mergeCell ref="A104:A106"/>
    <mergeCell ref="B136:B140"/>
  </mergeCells>
  <conditionalFormatting sqref="W163:W1048576 W93:W96 W98:W99 W101:W102 W104:W106 W108:W119 W121:W122 W124:W125 W7:W51 W133:W153 W53:W91 W127:W131">
    <cfRule type="cellIs" dxfId="1199" priority="111" operator="between">
      <formula>0.51</formula>
      <formula>0.69</formula>
    </cfRule>
    <cfRule type="cellIs" dxfId="1198" priority="112" operator="between">
      <formula>0.51</formula>
      <formula>0.69</formula>
    </cfRule>
    <cfRule type="cellIs" dxfId="1197" priority="113" operator="lessThan">
      <formula>0.5</formula>
    </cfRule>
    <cfRule type="cellIs" dxfId="1196" priority="114" operator="greaterThan">
      <formula>0.7</formula>
    </cfRule>
    <cfRule type="cellIs" dxfId="1195" priority="115" operator="between">
      <formula>0.51</formula>
      <formula>0.69</formula>
    </cfRule>
    <cfRule type="cellIs" dxfId="1194" priority="116" operator="lessThan">
      <formula>50</formula>
    </cfRule>
    <cfRule type="cellIs" dxfId="1193" priority="117" operator="greaterThan">
      <formula>0.7</formula>
    </cfRule>
    <cfRule type="cellIs" dxfId="1192" priority="118" operator="between">
      <formula>0.51</formula>
      <formula>0.69</formula>
    </cfRule>
    <cfRule type="cellIs" dxfId="1191" priority="119" operator="lessThan">
      <formula>0.5</formula>
    </cfRule>
    <cfRule type="cellIs" dxfId="1190" priority="120" operator="greaterThan">
      <formula>0.7</formula>
    </cfRule>
  </conditionalFormatting>
  <conditionalFormatting sqref="W52">
    <cfRule type="cellIs" dxfId="1189" priority="101" operator="between">
      <formula>0.51</formula>
      <formula>0.69</formula>
    </cfRule>
    <cfRule type="cellIs" dxfId="1188" priority="102" operator="between">
      <formula>0.51</formula>
      <formula>0.69</formula>
    </cfRule>
    <cfRule type="cellIs" dxfId="1187" priority="103" operator="lessThan">
      <formula>0.5</formula>
    </cfRule>
    <cfRule type="cellIs" dxfId="1186" priority="104" operator="greaterThan">
      <formula>0.7</formula>
    </cfRule>
    <cfRule type="cellIs" dxfId="1185" priority="105" operator="between">
      <formula>0.51</formula>
      <formula>0.69</formula>
    </cfRule>
    <cfRule type="cellIs" dxfId="1184" priority="106" operator="lessThan">
      <formula>50</formula>
    </cfRule>
    <cfRule type="cellIs" dxfId="1183" priority="107" operator="greaterThan">
      <formula>0.7</formula>
    </cfRule>
    <cfRule type="cellIs" dxfId="1182" priority="108" operator="between">
      <formula>0.51</formula>
      <formula>0.69</formula>
    </cfRule>
    <cfRule type="cellIs" dxfId="1181" priority="109" operator="lessThan">
      <formula>0.5</formula>
    </cfRule>
    <cfRule type="cellIs" dxfId="1180" priority="110" operator="greaterThan">
      <formula>0.7</formula>
    </cfRule>
  </conditionalFormatting>
  <conditionalFormatting sqref="W92">
    <cfRule type="cellIs" dxfId="1179" priority="91" operator="between">
      <formula>0.51</formula>
      <formula>0.69</formula>
    </cfRule>
    <cfRule type="cellIs" dxfId="1178" priority="92" operator="between">
      <formula>0.51</formula>
      <formula>0.69</formula>
    </cfRule>
    <cfRule type="cellIs" dxfId="1177" priority="93" operator="lessThan">
      <formula>0.5</formula>
    </cfRule>
    <cfRule type="cellIs" dxfId="1176" priority="94" operator="greaterThan">
      <formula>0.7</formula>
    </cfRule>
    <cfRule type="cellIs" dxfId="1175" priority="95" operator="between">
      <formula>0.51</formula>
      <formula>0.69</formula>
    </cfRule>
    <cfRule type="cellIs" dxfId="1174" priority="96" operator="lessThan">
      <formula>50</formula>
    </cfRule>
    <cfRule type="cellIs" dxfId="1173" priority="97" operator="greaterThan">
      <formula>0.7</formula>
    </cfRule>
    <cfRule type="cellIs" dxfId="1172" priority="98" operator="between">
      <formula>0.51</formula>
      <formula>0.69</formula>
    </cfRule>
    <cfRule type="cellIs" dxfId="1171" priority="99" operator="lessThan">
      <formula>0.5</formula>
    </cfRule>
    <cfRule type="cellIs" dxfId="1170" priority="100" operator="greaterThan">
      <formula>0.7</formula>
    </cfRule>
  </conditionalFormatting>
  <conditionalFormatting sqref="W97">
    <cfRule type="cellIs" dxfId="1169" priority="81" operator="between">
      <formula>0.51</formula>
      <formula>0.69</formula>
    </cfRule>
    <cfRule type="cellIs" dxfId="1168" priority="82" operator="between">
      <formula>0.51</formula>
      <formula>0.69</formula>
    </cfRule>
    <cfRule type="cellIs" dxfId="1167" priority="83" operator="lessThan">
      <formula>0.5</formula>
    </cfRule>
    <cfRule type="cellIs" dxfId="1166" priority="84" operator="greaterThan">
      <formula>0.7</formula>
    </cfRule>
    <cfRule type="cellIs" dxfId="1165" priority="85" operator="between">
      <formula>0.51</formula>
      <formula>0.69</formula>
    </cfRule>
    <cfRule type="cellIs" dxfId="1164" priority="86" operator="lessThan">
      <formula>50</formula>
    </cfRule>
    <cfRule type="cellIs" dxfId="1163" priority="87" operator="greaterThan">
      <formula>0.7</formula>
    </cfRule>
    <cfRule type="cellIs" dxfId="1162" priority="88" operator="between">
      <formula>0.51</formula>
      <formula>0.69</formula>
    </cfRule>
    <cfRule type="cellIs" dxfId="1161" priority="89" operator="lessThan">
      <formula>0.5</formula>
    </cfRule>
    <cfRule type="cellIs" dxfId="1160" priority="90" operator="greaterThan">
      <formula>0.7</formula>
    </cfRule>
  </conditionalFormatting>
  <conditionalFormatting sqref="W100">
    <cfRule type="cellIs" dxfId="1159" priority="71" operator="between">
      <formula>0.51</formula>
      <formula>0.69</formula>
    </cfRule>
    <cfRule type="cellIs" dxfId="1158" priority="72" operator="between">
      <formula>0.51</formula>
      <formula>0.69</formula>
    </cfRule>
    <cfRule type="cellIs" dxfId="1157" priority="73" operator="lessThan">
      <formula>0.5</formula>
    </cfRule>
    <cfRule type="cellIs" dxfId="1156" priority="74" operator="greaterThan">
      <formula>0.7</formula>
    </cfRule>
    <cfRule type="cellIs" dxfId="1155" priority="75" operator="between">
      <formula>0.51</formula>
      <formula>0.69</formula>
    </cfRule>
    <cfRule type="cellIs" dxfId="1154" priority="76" operator="lessThan">
      <formula>50</formula>
    </cfRule>
    <cfRule type="cellIs" dxfId="1153" priority="77" operator="greaterThan">
      <formula>0.7</formula>
    </cfRule>
    <cfRule type="cellIs" dxfId="1152" priority="78" operator="between">
      <formula>0.51</formula>
      <formula>0.69</formula>
    </cfRule>
    <cfRule type="cellIs" dxfId="1151" priority="79" operator="lessThan">
      <formula>0.5</formula>
    </cfRule>
    <cfRule type="cellIs" dxfId="1150" priority="80" operator="greaterThan">
      <formula>0.7</formula>
    </cfRule>
  </conditionalFormatting>
  <conditionalFormatting sqref="W103">
    <cfRule type="cellIs" dxfId="1149" priority="61" operator="between">
      <formula>0.51</formula>
      <formula>0.69</formula>
    </cfRule>
    <cfRule type="cellIs" dxfId="1148" priority="62" operator="between">
      <formula>0.51</formula>
      <formula>0.69</formula>
    </cfRule>
    <cfRule type="cellIs" dxfId="1147" priority="63" operator="lessThan">
      <formula>0.5</formula>
    </cfRule>
    <cfRule type="cellIs" dxfId="1146" priority="64" operator="greaterThan">
      <formula>0.7</formula>
    </cfRule>
    <cfRule type="cellIs" dxfId="1145" priority="65" operator="between">
      <formula>0.51</formula>
      <formula>0.69</formula>
    </cfRule>
    <cfRule type="cellIs" dxfId="1144" priority="66" operator="lessThan">
      <formula>50</formula>
    </cfRule>
    <cfRule type="cellIs" dxfId="1143" priority="67" operator="greaterThan">
      <formula>0.7</formula>
    </cfRule>
    <cfRule type="cellIs" dxfId="1142" priority="68" operator="between">
      <formula>0.51</formula>
      <formula>0.69</formula>
    </cfRule>
    <cfRule type="cellIs" dxfId="1141" priority="69" operator="lessThan">
      <formula>0.5</formula>
    </cfRule>
    <cfRule type="cellIs" dxfId="1140" priority="70" operator="greaterThan">
      <formula>0.7</formula>
    </cfRule>
  </conditionalFormatting>
  <conditionalFormatting sqref="W107">
    <cfRule type="cellIs" dxfId="1139" priority="51" operator="between">
      <formula>0.51</formula>
      <formula>0.69</formula>
    </cfRule>
    <cfRule type="cellIs" dxfId="1138" priority="52" operator="between">
      <formula>0.51</formula>
      <formula>0.69</formula>
    </cfRule>
    <cfRule type="cellIs" dxfId="1137" priority="53" operator="lessThan">
      <formula>0.5</formula>
    </cfRule>
    <cfRule type="cellIs" dxfId="1136" priority="54" operator="greaterThan">
      <formula>0.7</formula>
    </cfRule>
    <cfRule type="cellIs" dxfId="1135" priority="55" operator="between">
      <formula>0.51</formula>
      <formula>0.69</formula>
    </cfRule>
    <cfRule type="cellIs" dxfId="1134" priority="56" operator="lessThan">
      <formula>50</formula>
    </cfRule>
    <cfRule type="cellIs" dxfId="1133" priority="57" operator="greaterThan">
      <formula>0.7</formula>
    </cfRule>
    <cfRule type="cellIs" dxfId="1132" priority="58" operator="between">
      <formula>0.51</formula>
      <formula>0.69</formula>
    </cfRule>
    <cfRule type="cellIs" dxfId="1131" priority="59" operator="lessThan">
      <formula>0.5</formula>
    </cfRule>
    <cfRule type="cellIs" dxfId="1130" priority="60" operator="greaterThan">
      <formula>0.7</formula>
    </cfRule>
  </conditionalFormatting>
  <conditionalFormatting sqref="W120">
    <cfRule type="cellIs" dxfId="1129" priority="41" operator="between">
      <formula>0.51</formula>
      <formula>0.69</formula>
    </cfRule>
    <cfRule type="cellIs" dxfId="1128" priority="42" operator="between">
      <formula>0.51</formula>
      <formula>0.69</formula>
    </cfRule>
    <cfRule type="cellIs" dxfId="1127" priority="43" operator="lessThan">
      <formula>0.5</formula>
    </cfRule>
    <cfRule type="cellIs" dxfId="1126" priority="44" operator="greaterThan">
      <formula>0.7</formula>
    </cfRule>
    <cfRule type="cellIs" dxfId="1125" priority="45" operator="between">
      <formula>0.51</formula>
      <formula>0.69</formula>
    </cfRule>
    <cfRule type="cellIs" dxfId="1124" priority="46" operator="lessThan">
      <formula>50</formula>
    </cfRule>
    <cfRule type="cellIs" dxfId="1123" priority="47" operator="greaterThan">
      <formula>0.7</formula>
    </cfRule>
    <cfRule type="cellIs" dxfId="1122" priority="48" operator="between">
      <formula>0.51</formula>
      <formula>0.69</formula>
    </cfRule>
    <cfRule type="cellIs" dxfId="1121" priority="49" operator="lessThan">
      <formula>0.5</formula>
    </cfRule>
    <cfRule type="cellIs" dxfId="1120" priority="50" operator="greaterThan">
      <formula>0.7</formula>
    </cfRule>
  </conditionalFormatting>
  <conditionalFormatting sqref="W123">
    <cfRule type="cellIs" dxfId="1119" priority="31" operator="between">
      <formula>0.51</formula>
      <formula>0.69</formula>
    </cfRule>
    <cfRule type="cellIs" dxfId="1118" priority="32" operator="between">
      <formula>0.51</formula>
      <formula>0.69</formula>
    </cfRule>
    <cfRule type="cellIs" dxfId="1117" priority="33" operator="lessThan">
      <formula>0.5</formula>
    </cfRule>
    <cfRule type="cellIs" dxfId="1116" priority="34" operator="greaterThan">
      <formula>0.7</formula>
    </cfRule>
    <cfRule type="cellIs" dxfId="1115" priority="35" operator="between">
      <formula>0.51</formula>
      <formula>0.69</formula>
    </cfRule>
    <cfRule type="cellIs" dxfId="1114" priority="36" operator="lessThan">
      <formula>50</formula>
    </cfRule>
    <cfRule type="cellIs" dxfId="1113" priority="37" operator="greaterThan">
      <formula>0.7</formula>
    </cfRule>
    <cfRule type="cellIs" dxfId="1112" priority="38" operator="between">
      <formula>0.51</formula>
      <formula>0.69</formula>
    </cfRule>
    <cfRule type="cellIs" dxfId="1111" priority="39" operator="lessThan">
      <formula>0.5</formula>
    </cfRule>
    <cfRule type="cellIs" dxfId="1110" priority="40" operator="greaterThan">
      <formula>0.7</formula>
    </cfRule>
  </conditionalFormatting>
  <conditionalFormatting sqref="W126">
    <cfRule type="cellIs" dxfId="1109" priority="21" operator="between">
      <formula>0.51</formula>
      <formula>0.69</formula>
    </cfRule>
    <cfRule type="cellIs" dxfId="1108" priority="22" operator="between">
      <formula>0.51</formula>
      <formula>0.69</formula>
    </cfRule>
    <cfRule type="cellIs" dxfId="1107" priority="23" operator="lessThan">
      <formula>0.5</formula>
    </cfRule>
    <cfRule type="cellIs" dxfId="1106" priority="24" operator="greaterThan">
      <formula>0.7</formula>
    </cfRule>
    <cfRule type="cellIs" dxfId="1105" priority="25" operator="between">
      <formula>0.51</formula>
      <formula>0.69</formula>
    </cfRule>
    <cfRule type="cellIs" dxfId="1104" priority="26" operator="lessThan">
      <formula>50</formula>
    </cfRule>
    <cfRule type="cellIs" dxfId="1103" priority="27" operator="greaterThan">
      <formula>0.7</formula>
    </cfRule>
    <cfRule type="cellIs" dxfId="1102" priority="28" operator="between">
      <formula>0.51</formula>
      <formula>0.69</formula>
    </cfRule>
    <cfRule type="cellIs" dxfId="1101" priority="29" operator="lessThan">
      <formula>0.5</formula>
    </cfRule>
    <cfRule type="cellIs" dxfId="1100" priority="30" operator="greaterThan">
      <formula>0.7</formula>
    </cfRule>
  </conditionalFormatting>
  <conditionalFormatting sqref="W132">
    <cfRule type="cellIs" dxfId="1099" priority="11" operator="between">
      <formula>0.51</formula>
      <formula>0.69</formula>
    </cfRule>
    <cfRule type="cellIs" dxfId="1098" priority="12" operator="between">
      <formula>0.51</formula>
      <formula>0.69</formula>
    </cfRule>
    <cfRule type="cellIs" dxfId="1097" priority="13" operator="lessThan">
      <formula>0.5</formula>
    </cfRule>
    <cfRule type="cellIs" dxfId="1096" priority="14" operator="greaterThan">
      <formula>0.7</formula>
    </cfRule>
    <cfRule type="cellIs" dxfId="1095" priority="15" operator="between">
      <formula>0.51</formula>
      <formula>0.69</formula>
    </cfRule>
    <cfRule type="cellIs" dxfId="1094" priority="16" operator="lessThan">
      <formula>50</formula>
    </cfRule>
    <cfRule type="cellIs" dxfId="1093" priority="17" operator="greaterThan">
      <formula>0.7</formula>
    </cfRule>
    <cfRule type="cellIs" dxfId="1092" priority="18" operator="between">
      <formula>0.51</formula>
      <formula>0.69</formula>
    </cfRule>
    <cfRule type="cellIs" dxfId="1091" priority="19" operator="lessThan">
      <formula>0.5</formula>
    </cfRule>
    <cfRule type="cellIs" dxfId="1090" priority="20" operator="greaterThan">
      <formula>0.7</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482B"/>
  </sheetPr>
  <dimension ref="A1:EE931"/>
  <sheetViews>
    <sheetView topLeftCell="A7" zoomScale="85" zoomScaleNormal="85" workbookViewId="0">
      <selection activeCell="X63" sqref="X63"/>
    </sheetView>
  </sheetViews>
  <sheetFormatPr baseColWidth="10" defaultColWidth="0" defaultRowHeight="0" customHeight="1" zeroHeight="1" x14ac:dyDescent="0.25"/>
  <cols>
    <col min="1" max="1" width="11.42578125" style="40" customWidth="1"/>
    <col min="2" max="2" width="32.28515625" style="40" customWidth="1"/>
    <col min="3" max="3" width="19.7109375" style="40" customWidth="1"/>
    <col min="4" max="4" width="14.7109375" style="40" customWidth="1"/>
    <col min="5" max="5" width="42.85546875" style="40" customWidth="1"/>
    <col min="6" max="6" width="21.140625" style="1" hidden="1" customWidth="1"/>
    <col min="7" max="7" width="19.85546875" style="40" hidden="1" customWidth="1"/>
    <col min="8" max="8" width="11.42578125" style="40" hidden="1" customWidth="1"/>
    <col min="9" max="11" width="11.42578125" style="201" hidden="1" customWidth="1"/>
    <col min="12" max="12" width="12.7109375" style="40" hidden="1" customWidth="1"/>
    <col min="13" max="13" width="16.140625" style="40" hidden="1" customWidth="1"/>
    <col min="14" max="14" width="17.5703125" style="40" hidden="1" customWidth="1"/>
    <col min="15" max="15" width="17.5703125" style="40" bestFit="1" customWidth="1"/>
    <col min="16" max="16" width="17.7109375" style="40" bestFit="1" customWidth="1"/>
    <col min="17" max="17" width="14.140625" style="40" customWidth="1"/>
    <col min="18" max="18" width="13" style="40" customWidth="1"/>
    <col min="19" max="19" width="15.42578125" style="40" customWidth="1"/>
    <col min="20" max="20" width="17.28515625" style="40" bestFit="1" customWidth="1"/>
    <col min="21" max="21" width="11.5703125" style="3" bestFit="1" customWidth="1"/>
    <col min="22" max="22" width="11.42578125" style="40" customWidth="1"/>
    <col min="23" max="23" width="16.7109375" style="35" bestFit="1" customWidth="1"/>
    <col min="24" max="24" width="19.140625" style="40" bestFit="1" customWidth="1"/>
    <col min="25" max="25" width="11.42578125" style="40" customWidth="1"/>
    <col min="26" max="26" width="14.5703125" style="35" customWidth="1"/>
    <col min="27" max="27" width="19" style="40" bestFit="1" customWidth="1"/>
    <col min="28" max="132" width="11.5703125" style="39" hidden="1" customWidth="1"/>
    <col min="133" max="135" width="11.5703125" style="40" hidden="1" customWidth="1"/>
    <col min="136" max="16384" width="11.42578125" style="40" hidden="1"/>
  </cols>
  <sheetData>
    <row r="1" spans="1:132" ht="15" hidden="1" x14ac:dyDescent="0.25">
      <c r="A1" s="24"/>
      <c r="B1" s="25"/>
      <c r="C1" s="25"/>
      <c r="D1" s="26"/>
      <c r="E1" s="26"/>
      <c r="F1" s="27"/>
      <c r="G1" s="28"/>
      <c r="H1" s="28"/>
      <c r="I1" s="28"/>
      <c r="J1" s="28"/>
      <c r="K1" s="28"/>
      <c r="L1" s="28"/>
      <c r="M1" s="28"/>
      <c r="N1" s="29"/>
      <c r="O1" s="24"/>
      <c r="P1" s="24"/>
      <c r="Q1" s="24"/>
      <c r="R1" s="24"/>
      <c r="S1" s="24"/>
      <c r="T1" s="24"/>
      <c r="U1" s="24"/>
      <c r="V1" s="24"/>
      <c r="W1" s="36"/>
      <c r="X1" s="24"/>
      <c r="Y1" s="24"/>
      <c r="Z1" s="36"/>
    </row>
    <row r="2" spans="1:132"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09"/>
      <c r="X2" s="709"/>
      <c r="Y2" s="709"/>
      <c r="Z2" s="730" t="s">
        <v>86</v>
      </c>
      <c r="AA2" s="730"/>
    </row>
    <row r="3" spans="1:132"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1"/>
      <c r="X3" s="731"/>
      <c r="Y3" s="731"/>
      <c r="Z3" s="730" t="s">
        <v>88</v>
      </c>
      <c r="AA3" s="730"/>
    </row>
    <row r="4" spans="1:132"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1"/>
      <c r="X4" s="731"/>
      <c r="Y4" s="731"/>
      <c r="Z4" s="730" t="s">
        <v>90</v>
      </c>
      <c r="AA4" s="730"/>
    </row>
    <row r="5" spans="1:132"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1"/>
      <c r="X5" s="731"/>
      <c r="Y5" s="731"/>
      <c r="Z5" s="730" t="s">
        <v>91</v>
      </c>
      <c r="AA5" s="730"/>
    </row>
    <row r="6" spans="1:132" ht="15" hidden="1" x14ac:dyDescent="0.25">
      <c r="A6" s="24"/>
      <c r="B6" s="24"/>
      <c r="C6" s="24"/>
      <c r="D6" s="24"/>
      <c r="E6" s="24"/>
      <c r="F6" s="24"/>
      <c r="G6" s="24"/>
      <c r="H6" s="24"/>
      <c r="I6" s="24"/>
      <c r="J6" s="24"/>
      <c r="K6" s="24"/>
      <c r="L6" s="24"/>
      <c r="M6" s="24"/>
      <c r="N6" s="24"/>
      <c r="O6" s="24"/>
      <c r="P6" s="24"/>
      <c r="Q6" s="24"/>
      <c r="R6" s="24"/>
      <c r="S6" s="24"/>
      <c r="T6" s="24"/>
      <c r="U6" s="24"/>
      <c r="V6" s="24"/>
      <c r="W6" s="36"/>
      <c r="X6" s="24"/>
      <c r="Y6" s="24"/>
      <c r="Z6" s="36"/>
    </row>
    <row r="7" spans="1:132" s="34" customFormat="1" ht="63.75" x14ac:dyDescent="0.25">
      <c r="A7" s="41" t="s">
        <v>0</v>
      </c>
      <c r="B7" s="41" t="s">
        <v>1</v>
      </c>
      <c r="C7" s="41" t="s">
        <v>2</v>
      </c>
      <c r="D7" s="41" t="s">
        <v>103</v>
      </c>
      <c r="E7" s="41" t="s">
        <v>30</v>
      </c>
      <c r="F7" s="41" t="s">
        <v>96</v>
      </c>
      <c r="G7" s="41" t="s">
        <v>97</v>
      </c>
      <c r="H7" s="41" t="s">
        <v>1133</v>
      </c>
      <c r="I7" s="41" t="s">
        <v>1134</v>
      </c>
      <c r="J7" s="41" t="s">
        <v>1135</v>
      </c>
      <c r="K7" s="41" t="s">
        <v>1136</v>
      </c>
      <c r="L7" s="41"/>
      <c r="M7" s="41" t="s">
        <v>98</v>
      </c>
      <c r="N7" s="41" t="s">
        <v>99</v>
      </c>
      <c r="O7" s="41" t="s">
        <v>3</v>
      </c>
      <c r="P7" s="41" t="s">
        <v>4</v>
      </c>
      <c r="Q7" s="41" t="s">
        <v>28</v>
      </c>
      <c r="R7" s="41" t="s">
        <v>21</v>
      </c>
      <c r="S7" s="41" t="s">
        <v>65</v>
      </c>
      <c r="T7" s="41" t="s">
        <v>31</v>
      </c>
      <c r="U7" s="32" t="s">
        <v>62</v>
      </c>
      <c r="V7" s="41" t="s">
        <v>22</v>
      </c>
      <c r="W7" s="37" t="s">
        <v>23</v>
      </c>
      <c r="X7" s="41" t="s">
        <v>24</v>
      </c>
      <c r="Y7" s="41" t="s">
        <v>25</v>
      </c>
      <c r="Z7" s="37" t="s">
        <v>26</v>
      </c>
      <c r="AA7" s="41" t="s">
        <v>27</v>
      </c>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row>
    <row r="8" spans="1:132" s="50" customFormat="1" ht="27" x14ac:dyDescent="0.25">
      <c r="A8" s="692" t="s">
        <v>114</v>
      </c>
      <c r="B8" s="760" t="s">
        <v>115</v>
      </c>
      <c r="C8" s="689" t="s">
        <v>6</v>
      </c>
      <c r="D8" s="44" t="s">
        <v>813</v>
      </c>
      <c r="E8" s="8" t="s">
        <v>116</v>
      </c>
      <c r="F8" s="289">
        <v>30000000</v>
      </c>
      <c r="G8" s="66">
        <v>0</v>
      </c>
      <c r="H8" s="44"/>
      <c r="I8" s="45"/>
      <c r="J8" s="45"/>
      <c r="K8" s="45"/>
      <c r="L8" s="45"/>
      <c r="M8" s="44"/>
      <c r="N8" s="289">
        <f>2000000+28000000</f>
        <v>30000000</v>
      </c>
      <c r="O8" s="65">
        <f>+F8+G8+H8+M8-N8</f>
        <v>0</v>
      </c>
      <c r="P8" s="742">
        <v>856500000</v>
      </c>
      <c r="Q8" s="44"/>
      <c r="R8" s="44"/>
      <c r="S8" s="44"/>
      <c r="T8" s="44"/>
      <c r="U8" s="46"/>
      <c r="V8" s="44"/>
      <c r="W8" s="79"/>
      <c r="X8" s="44"/>
      <c r="Y8" s="44"/>
      <c r="Z8" s="79"/>
      <c r="AA8" s="44"/>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row>
    <row r="9" spans="1:132" s="50" customFormat="1" ht="15" x14ac:dyDescent="0.25">
      <c r="A9" s="693"/>
      <c r="B9" s="761"/>
      <c r="C9" s="690"/>
      <c r="D9" s="692" t="s">
        <v>815</v>
      </c>
      <c r="E9" s="689" t="s">
        <v>117</v>
      </c>
      <c r="F9" s="710">
        <v>30000000</v>
      </c>
      <c r="G9" s="687">
        <v>0</v>
      </c>
      <c r="H9" s="692"/>
      <c r="I9" s="692"/>
      <c r="J9" s="692"/>
      <c r="K9" s="692"/>
      <c r="L9" s="692"/>
      <c r="M9" s="710">
        <v>2000000</v>
      </c>
      <c r="N9" s="728"/>
      <c r="O9" s="758">
        <f>+F9+G9+H10+M9-N10</f>
        <v>32000000</v>
      </c>
      <c r="P9" s="743"/>
      <c r="Q9" s="78" t="s">
        <v>1320</v>
      </c>
      <c r="R9" s="466" t="s">
        <v>1321</v>
      </c>
      <c r="S9" s="81">
        <v>44725</v>
      </c>
      <c r="T9" s="275">
        <v>29942400</v>
      </c>
      <c r="U9" s="46"/>
      <c r="V9" s="404">
        <v>758</v>
      </c>
      <c r="W9" s="273">
        <v>44736</v>
      </c>
      <c r="X9" s="274">
        <v>29942400</v>
      </c>
      <c r="Y9" s="404">
        <v>4882</v>
      </c>
      <c r="Z9" s="273">
        <v>44810</v>
      </c>
      <c r="AA9" s="274">
        <v>29942400</v>
      </c>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row>
    <row r="10" spans="1:132" s="50" customFormat="1" ht="15" x14ac:dyDescent="0.25">
      <c r="A10" s="693"/>
      <c r="B10" s="761"/>
      <c r="C10" s="690"/>
      <c r="D10" s="694"/>
      <c r="E10" s="691"/>
      <c r="F10" s="712"/>
      <c r="G10" s="698"/>
      <c r="H10" s="694"/>
      <c r="I10" s="694"/>
      <c r="J10" s="694"/>
      <c r="K10" s="694"/>
      <c r="L10" s="694"/>
      <c r="M10" s="712"/>
      <c r="N10" s="729"/>
      <c r="O10" s="759"/>
      <c r="P10" s="743"/>
      <c r="Q10" s="78" t="s">
        <v>1322</v>
      </c>
      <c r="R10" s="466" t="s">
        <v>1323</v>
      </c>
      <c r="S10" s="81">
        <v>44733</v>
      </c>
      <c r="T10" s="274">
        <v>1944000</v>
      </c>
      <c r="U10" s="46"/>
      <c r="V10" s="404">
        <v>933</v>
      </c>
      <c r="W10" s="273">
        <v>44769</v>
      </c>
      <c r="X10" s="274">
        <v>1944000</v>
      </c>
      <c r="Y10" s="404">
        <v>4926</v>
      </c>
      <c r="Z10" s="273" t="s">
        <v>2852</v>
      </c>
      <c r="AA10" s="274">
        <v>1944000</v>
      </c>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row>
    <row r="11" spans="1:132" s="50" customFormat="1" ht="15" x14ac:dyDescent="0.25">
      <c r="A11" s="693"/>
      <c r="B11" s="761"/>
      <c r="C11" s="690"/>
      <c r="D11" s="692" t="s">
        <v>810</v>
      </c>
      <c r="E11" s="689" t="s">
        <v>100</v>
      </c>
      <c r="F11" s="710">
        <v>643500000</v>
      </c>
      <c r="G11" s="728">
        <v>0</v>
      </c>
      <c r="H11" s="692"/>
      <c r="I11" s="692"/>
      <c r="J11" s="692"/>
      <c r="K11" s="692"/>
      <c r="L11" s="692"/>
      <c r="M11" s="710">
        <f>29000000+107000000</f>
        <v>136000000</v>
      </c>
      <c r="N11" s="728"/>
      <c r="O11" s="758">
        <f>+F11+G11+H11+M11-N11</f>
        <v>779500000</v>
      </c>
      <c r="P11" s="743"/>
      <c r="Q11" s="78" t="s">
        <v>262</v>
      </c>
      <c r="R11" s="466" t="s">
        <v>52</v>
      </c>
      <c r="S11" s="81">
        <v>44572</v>
      </c>
      <c r="T11" s="275">
        <v>38446667</v>
      </c>
      <c r="U11" s="46"/>
      <c r="V11" s="38">
        <v>166</v>
      </c>
      <c r="W11" s="122">
        <v>44585</v>
      </c>
      <c r="X11" s="66">
        <v>38446667</v>
      </c>
      <c r="Y11" s="38">
        <v>1103</v>
      </c>
      <c r="Z11" s="122">
        <v>44589</v>
      </c>
      <c r="AA11" s="66">
        <v>38446667</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row>
    <row r="12" spans="1:132" s="50" customFormat="1" ht="15" x14ac:dyDescent="0.25">
      <c r="A12" s="693"/>
      <c r="B12" s="761"/>
      <c r="C12" s="690"/>
      <c r="D12" s="693"/>
      <c r="E12" s="690"/>
      <c r="F12" s="711"/>
      <c r="G12" s="735"/>
      <c r="H12" s="693"/>
      <c r="I12" s="693"/>
      <c r="J12" s="693"/>
      <c r="K12" s="693"/>
      <c r="L12" s="693"/>
      <c r="M12" s="711"/>
      <c r="N12" s="735"/>
      <c r="O12" s="763"/>
      <c r="P12" s="743"/>
      <c r="Q12" s="78" t="s">
        <v>263</v>
      </c>
      <c r="R12" s="466" t="s">
        <v>279</v>
      </c>
      <c r="S12" s="81">
        <v>44574</v>
      </c>
      <c r="T12" s="275">
        <v>47400000</v>
      </c>
      <c r="U12" s="46"/>
      <c r="V12" s="38">
        <v>164</v>
      </c>
      <c r="W12" s="122">
        <v>44585</v>
      </c>
      <c r="X12" s="66">
        <v>47400000</v>
      </c>
      <c r="Y12" s="38">
        <v>1124</v>
      </c>
      <c r="Z12" s="122">
        <v>44589</v>
      </c>
      <c r="AA12" s="66">
        <v>47400000</v>
      </c>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row>
    <row r="13" spans="1:132" s="50" customFormat="1" ht="15" x14ac:dyDescent="0.25">
      <c r="A13" s="693"/>
      <c r="B13" s="761"/>
      <c r="C13" s="690"/>
      <c r="D13" s="693"/>
      <c r="E13" s="690"/>
      <c r="F13" s="711"/>
      <c r="G13" s="735"/>
      <c r="H13" s="693"/>
      <c r="I13" s="693"/>
      <c r="J13" s="693"/>
      <c r="K13" s="693"/>
      <c r="L13" s="693"/>
      <c r="M13" s="711"/>
      <c r="N13" s="735"/>
      <c r="O13" s="763"/>
      <c r="P13" s="743"/>
      <c r="Q13" s="78" t="s">
        <v>264</v>
      </c>
      <c r="R13" s="466" t="s">
        <v>280</v>
      </c>
      <c r="S13" s="81">
        <v>44574</v>
      </c>
      <c r="T13" s="275">
        <v>33180000</v>
      </c>
      <c r="U13" s="46"/>
      <c r="V13" s="38">
        <v>165</v>
      </c>
      <c r="W13" s="122">
        <v>44585</v>
      </c>
      <c r="X13" s="66">
        <v>33180000</v>
      </c>
      <c r="Y13" s="38">
        <v>1123</v>
      </c>
      <c r="Z13" s="122">
        <v>44589</v>
      </c>
      <c r="AA13" s="66">
        <v>33180000</v>
      </c>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row>
    <row r="14" spans="1:132" s="50" customFormat="1" ht="15" x14ac:dyDescent="0.25">
      <c r="A14" s="693"/>
      <c r="B14" s="761"/>
      <c r="C14" s="690"/>
      <c r="D14" s="693"/>
      <c r="E14" s="690"/>
      <c r="F14" s="711"/>
      <c r="G14" s="735"/>
      <c r="H14" s="693"/>
      <c r="I14" s="693"/>
      <c r="J14" s="693"/>
      <c r="K14" s="693"/>
      <c r="L14" s="693"/>
      <c r="M14" s="711"/>
      <c r="N14" s="735"/>
      <c r="O14" s="763"/>
      <c r="P14" s="743"/>
      <c r="Q14" s="78" t="s">
        <v>265</v>
      </c>
      <c r="R14" s="154" t="s">
        <v>885</v>
      </c>
      <c r="S14" s="81">
        <v>44574</v>
      </c>
      <c r="T14" s="275">
        <v>0</v>
      </c>
      <c r="U14" s="46"/>
      <c r="V14" s="38"/>
      <c r="W14" s="122"/>
      <c r="X14" s="44"/>
      <c r="Y14" s="38"/>
      <c r="Z14" s="122"/>
      <c r="AA14" s="64">
        <v>0</v>
      </c>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row>
    <row r="15" spans="1:132" s="50" customFormat="1" ht="15" x14ac:dyDescent="0.25">
      <c r="A15" s="693"/>
      <c r="B15" s="761"/>
      <c r="C15" s="690"/>
      <c r="D15" s="693"/>
      <c r="E15" s="690"/>
      <c r="F15" s="711"/>
      <c r="G15" s="735"/>
      <c r="H15" s="693"/>
      <c r="I15" s="693"/>
      <c r="J15" s="693"/>
      <c r="K15" s="693"/>
      <c r="L15" s="693"/>
      <c r="M15" s="711"/>
      <c r="N15" s="735"/>
      <c r="O15" s="763"/>
      <c r="P15" s="743"/>
      <c r="Q15" s="78" t="s">
        <v>266</v>
      </c>
      <c r="R15" s="466" t="s">
        <v>281</v>
      </c>
      <c r="S15" s="81">
        <v>44574</v>
      </c>
      <c r="T15" s="274">
        <v>47926600</v>
      </c>
      <c r="U15" s="46"/>
      <c r="V15" s="38">
        <v>174</v>
      </c>
      <c r="W15" s="122">
        <v>44586</v>
      </c>
      <c r="X15" s="66">
        <v>47926600</v>
      </c>
      <c r="Y15" s="38">
        <v>1238</v>
      </c>
      <c r="Z15" s="122">
        <v>44589</v>
      </c>
      <c r="AA15" s="66">
        <v>47926600</v>
      </c>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row>
    <row r="16" spans="1:132" s="50" customFormat="1" ht="15" x14ac:dyDescent="0.25">
      <c r="A16" s="693"/>
      <c r="B16" s="761"/>
      <c r="C16" s="690"/>
      <c r="D16" s="693"/>
      <c r="E16" s="690"/>
      <c r="F16" s="711"/>
      <c r="G16" s="735"/>
      <c r="H16" s="693"/>
      <c r="I16" s="693"/>
      <c r="J16" s="693"/>
      <c r="K16" s="693"/>
      <c r="L16" s="693"/>
      <c r="M16" s="711"/>
      <c r="N16" s="735"/>
      <c r="O16" s="763"/>
      <c r="P16" s="743"/>
      <c r="Q16" s="78" t="s">
        <v>267</v>
      </c>
      <c r="R16" s="466" t="s">
        <v>282</v>
      </c>
      <c r="S16" s="81">
        <v>44574</v>
      </c>
      <c r="T16" s="274">
        <v>38446600</v>
      </c>
      <c r="U16" s="46"/>
      <c r="V16" s="38">
        <v>167</v>
      </c>
      <c r="W16" s="122">
        <v>44585</v>
      </c>
      <c r="X16" s="66">
        <v>38446600</v>
      </c>
      <c r="Y16" s="38">
        <v>1117</v>
      </c>
      <c r="Z16" s="122">
        <v>44589</v>
      </c>
      <c r="AA16" s="66">
        <v>38446600</v>
      </c>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row>
    <row r="17" spans="1:132" s="50" customFormat="1" ht="15" x14ac:dyDescent="0.25">
      <c r="A17" s="693"/>
      <c r="B17" s="761"/>
      <c r="C17" s="690"/>
      <c r="D17" s="693"/>
      <c r="E17" s="690"/>
      <c r="F17" s="711"/>
      <c r="G17" s="735"/>
      <c r="H17" s="693"/>
      <c r="I17" s="693"/>
      <c r="J17" s="693"/>
      <c r="K17" s="693"/>
      <c r="L17" s="693"/>
      <c r="M17" s="711"/>
      <c r="N17" s="735"/>
      <c r="O17" s="763"/>
      <c r="P17" s="743"/>
      <c r="Q17" s="78" t="s">
        <v>268</v>
      </c>
      <c r="R17" s="466" t="s">
        <v>46</v>
      </c>
      <c r="S17" s="81">
        <v>44574</v>
      </c>
      <c r="T17" s="274">
        <v>31600000</v>
      </c>
      <c r="U17" s="46"/>
      <c r="V17" s="38">
        <v>175</v>
      </c>
      <c r="W17" s="122">
        <v>44586</v>
      </c>
      <c r="X17" s="66">
        <v>31600000</v>
      </c>
      <c r="Y17" s="38">
        <v>1127</v>
      </c>
      <c r="Z17" s="122">
        <v>44589</v>
      </c>
      <c r="AA17" s="66">
        <v>31600000</v>
      </c>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row>
    <row r="18" spans="1:132" s="50" customFormat="1" ht="15" x14ac:dyDescent="0.25">
      <c r="A18" s="693"/>
      <c r="B18" s="761"/>
      <c r="C18" s="690"/>
      <c r="D18" s="693"/>
      <c r="E18" s="690"/>
      <c r="F18" s="711"/>
      <c r="G18" s="735"/>
      <c r="H18" s="693"/>
      <c r="I18" s="693"/>
      <c r="J18" s="693"/>
      <c r="K18" s="693"/>
      <c r="L18" s="693"/>
      <c r="M18" s="711"/>
      <c r="N18" s="735"/>
      <c r="O18" s="763"/>
      <c r="P18" s="743"/>
      <c r="Q18" s="78" t="s">
        <v>269</v>
      </c>
      <c r="R18" s="466" t="s">
        <v>47</v>
      </c>
      <c r="S18" s="81">
        <v>44574</v>
      </c>
      <c r="T18" s="274">
        <v>48980000</v>
      </c>
      <c r="U18" s="46"/>
      <c r="V18" s="38">
        <v>176</v>
      </c>
      <c r="W18" s="122">
        <v>44586</v>
      </c>
      <c r="X18" s="66">
        <v>48980000</v>
      </c>
      <c r="Y18" s="38">
        <v>1244</v>
      </c>
      <c r="Z18" s="122">
        <v>44589</v>
      </c>
      <c r="AA18" s="66">
        <v>48980000</v>
      </c>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row>
    <row r="19" spans="1:132" s="50" customFormat="1" ht="15" x14ac:dyDescent="0.25">
      <c r="A19" s="693"/>
      <c r="B19" s="761"/>
      <c r="C19" s="690"/>
      <c r="D19" s="693"/>
      <c r="E19" s="690"/>
      <c r="F19" s="711"/>
      <c r="G19" s="735"/>
      <c r="H19" s="693"/>
      <c r="I19" s="693"/>
      <c r="J19" s="693"/>
      <c r="K19" s="693"/>
      <c r="L19" s="693"/>
      <c r="M19" s="711"/>
      <c r="N19" s="735"/>
      <c r="O19" s="763"/>
      <c r="P19" s="743"/>
      <c r="Q19" s="78" t="s">
        <v>270</v>
      </c>
      <c r="R19" s="154" t="s">
        <v>885</v>
      </c>
      <c r="S19" s="81">
        <v>44574</v>
      </c>
      <c r="T19" s="274">
        <v>0</v>
      </c>
      <c r="U19" s="46"/>
      <c r="V19" s="38"/>
      <c r="W19" s="122"/>
      <c r="X19" s="44"/>
      <c r="Y19" s="38"/>
      <c r="Z19" s="79"/>
      <c r="AA19" s="64">
        <v>0</v>
      </c>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row>
    <row r="20" spans="1:132" s="50" customFormat="1" ht="15" x14ac:dyDescent="0.25">
      <c r="A20" s="693"/>
      <c r="B20" s="761"/>
      <c r="C20" s="690"/>
      <c r="D20" s="693"/>
      <c r="E20" s="690"/>
      <c r="F20" s="711"/>
      <c r="G20" s="735"/>
      <c r="H20" s="693"/>
      <c r="I20" s="693"/>
      <c r="J20" s="693"/>
      <c r="K20" s="693"/>
      <c r="L20" s="693"/>
      <c r="M20" s="711"/>
      <c r="N20" s="735"/>
      <c r="O20" s="763"/>
      <c r="P20" s="743"/>
      <c r="Q20" s="78" t="s">
        <v>271</v>
      </c>
      <c r="R20" s="466" t="s">
        <v>48</v>
      </c>
      <c r="S20" s="81">
        <v>44574</v>
      </c>
      <c r="T20" s="274">
        <v>7000000</v>
      </c>
      <c r="U20" s="46"/>
      <c r="V20" s="38">
        <v>186</v>
      </c>
      <c r="W20" s="122">
        <v>44587</v>
      </c>
      <c r="X20" s="66">
        <v>7000000</v>
      </c>
      <c r="Y20" s="38">
        <v>1245</v>
      </c>
      <c r="Z20" s="122">
        <v>44589</v>
      </c>
      <c r="AA20" s="66">
        <v>7000000</v>
      </c>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row>
    <row r="21" spans="1:132" s="50" customFormat="1" ht="15" x14ac:dyDescent="0.25">
      <c r="A21" s="693"/>
      <c r="B21" s="761"/>
      <c r="C21" s="690"/>
      <c r="D21" s="693"/>
      <c r="E21" s="690"/>
      <c r="F21" s="711"/>
      <c r="G21" s="735"/>
      <c r="H21" s="693"/>
      <c r="I21" s="693"/>
      <c r="J21" s="693"/>
      <c r="K21" s="693"/>
      <c r="L21" s="693"/>
      <c r="M21" s="711"/>
      <c r="N21" s="735"/>
      <c r="O21" s="763"/>
      <c r="P21" s="743"/>
      <c r="Q21" s="78" t="s">
        <v>272</v>
      </c>
      <c r="R21" s="466" t="s">
        <v>49</v>
      </c>
      <c r="S21" s="81">
        <v>44575</v>
      </c>
      <c r="T21" s="274">
        <v>13600000</v>
      </c>
      <c r="U21" s="46"/>
      <c r="V21" s="38">
        <v>170</v>
      </c>
      <c r="W21" s="122">
        <v>44586</v>
      </c>
      <c r="X21" s="66">
        <v>13600000</v>
      </c>
      <c r="Y21" s="38">
        <v>1125</v>
      </c>
      <c r="Z21" s="122">
        <v>44589</v>
      </c>
      <c r="AA21" s="66">
        <v>13600000</v>
      </c>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row>
    <row r="22" spans="1:132" s="50" customFormat="1" ht="15" x14ac:dyDescent="0.25">
      <c r="A22" s="693"/>
      <c r="B22" s="761"/>
      <c r="C22" s="690"/>
      <c r="D22" s="693"/>
      <c r="E22" s="690"/>
      <c r="F22" s="711"/>
      <c r="G22" s="735"/>
      <c r="H22" s="693"/>
      <c r="I22" s="693"/>
      <c r="J22" s="693"/>
      <c r="K22" s="693"/>
      <c r="L22" s="693"/>
      <c r="M22" s="711"/>
      <c r="N22" s="735"/>
      <c r="O22" s="763"/>
      <c r="P22" s="743"/>
      <c r="Q22" s="78" t="s">
        <v>273</v>
      </c>
      <c r="R22" s="466" t="s">
        <v>283</v>
      </c>
      <c r="S22" s="81">
        <v>44575</v>
      </c>
      <c r="T22" s="274">
        <v>15200000</v>
      </c>
      <c r="U22" s="46"/>
      <c r="V22" s="38">
        <v>268</v>
      </c>
      <c r="W22" s="122">
        <v>44589</v>
      </c>
      <c r="X22" s="66">
        <v>15200000</v>
      </c>
      <c r="Y22" s="38">
        <v>1311</v>
      </c>
      <c r="Z22" s="122">
        <v>44589</v>
      </c>
      <c r="AA22" s="66">
        <v>15200000</v>
      </c>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row>
    <row r="23" spans="1:132" s="50" customFormat="1" ht="15" x14ac:dyDescent="0.25">
      <c r="A23" s="693"/>
      <c r="B23" s="761"/>
      <c r="C23" s="690"/>
      <c r="D23" s="693"/>
      <c r="E23" s="690"/>
      <c r="F23" s="711"/>
      <c r="G23" s="735"/>
      <c r="H23" s="693"/>
      <c r="I23" s="693"/>
      <c r="J23" s="693"/>
      <c r="K23" s="693"/>
      <c r="L23" s="693"/>
      <c r="M23" s="711"/>
      <c r="N23" s="735"/>
      <c r="O23" s="763"/>
      <c r="P23" s="743"/>
      <c r="Q23" s="78" t="s">
        <v>274</v>
      </c>
      <c r="R23" s="466" t="s">
        <v>284</v>
      </c>
      <c r="S23" s="81">
        <v>44575</v>
      </c>
      <c r="T23" s="274">
        <v>9922500</v>
      </c>
      <c r="U23" s="46"/>
      <c r="V23" s="38">
        <v>188</v>
      </c>
      <c r="W23" s="122">
        <v>44587</v>
      </c>
      <c r="X23" s="66">
        <v>9922500</v>
      </c>
      <c r="Y23" s="38">
        <v>1239</v>
      </c>
      <c r="Z23" s="122">
        <v>44589</v>
      </c>
      <c r="AA23" s="66">
        <v>9922500</v>
      </c>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row>
    <row r="24" spans="1:132" s="50" customFormat="1" ht="15" x14ac:dyDescent="0.25">
      <c r="A24" s="693"/>
      <c r="B24" s="761"/>
      <c r="C24" s="690"/>
      <c r="D24" s="693"/>
      <c r="E24" s="690"/>
      <c r="F24" s="711"/>
      <c r="G24" s="735"/>
      <c r="H24" s="693"/>
      <c r="I24" s="693"/>
      <c r="J24" s="693"/>
      <c r="K24" s="693"/>
      <c r="L24" s="693"/>
      <c r="M24" s="711"/>
      <c r="N24" s="735"/>
      <c r="O24" s="763"/>
      <c r="P24" s="743"/>
      <c r="Q24" s="78" t="s">
        <v>275</v>
      </c>
      <c r="R24" s="466" t="s">
        <v>50</v>
      </c>
      <c r="S24" s="81">
        <v>44575</v>
      </c>
      <c r="T24" s="274">
        <v>13600000</v>
      </c>
      <c r="U24" s="46"/>
      <c r="V24" s="38">
        <v>172</v>
      </c>
      <c r="W24" s="122">
        <v>44586</v>
      </c>
      <c r="X24" s="66">
        <v>13600000</v>
      </c>
      <c r="Y24" s="38">
        <v>1119</v>
      </c>
      <c r="Z24" s="122">
        <v>44589</v>
      </c>
      <c r="AA24" s="66">
        <v>13600000</v>
      </c>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row>
    <row r="25" spans="1:132" s="50" customFormat="1" ht="15" x14ac:dyDescent="0.25">
      <c r="A25" s="693"/>
      <c r="B25" s="761"/>
      <c r="C25" s="690"/>
      <c r="D25" s="693"/>
      <c r="E25" s="690"/>
      <c r="F25" s="711"/>
      <c r="G25" s="735"/>
      <c r="H25" s="693"/>
      <c r="I25" s="693"/>
      <c r="J25" s="693"/>
      <c r="K25" s="693"/>
      <c r="L25" s="693"/>
      <c r="M25" s="711"/>
      <c r="N25" s="735"/>
      <c r="O25" s="763"/>
      <c r="P25" s="743"/>
      <c r="Q25" s="78" t="s">
        <v>276</v>
      </c>
      <c r="R25" s="466" t="s">
        <v>155</v>
      </c>
      <c r="S25" s="81">
        <v>44575</v>
      </c>
      <c r="T25" s="274">
        <v>14000000</v>
      </c>
      <c r="U25" s="46"/>
      <c r="V25" s="250">
        <v>169</v>
      </c>
      <c r="W25" s="122">
        <v>44586</v>
      </c>
      <c r="X25" s="66">
        <v>14000000</v>
      </c>
      <c r="Y25" s="250">
        <v>1126</v>
      </c>
      <c r="Z25" s="122">
        <v>44589</v>
      </c>
      <c r="AA25" s="66">
        <v>14000000</v>
      </c>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row>
    <row r="26" spans="1:132" s="50" customFormat="1" ht="15" x14ac:dyDescent="0.25">
      <c r="A26" s="693"/>
      <c r="B26" s="761"/>
      <c r="C26" s="690"/>
      <c r="D26" s="693"/>
      <c r="E26" s="690"/>
      <c r="F26" s="711"/>
      <c r="G26" s="735"/>
      <c r="H26" s="693"/>
      <c r="I26" s="693"/>
      <c r="J26" s="693"/>
      <c r="K26" s="693"/>
      <c r="L26" s="693"/>
      <c r="M26" s="711"/>
      <c r="N26" s="735"/>
      <c r="O26" s="763"/>
      <c r="P26" s="743"/>
      <c r="Q26" s="78" t="s">
        <v>277</v>
      </c>
      <c r="R26" s="466" t="s">
        <v>58</v>
      </c>
      <c r="S26" s="81">
        <v>44575</v>
      </c>
      <c r="T26" s="274">
        <v>35286600</v>
      </c>
      <c r="U26" s="46"/>
      <c r="V26" s="250">
        <v>185</v>
      </c>
      <c r="W26" s="122">
        <v>44587</v>
      </c>
      <c r="X26" s="66">
        <v>35286600</v>
      </c>
      <c r="Y26" s="250">
        <v>1251</v>
      </c>
      <c r="Z26" s="122">
        <v>44589</v>
      </c>
      <c r="AA26" s="66">
        <v>35286600</v>
      </c>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row>
    <row r="27" spans="1:132" s="50" customFormat="1" ht="15" x14ac:dyDescent="0.25">
      <c r="A27" s="693"/>
      <c r="B27" s="761"/>
      <c r="C27" s="690"/>
      <c r="D27" s="693"/>
      <c r="E27" s="690"/>
      <c r="F27" s="711"/>
      <c r="G27" s="735"/>
      <c r="H27" s="693"/>
      <c r="I27" s="693"/>
      <c r="J27" s="693"/>
      <c r="K27" s="693"/>
      <c r="L27" s="693"/>
      <c r="M27" s="711"/>
      <c r="N27" s="735"/>
      <c r="O27" s="763"/>
      <c r="P27" s="743"/>
      <c r="Q27" s="78" t="s">
        <v>278</v>
      </c>
      <c r="R27" s="466" t="s">
        <v>285</v>
      </c>
      <c r="S27" s="81">
        <v>44607</v>
      </c>
      <c r="T27" s="274">
        <v>8000000</v>
      </c>
      <c r="U27" s="46"/>
      <c r="V27" s="250">
        <v>358</v>
      </c>
      <c r="W27" s="122" t="s">
        <v>1006</v>
      </c>
      <c r="X27" s="66">
        <v>8000000</v>
      </c>
      <c r="Y27" s="250">
        <v>4502</v>
      </c>
      <c r="Z27" s="122">
        <v>44791</v>
      </c>
      <c r="AA27" s="274">
        <v>8000000</v>
      </c>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row>
    <row r="28" spans="1:132" s="50" customFormat="1" ht="15" x14ac:dyDescent="0.25">
      <c r="A28" s="693"/>
      <c r="B28" s="761"/>
      <c r="C28" s="690"/>
      <c r="D28" s="693"/>
      <c r="E28" s="690"/>
      <c r="F28" s="711"/>
      <c r="G28" s="735"/>
      <c r="H28" s="693"/>
      <c r="I28" s="693"/>
      <c r="J28" s="693"/>
      <c r="K28" s="693"/>
      <c r="L28" s="693"/>
      <c r="M28" s="711"/>
      <c r="N28" s="735"/>
      <c r="O28" s="763"/>
      <c r="P28" s="743"/>
      <c r="Q28" s="78" t="s">
        <v>891</v>
      </c>
      <c r="R28" s="466" t="s">
        <v>890</v>
      </c>
      <c r="S28" s="81">
        <v>44649</v>
      </c>
      <c r="T28" s="275">
        <v>9000000</v>
      </c>
      <c r="U28" s="46"/>
      <c r="V28" s="250">
        <v>503</v>
      </c>
      <c r="W28" s="122" t="s">
        <v>1005</v>
      </c>
      <c r="X28" s="66">
        <v>9000000</v>
      </c>
      <c r="Y28" s="377">
        <v>4434</v>
      </c>
      <c r="Z28" s="273">
        <v>44784</v>
      </c>
      <c r="AA28" s="274">
        <v>9000000</v>
      </c>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row>
    <row r="29" spans="1:132" s="50" customFormat="1" ht="15" x14ac:dyDescent="0.25">
      <c r="A29" s="693"/>
      <c r="B29" s="761"/>
      <c r="C29" s="690"/>
      <c r="D29" s="693"/>
      <c r="E29" s="690"/>
      <c r="F29" s="711"/>
      <c r="G29" s="735"/>
      <c r="H29" s="693"/>
      <c r="I29" s="693"/>
      <c r="J29" s="693"/>
      <c r="K29" s="693"/>
      <c r="L29" s="693"/>
      <c r="M29" s="711"/>
      <c r="N29" s="735"/>
      <c r="O29" s="763"/>
      <c r="P29" s="743"/>
      <c r="Q29" s="78" t="s">
        <v>1314</v>
      </c>
      <c r="R29" s="466" t="s">
        <v>1307</v>
      </c>
      <c r="S29" s="81">
        <v>44676</v>
      </c>
      <c r="T29" s="275">
        <v>24500000</v>
      </c>
      <c r="U29" s="46"/>
      <c r="V29" s="250">
        <v>584</v>
      </c>
      <c r="W29" s="122">
        <v>44685</v>
      </c>
      <c r="X29" s="267">
        <v>24500000</v>
      </c>
      <c r="Y29" s="377">
        <v>2757</v>
      </c>
      <c r="Z29" s="273">
        <v>44708</v>
      </c>
      <c r="AA29" s="274">
        <v>24500000</v>
      </c>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row>
    <row r="30" spans="1:132" s="50" customFormat="1" ht="15" x14ac:dyDescent="0.25">
      <c r="A30" s="693"/>
      <c r="B30" s="761"/>
      <c r="C30" s="690"/>
      <c r="D30" s="693"/>
      <c r="E30" s="690"/>
      <c r="F30" s="711"/>
      <c r="G30" s="735"/>
      <c r="H30" s="693"/>
      <c r="I30" s="693"/>
      <c r="J30" s="693"/>
      <c r="K30" s="693"/>
      <c r="L30" s="693"/>
      <c r="M30" s="711"/>
      <c r="N30" s="735"/>
      <c r="O30" s="763"/>
      <c r="P30" s="743"/>
      <c r="Q30" s="78" t="s">
        <v>1315</v>
      </c>
      <c r="R30" s="466" t="s">
        <v>1308</v>
      </c>
      <c r="S30" s="81">
        <v>44687</v>
      </c>
      <c r="T30" s="275">
        <v>3800000</v>
      </c>
      <c r="U30" s="46"/>
      <c r="V30" s="250">
        <v>617</v>
      </c>
      <c r="W30" s="122">
        <v>44701</v>
      </c>
      <c r="X30" s="267">
        <v>3800000</v>
      </c>
      <c r="Y30" s="377">
        <v>2756</v>
      </c>
      <c r="Z30" s="273">
        <v>44708</v>
      </c>
      <c r="AA30" s="274">
        <v>3800000</v>
      </c>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row>
    <row r="31" spans="1:132" s="50" customFormat="1" ht="15" x14ac:dyDescent="0.25">
      <c r="A31" s="693"/>
      <c r="B31" s="761"/>
      <c r="C31" s="690"/>
      <c r="D31" s="693"/>
      <c r="E31" s="690"/>
      <c r="F31" s="711"/>
      <c r="G31" s="735"/>
      <c r="H31" s="693"/>
      <c r="I31" s="693"/>
      <c r="J31" s="693"/>
      <c r="K31" s="693"/>
      <c r="L31" s="693"/>
      <c r="M31" s="711"/>
      <c r="N31" s="735"/>
      <c r="O31" s="763"/>
      <c r="P31" s="743"/>
      <c r="Q31" s="78" t="s">
        <v>1316</v>
      </c>
      <c r="R31" s="466" t="s">
        <v>1309</v>
      </c>
      <c r="S31" s="81">
        <v>44687</v>
      </c>
      <c r="T31" s="275">
        <v>3400000</v>
      </c>
      <c r="U31" s="46"/>
      <c r="V31" s="250">
        <v>625</v>
      </c>
      <c r="W31" s="122">
        <v>44705</v>
      </c>
      <c r="X31" s="267">
        <v>3400000</v>
      </c>
      <c r="Y31" s="377">
        <v>2748</v>
      </c>
      <c r="Z31" s="273">
        <v>44708</v>
      </c>
      <c r="AA31" s="274">
        <v>3400000</v>
      </c>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row>
    <row r="32" spans="1:132" s="50" customFormat="1" ht="15" x14ac:dyDescent="0.25">
      <c r="A32" s="693"/>
      <c r="B32" s="761"/>
      <c r="C32" s="690"/>
      <c r="D32" s="693"/>
      <c r="E32" s="690"/>
      <c r="F32" s="711"/>
      <c r="G32" s="735"/>
      <c r="H32" s="693"/>
      <c r="I32" s="693"/>
      <c r="J32" s="693"/>
      <c r="K32" s="693"/>
      <c r="L32" s="693"/>
      <c r="M32" s="711"/>
      <c r="N32" s="735"/>
      <c r="O32" s="763"/>
      <c r="P32" s="743"/>
      <c r="Q32" s="78" t="s">
        <v>1317</v>
      </c>
      <c r="R32" s="466" t="s">
        <v>1310</v>
      </c>
      <c r="S32" s="81">
        <v>44687</v>
      </c>
      <c r="T32" s="275">
        <v>6800000</v>
      </c>
      <c r="U32" s="46"/>
      <c r="V32" s="38">
        <v>618</v>
      </c>
      <c r="W32" s="266">
        <v>44701</v>
      </c>
      <c r="X32" s="267">
        <v>6800000</v>
      </c>
      <c r="Y32" s="377">
        <v>2749</v>
      </c>
      <c r="Z32" s="273">
        <v>44708</v>
      </c>
      <c r="AA32" s="274">
        <v>6800000</v>
      </c>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row>
    <row r="33" spans="1:132" s="50" customFormat="1" ht="15" x14ac:dyDescent="0.25">
      <c r="A33" s="693"/>
      <c r="B33" s="761"/>
      <c r="C33" s="690"/>
      <c r="D33" s="693"/>
      <c r="E33" s="690"/>
      <c r="F33" s="711"/>
      <c r="G33" s="735"/>
      <c r="H33" s="693"/>
      <c r="I33" s="693"/>
      <c r="J33" s="693"/>
      <c r="K33" s="693"/>
      <c r="L33" s="693"/>
      <c r="M33" s="711"/>
      <c r="N33" s="735"/>
      <c r="O33" s="763"/>
      <c r="P33" s="743"/>
      <c r="Q33" s="78" t="s">
        <v>265</v>
      </c>
      <c r="R33" s="466" t="s">
        <v>1311</v>
      </c>
      <c r="S33" s="81">
        <v>44734</v>
      </c>
      <c r="T33" s="275">
        <v>20000000</v>
      </c>
      <c r="U33" s="46"/>
      <c r="V33" s="38">
        <v>976</v>
      </c>
      <c r="W33" s="122">
        <v>44778</v>
      </c>
      <c r="X33" s="274">
        <v>20000000</v>
      </c>
      <c r="Y33" s="377">
        <v>4371</v>
      </c>
      <c r="Z33" s="273">
        <v>44778</v>
      </c>
      <c r="AA33" s="274">
        <v>20000000</v>
      </c>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row>
    <row r="34" spans="1:132" s="50" customFormat="1" ht="15" x14ac:dyDescent="0.25">
      <c r="A34" s="693"/>
      <c r="B34" s="761"/>
      <c r="C34" s="690"/>
      <c r="D34" s="693"/>
      <c r="E34" s="690"/>
      <c r="F34" s="711"/>
      <c r="G34" s="735"/>
      <c r="H34" s="693"/>
      <c r="I34" s="693"/>
      <c r="J34" s="693"/>
      <c r="K34" s="693"/>
      <c r="L34" s="693"/>
      <c r="M34" s="711"/>
      <c r="N34" s="735"/>
      <c r="O34" s="763"/>
      <c r="P34" s="743"/>
      <c r="Q34" s="78" t="s">
        <v>1318</v>
      </c>
      <c r="R34" s="466" t="s">
        <v>1312</v>
      </c>
      <c r="S34" s="81">
        <v>44740</v>
      </c>
      <c r="T34" s="274">
        <v>21000000</v>
      </c>
      <c r="U34" s="46"/>
      <c r="V34" s="38">
        <v>840</v>
      </c>
      <c r="W34" s="122">
        <v>44763</v>
      </c>
      <c r="X34" s="274">
        <v>21000000</v>
      </c>
      <c r="Y34" s="377">
        <v>3860</v>
      </c>
      <c r="Z34" s="273">
        <v>44774</v>
      </c>
      <c r="AA34" s="274">
        <v>21000000</v>
      </c>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row>
    <row r="35" spans="1:132" s="50" customFormat="1" ht="15" x14ac:dyDescent="0.25">
      <c r="A35" s="693"/>
      <c r="B35" s="761"/>
      <c r="C35" s="690"/>
      <c r="D35" s="693"/>
      <c r="E35" s="690"/>
      <c r="F35" s="711"/>
      <c r="G35" s="735"/>
      <c r="H35" s="693"/>
      <c r="I35" s="693"/>
      <c r="J35" s="693"/>
      <c r="K35" s="693"/>
      <c r="L35" s="693"/>
      <c r="M35" s="711"/>
      <c r="N35" s="735"/>
      <c r="O35" s="763"/>
      <c r="P35" s="743"/>
      <c r="Q35" s="78" t="s">
        <v>1319</v>
      </c>
      <c r="R35" s="466" t="s">
        <v>1313</v>
      </c>
      <c r="S35" s="81">
        <v>44740</v>
      </c>
      <c r="T35" s="274">
        <v>18000000</v>
      </c>
      <c r="U35" s="46"/>
      <c r="V35" s="38">
        <v>842</v>
      </c>
      <c r="W35" s="122">
        <v>44763</v>
      </c>
      <c r="X35" s="274">
        <v>18000000</v>
      </c>
      <c r="Y35" s="377">
        <v>3863</v>
      </c>
      <c r="Z35" s="273">
        <v>44774</v>
      </c>
      <c r="AA35" s="274">
        <v>18000000</v>
      </c>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row>
    <row r="36" spans="1:132" s="50" customFormat="1" ht="15" x14ac:dyDescent="0.25">
      <c r="A36" s="693"/>
      <c r="B36" s="761"/>
      <c r="C36" s="690"/>
      <c r="D36" s="693"/>
      <c r="E36" s="690"/>
      <c r="F36" s="711"/>
      <c r="G36" s="735"/>
      <c r="H36" s="693"/>
      <c r="I36" s="693"/>
      <c r="J36" s="693"/>
      <c r="K36" s="693"/>
      <c r="L36" s="693"/>
      <c r="M36" s="711"/>
      <c r="N36" s="735"/>
      <c r="O36" s="763"/>
      <c r="P36" s="743"/>
      <c r="Q36" s="78" t="s">
        <v>1876</v>
      </c>
      <c r="R36" s="466" t="s">
        <v>1891</v>
      </c>
      <c r="S36" s="81" t="s">
        <v>1862</v>
      </c>
      <c r="T36" s="275">
        <v>18000000</v>
      </c>
      <c r="U36" s="46"/>
      <c r="V36" s="329">
        <v>841</v>
      </c>
      <c r="W36" s="273">
        <v>44763</v>
      </c>
      <c r="X36" s="274">
        <v>18000000</v>
      </c>
      <c r="Y36" s="377">
        <v>3862</v>
      </c>
      <c r="Z36" s="273">
        <v>44774</v>
      </c>
      <c r="AA36" s="274">
        <v>18000000</v>
      </c>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row>
    <row r="37" spans="1:132" s="50" customFormat="1" ht="15" x14ac:dyDescent="0.25">
      <c r="A37" s="693"/>
      <c r="B37" s="761"/>
      <c r="C37" s="690"/>
      <c r="D37" s="693"/>
      <c r="E37" s="690"/>
      <c r="F37" s="711"/>
      <c r="G37" s="735"/>
      <c r="H37" s="693"/>
      <c r="I37" s="693"/>
      <c r="J37" s="693"/>
      <c r="K37" s="693"/>
      <c r="L37" s="693"/>
      <c r="M37" s="711"/>
      <c r="N37" s="735"/>
      <c r="O37" s="763"/>
      <c r="P37" s="743"/>
      <c r="Q37" s="78" t="s">
        <v>1877</v>
      </c>
      <c r="R37" s="466" t="s">
        <v>1892</v>
      </c>
      <c r="S37" s="81" t="s">
        <v>1863</v>
      </c>
      <c r="T37" s="275">
        <v>10000000</v>
      </c>
      <c r="U37" s="46"/>
      <c r="V37" s="329">
        <v>1005</v>
      </c>
      <c r="W37" s="273">
        <v>44781</v>
      </c>
      <c r="X37" s="274">
        <v>10000000</v>
      </c>
      <c r="Y37" s="377">
        <v>5692</v>
      </c>
      <c r="Z37" s="273" t="s">
        <v>2771</v>
      </c>
      <c r="AA37" s="274">
        <v>10000000</v>
      </c>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row>
    <row r="38" spans="1:132" s="50" customFormat="1" ht="15" x14ac:dyDescent="0.25">
      <c r="A38" s="693"/>
      <c r="B38" s="761"/>
      <c r="C38" s="690"/>
      <c r="D38" s="693"/>
      <c r="E38" s="690"/>
      <c r="F38" s="711"/>
      <c r="G38" s="735"/>
      <c r="H38" s="693"/>
      <c r="I38" s="693"/>
      <c r="J38" s="693"/>
      <c r="K38" s="693"/>
      <c r="L38" s="693"/>
      <c r="M38" s="711"/>
      <c r="N38" s="735"/>
      <c r="O38" s="763"/>
      <c r="P38" s="743"/>
      <c r="Q38" s="78" t="s">
        <v>1878</v>
      </c>
      <c r="R38" s="466" t="s">
        <v>1893</v>
      </c>
      <c r="S38" s="81" t="s">
        <v>1864</v>
      </c>
      <c r="T38" s="275">
        <v>10000000</v>
      </c>
      <c r="U38" s="46"/>
      <c r="V38" s="329">
        <v>1047</v>
      </c>
      <c r="W38" s="273">
        <v>44792</v>
      </c>
      <c r="X38" s="274">
        <v>10000000</v>
      </c>
      <c r="Y38" s="377">
        <v>4972</v>
      </c>
      <c r="Z38" s="273">
        <v>44819</v>
      </c>
      <c r="AA38" s="274">
        <v>10000000</v>
      </c>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row>
    <row r="39" spans="1:132" s="50" customFormat="1" ht="15" x14ac:dyDescent="0.25">
      <c r="A39" s="693"/>
      <c r="B39" s="761"/>
      <c r="C39" s="690"/>
      <c r="D39" s="693"/>
      <c r="E39" s="690"/>
      <c r="F39" s="711"/>
      <c r="G39" s="735"/>
      <c r="H39" s="693"/>
      <c r="I39" s="693"/>
      <c r="J39" s="693"/>
      <c r="K39" s="693"/>
      <c r="L39" s="693"/>
      <c r="M39" s="711"/>
      <c r="N39" s="735"/>
      <c r="O39" s="763"/>
      <c r="P39" s="743"/>
      <c r="Q39" s="78" t="s">
        <v>1879</v>
      </c>
      <c r="R39" s="466" t="s">
        <v>1894</v>
      </c>
      <c r="S39" s="81" t="s">
        <v>1865</v>
      </c>
      <c r="T39" s="275">
        <v>15750000</v>
      </c>
      <c r="U39" s="46"/>
      <c r="V39" s="329">
        <v>982</v>
      </c>
      <c r="W39" s="273">
        <v>44778</v>
      </c>
      <c r="X39" s="274">
        <v>15750000</v>
      </c>
      <c r="Y39" s="377">
        <v>4504</v>
      </c>
      <c r="Z39" s="273">
        <v>44791</v>
      </c>
      <c r="AA39" s="274">
        <v>15750000</v>
      </c>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row>
    <row r="40" spans="1:132" s="50" customFormat="1" ht="15" x14ac:dyDescent="0.25">
      <c r="A40" s="693"/>
      <c r="B40" s="761"/>
      <c r="C40" s="690"/>
      <c r="D40" s="693"/>
      <c r="E40" s="690"/>
      <c r="F40" s="711"/>
      <c r="G40" s="735"/>
      <c r="H40" s="693"/>
      <c r="I40" s="693"/>
      <c r="J40" s="693"/>
      <c r="K40" s="693"/>
      <c r="L40" s="693"/>
      <c r="M40" s="711"/>
      <c r="N40" s="735"/>
      <c r="O40" s="763"/>
      <c r="P40" s="743"/>
      <c r="Q40" s="78" t="s">
        <v>1880</v>
      </c>
      <c r="R40" s="466" t="s">
        <v>1895</v>
      </c>
      <c r="S40" s="81" t="s">
        <v>1866</v>
      </c>
      <c r="T40" s="275">
        <v>20000000</v>
      </c>
      <c r="U40" s="46"/>
      <c r="V40" s="329">
        <v>938</v>
      </c>
      <c r="W40" s="273">
        <v>44775</v>
      </c>
      <c r="X40" s="274">
        <v>20000000</v>
      </c>
      <c r="Y40" s="377">
        <v>4391</v>
      </c>
      <c r="Z40" s="273">
        <v>44781</v>
      </c>
      <c r="AA40" s="274">
        <v>20000000</v>
      </c>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row>
    <row r="41" spans="1:132" s="50" customFormat="1" ht="15" x14ac:dyDescent="0.25">
      <c r="A41" s="693"/>
      <c r="B41" s="761"/>
      <c r="C41" s="690"/>
      <c r="D41" s="693"/>
      <c r="E41" s="690"/>
      <c r="F41" s="711"/>
      <c r="G41" s="735"/>
      <c r="H41" s="693"/>
      <c r="I41" s="693"/>
      <c r="J41" s="693"/>
      <c r="K41" s="693"/>
      <c r="L41" s="693"/>
      <c r="M41" s="711"/>
      <c r="N41" s="735"/>
      <c r="O41" s="763"/>
      <c r="P41" s="743"/>
      <c r="Q41" s="78" t="s">
        <v>1881</v>
      </c>
      <c r="R41" s="466" t="s">
        <v>1896</v>
      </c>
      <c r="S41" s="81" t="s">
        <v>1867</v>
      </c>
      <c r="T41" s="275">
        <v>12500000</v>
      </c>
      <c r="U41" s="46"/>
      <c r="V41" s="329">
        <v>939</v>
      </c>
      <c r="W41" s="273">
        <v>44775</v>
      </c>
      <c r="X41" s="274">
        <v>12500000</v>
      </c>
      <c r="Y41" s="377">
        <v>4395</v>
      </c>
      <c r="Z41" s="273">
        <v>44781</v>
      </c>
      <c r="AA41" s="274">
        <v>12500000</v>
      </c>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row>
    <row r="42" spans="1:132" s="50" customFormat="1" ht="15" x14ac:dyDescent="0.25">
      <c r="A42" s="693"/>
      <c r="B42" s="761"/>
      <c r="C42" s="690"/>
      <c r="D42" s="693"/>
      <c r="E42" s="690"/>
      <c r="F42" s="711"/>
      <c r="G42" s="735"/>
      <c r="H42" s="693"/>
      <c r="I42" s="693"/>
      <c r="J42" s="693"/>
      <c r="K42" s="693"/>
      <c r="L42" s="693"/>
      <c r="M42" s="711"/>
      <c r="N42" s="735"/>
      <c r="O42" s="763"/>
      <c r="P42" s="743"/>
      <c r="Q42" s="78" t="s">
        <v>1882</v>
      </c>
      <c r="R42" s="466" t="s">
        <v>1897</v>
      </c>
      <c r="S42" s="81" t="s">
        <v>1868</v>
      </c>
      <c r="T42" s="275">
        <v>14400000</v>
      </c>
      <c r="U42" s="46"/>
      <c r="V42" s="329">
        <v>942</v>
      </c>
      <c r="W42" s="273">
        <v>44775</v>
      </c>
      <c r="X42" s="274">
        <v>14400000</v>
      </c>
      <c r="Y42" s="377">
        <v>4444</v>
      </c>
      <c r="Z42" s="273">
        <v>44785</v>
      </c>
      <c r="AA42" s="274">
        <v>14400000</v>
      </c>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row>
    <row r="43" spans="1:132" s="50" customFormat="1" ht="15" x14ac:dyDescent="0.25">
      <c r="A43" s="693"/>
      <c r="B43" s="761"/>
      <c r="C43" s="690"/>
      <c r="D43" s="693"/>
      <c r="E43" s="690"/>
      <c r="F43" s="711"/>
      <c r="G43" s="735"/>
      <c r="H43" s="693"/>
      <c r="I43" s="693"/>
      <c r="J43" s="693"/>
      <c r="K43" s="693"/>
      <c r="L43" s="693"/>
      <c r="M43" s="711"/>
      <c r="N43" s="735"/>
      <c r="O43" s="763"/>
      <c r="P43" s="743"/>
      <c r="Q43" s="78" t="s">
        <v>1883</v>
      </c>
      <c r="R43" s="466" t="s">
        <v>1898</v>
      </c>
      <c r="S43" s="81" t="s">
        <v>1694</v>
      </c>
      <c r="T43" s="275">
        <v>20000000</v>
      </c>
      <c r="U43" s="46"/>
      <c r="V43" s="329">
        <v>964</v>
      </c>
      <c r="W43" s="273">
        <v>44778</v>
      </c>
      <c r="X43" s="274">
        <v>20000000</v>
      </c>
      <c r="Y43" s="377">
        <v>4958</v>
      </c>
      <c r="Z43" s="273">
        <v>44818</v>
      </c>
      <c r="AA43" s="274">
        <v>20000000</v>
      </c>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row>
    <row r="44" spans="1:132" s="50" customFormat="1" ht="15" x14ac:dyDescent="0.25">
      <c r="A44" s="693"/>
      <c r="B44" s="761"/>
      <c r="C44" s="690"/>
      <c r="D44" s="693"/>
      <c r="E44" s="690"/>
      <c r="F44" s="711"/>
      <c r="G44" s="735"/>
      <c r="H44" s="693"/>
      <c r="I44" s="693"/>
      <c r="J44" s="693"/>
      <c r="K44" s="693"/>
      <c r="L44" s="693"/>
      <c r="M44" s="711"/>
      <c r="N44" s="735"/>
      <c r="O44" s="763"/>
      <c r="P44" s="743"/>
      <c r="Q44" s="78" t="s">
        <v>1884</v>
      </c>
      <c r="R44" s="466" t="s">
        <v>1899</v>
      </c>
      <c r="S44" s="81" t="s">
        <v>1869</v>
      </c>
      <c r="T44" s="275">
        <v>15750000</v>
      </c>
      <c r="U44" s="46"/>
      <c r="V44" s="329">
        <v>1061</v>
      </c>
      <c r="W44" s="273">
        <v>44796</v>
      </c>
      <c r="X44" s="274">
        <v>15750000</v>
      </c>
      <c r="Y44" s="377">
        <v>4884</v>
      </c>
      <c r="Z44" s="273">
        <v>44811</v>
      </c>
      <c r="AA44" s="274">
        <v>15750000</v>
      </c>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row>
    <row r="45" spans="1:132" s="50" customFormat="1" ht="15" x14ac:dyDescent="0.25">
      <c r="A45" s="693"/>
      <c r="B45" s="761"/>
      <c r="C45" s="690"/>
      <c r="D45" s="693"/>
      <c r="E45" s="690"/>
      <c r="F45" s="711"/>
      <c r="G45" s="735"/>
      <c r="H45" s="693"/>
      <c r="I45" s="693"/>
      <c r="J45" s="693"/>
      <c r="K45" s="693"/>
      <c r="L45" s="693"/>
      <c r="M45" s="711"/>
      <c r="N45" s="735"/>
      <c r="O45" s="763"/>
      <c r="P45" s="743"/>
      <c r="Q45" s="78" t="s">
        <v>1885</v>
      </c>
      <c r="R45" s="466" t="s">
        <v>1900</v>
      </c>
      <c r="S45" s="81" t="s">
        <v>1870</v>
      </c>
      <c r="T45" s="275">
        <v>8500000</v>
      </c>
      <c r="U45" s="46"/>
      <c r="V45" s="329">
        <v>1150</v>
      </c>
      <c r="W45" s="273">
        <v>44810</v>
      </c>
      <c r="X45" s="274">
        <v>8500000</v>
      </c>
      <c r="Y45" s="377">
        <v>4956</v>
      </c>
      <c r="Z45" s="273">
        <v>44818</v>
      </c>
      <c r="AA45" s="274">
        <v>8500000</v>
      </c>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row>
    <row r="46" spans="1:132" s="50" customFormat="1" ht="15" x14ac:dyDescent="0.25">
      <c r="A46" s="693"/>
      <c r="B46" s="761"/>
      <c r="C46" s="690"/>
      <c r="D46" s="693"/>
      <c r="E46" s="690"/>
      <c r="F46" s="711"/>
      <c r="G46" s="735"/>
      <c r="H46" s="693"/>
      <c r="I46" s="693"/>
      <c r="J46" s="693"/>
      <c r="K46" s="693"/>
      <c r="L46" s="693"/>
      <c r="M46" s="711"/>
      <c r="N46" s="735"/>
      <c r="O46" s="763"/>
      <c r="P46" s="743"/>
      <c r="Q46" s="78" t="s">
        <v>1886</v>
      </c>
      <c r="R46" s="466" t="s">
        <v>1901</v>
      </c>
      <c r="S46" s="81" t="s">
        <v>1871</v>
      </c>
      <c r="T46" s="275">
        <v>8500000</v>
      </c>
      <c r="U46" s="46"/>
      <c r="V46" s="329">
        <v>1152</v>
      </c>
      <c r="W46" s="273">
        <v>44811</v>
      </c>
      <c r="X46" s="274">
        <v>8500000</v>
      </c>
      <c r="Y46" s="377">
        <v>4955</v>
      </c>
      <c r="Z46" s="273">
        <v>44818</v>
      </c>
      <c r="AA46" s="274">
        <v>8500000</v>
      </c>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row>
    <row r="47" spans="1:132" s="50" customFormat="1" ht="15" x14ac:dyDescent="0.25">
      <c r="A47" s="693"/>
      <c r="B47" s="761"/>
      <c r="C47" s="690"/>
      <c r="D47" s="693"/>
      <c r="E47" s="690"/>
      <c r="F47" s="711"/>
      <c r="G47" s="735"/>
      <c r="H47" s="693"/>
      <c r="I47" s="693"/>
      <c r="J47" s="693"/>
      <c r="K47" s="693"/>
      <c r="L47" s="693"/>
      <c r="M47" s="711"/>
      <c r="N47" s="735"/>
      <c r="O47" s="763"/>
      <c r="P47" s="743"/>
      <c r="Q47" s="78" t="s">
        <v>1887</v>
      </c>
      <c r="R47" s="466" t="s">
        <v>1902</v>
      </c>
      <c r="S47" s="81" t="s">
        <v>1872</v>
      </c>
      <c r="T47" s="275">
        <v>13600000</v>
      </c>
      <c r="U47" s="46"/>
      <c r="V47" s="329">
        <v>1163</v>
      </c>
      <c r="W47" s="273">
        <v>44817</v>
      </c>
      <c r="X47" s="274">
        <v>13600000</v>
      </c>
      <c r="Y47" s="377">
        <v>4974</v>
      </c>
      <c r="Z47" s="273">
        <v>44819</v>
      </c>
      <c r="AA47" s="274">
        <v>13600000</v>
      </c>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row>
    <row r="48" spans="1:132" s="50" customFormat="1" ht="15" x14ac:dyDescent="0.25">
      <c r="A48" s="693"/>
      <c r="B48" s="761"/>
      <c r="C48" s="690"/>
      <c r="D48" s="693"/>
      <c r="E48" s="690"/>
      <c r="F48" s="711"/>
      <c r="G48" s="735"/>
      <c r="H48" s="693"/>
      <c r="I48" s="693"/>
      <c r="J48" s="693"/>
      <c r="K48" s="693"/>
      <c r="L48" s="693"/>
      <c r="M48" s="711"/>
      <c r="N48" s="735"/>
      <c r="O48" s="763"/>
      <c r="P48" s="743"/>
      <c r="Q48" s="78" t="s">
        <v>1888</v>
      </c>
      <c r="R48" s="466" t="s">
        <v>1903</v>
      </c>
      <c r="S48" s="81" t="s">
        <v>1873</v>
      </c>
      <c r="T48" s="275">
        <v>15200000</v>
      </c>
      <c r="U48" s="46"/>
      <c r="V48" s="329">
        <v>1161</v>
      </c>
      <c r="W48" s="273">
        <v>44817</v>
      </c>
      <c r="X48" s="274">
        <v>15200000</v>
      </c>
      <c r="Y48" s="377">
        <v>4976</v>
      </c>
      <c r="Z48" s="273">
        <v>44820</v>
      </c>
      <c r="AA48" s="274">
        <v>15200000</v>
      </c>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row>
    <row r="49" spans="1:132" s="50" customFormat="1" ht="15" x14ac:dyDescent="0.25">
      <c r="A49" s="693"/>
      <c r="B49" s="761"/>
      <c r="C49" s="690"/>
      <c r="D49" s="693"/>
      <c r="E49" s="690"/>
      <c r="F49" s="711"/>
      <c r="G49" s="735"/>
      <c r="H49" s="693"/>
      <c r="I49" s="693"/>
      <c r="J49" s="693"/>
      <c r="K49" s="693"/>
      <c r="L49" s="693"/>
      <c r="M49" s="711"/>
      <c r="N49" s="735"/>
      <c r="O49" s="763"/>
      <c r="P49" s="743"/>
      <c r="Q49" s="78" t="s">
        <v>1889</v>
      </c>
      <c r="R49" s="466" t="s">
        <v>1904</v>
      </c>
      <c r="S49" s="81" t="s">
        <v>1874</v>
      </c>
      <c r="T49" s="275">
        <v>7200000</v>
      </c>
      <c r="U49" s="46"/>
      <c r="V49" s="329">
        <v>1182</v>
      </c>
      <c r="W49" s="273">
        <v>44824</v>
      </c>
      <c r="X49" s="274">
        <v>7200000</v>
      </c>
      <c r="Y49" s="568">
        <v>5402</v>
      </c>
      <c r="Z49" s="273" t="s">
        <v>2786</v>
      </c>
      <c r="AA49" s="274">
        <v>7200000</v>
      </c>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row>
    <row r="50" spans="1:132" s="50" customFormat="1" ht="15" x14ac:dyDescent="0.25">
      <c r="A50" s="693"/>
      <c r="B50" s="761"/>
      <c r="C50" s="690"/>
      <c r="D50" s="694"/>
      <c r="E50" s="691"/>
      <c r="F50" s="712"/>
      <c r="G50" s="729"/>
      <c r="H50" s="694"/>
      <c r="I50" s="694"/>
      <c r="J50" s="694"/>
      <c r="K50" s="694"/>
      <c r="L50" s="694"/>
      <c r="M50" s="712"/>
      <c r="N50" s="729"/>
      <c r="O50" s="759"/>
      <c r="P50" s="743"/>
      <c r="Q50" s="78" t="s">
        <v>1890</v>
      </c>
      <c r="R50" s="466" t="s">
        <v>1905</v>
      </c>
      <c r="S50" s="81" t="s">
        <v>1875</v>
      </c>
      <c r="T50" s="275">
        <v>40000000</v>
      </c>
      <c r="U50" s="46"/>
      <c r="V50" s="329">
        <v>1280</v>
      </c>
      <c r="W50" s="273" t="s">
        <v>2775</v>
      </c>
      <c r="X50" s="275">
        <v>40000000</v>
      </c>
      <c r="Y50" s="568">
        <v>5401</v>
      </c>
      <c r="Z50" s="273" t="s">
        <v>2786</v>
      </c>
      <c r="AA50" s="274">
        <v>10000000</v>
      </c>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row>
    <row r="51" spans="1:132" s="50" customFormat="1" ht="15" x14ac:dyDescent="0.25">
      <c r="A51" s="693"/>
      <c r="B51" s="761"/>
      <c r="C51" s="690"/>
      <c r="D51" s="552"/>
      <c r="E51" s="555"/>
      <c r="F51" s="558"/>
      <c r="G51" s="559"/>
      <c r="H51" s="552"/>
      <c r="I51" s="85"/>
      <c r="J51" s="85"/>
      <c r="K51" s="85"/>
      <c r="L51" s="85"/>
      <c r="M51" s="558"/>
      <c r="N51" s="559"/>
      <c r="O51" s="564"/>
      <c r="P51" s="743"/>
      <c r="Q51" s="78"/>
      <c r="R51" s="466"/>
      <c r="S51" s="81"/>
      <c r="T51" s="275"/>
      <c r="U51" s="46"/>
      <c r="V51" s="568"/>
      <c r="W51" s="273"/>
      <c r="X51" s="275"/>
      <c r="Y51" s="568">
        <v>5403</v>
      </c>
      <c r="Z51" s="273" t="s">
        <v>2786</v>
      </c>
      <c r="AA51" s="274">
        <v>10000000</v>
      </c>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row>
    <row r="52" spans="1:132" s="50" customFormat="1" ht="15" x14ac:dyDescent="0.25">
      <c r="A52" s="693"/>
      <c r="B52" s="761"/>
      <c r="C52" s="690"/>
      <c r="D52" s="552"/>
      <c r="E52" s="555"/>
      <c r="F52" s="558"/>
      <c r="G52" s="559"/>
      <c r="H52" s="552"/>
      <c r="I52" s="85"/>
      <c r="J52" s="85"/>
      <c r="K52" s="85"/>
      <c r="L52" s="85"/>
      <c r="M52" s="558"/>
      <c r="N52" s="559"/>
      <c r="O52" s="564"/>
      <c r="P52" s="743"/>
      <c r="Q52" s="78"/>
      <c r="R52" s="466"/>
      <c r="S52" s="81"/>
      <c r="T52" s="275"/>
      <c r="U52" s="46"/>
      <c r="V52" s="568"/>
      <c r="W52" s="273"/>
      <c r="X52" s="275"/>
      <c r="Y52" s="568">
        <v>5665</v>
      </c>
      <c r="Z52" s="273" t="s">
        <v>2770</v>
      </c>
      <c r="AA52" s="274">
        <v>10000000</v>
      </c>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row>
    <row r="53" spans="1:132" s="50" customFormat="1" ht="15" x14ac:dyDescent="0.25">
      <c r="A53" s="693"/>
      <c r="B53" s="761"/>
      <c r="C53" s="690"/>
      <c r="D53" s="552"/>
      <c r="E53" s="555"/>
      <c r="F53" s="558"/>
      <c r="G53" s="559"/>
      <c r="H53" s="552"/>
      <c r="I53" s="85"/>
      <c r="J53" s="85"/>
      <c r="K53" s="85"/>
      <c r="L53" s="85"/>
      <c r="M53" s="558"/>
      <c r="N53" s="559"/>
      <c r="O53" s="564"/>
      <c r="P53" s="743"/>
      <c r="Q53" s="78"/>
      <c r="R53" s="466"/>
      <c r="S53" s="81"/>
      <c r="T53" s="275"/>
      <c r="U53" s="46"/>
      <c r="V53" s="568"/>
      <c r="W53" s="273"/>
      <c r="X53" s="275"/>
      <c r="Y53" s="568">
        <v>5696</v>
      </c>
      <c r="Z53" s="273" t="s">
        <v>2771</v>
      </c>
      <c r="AA53" s="274">
        <v>9677500</v>
      </c>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row>
    <row r="54" spans="1:132" s="50" customFormat="1" ht="15" x14ac:dyDescent="0.25">
      <c r="A54" s="693"/>
      <c r="B54" s="761"/>
      <c r="C54" s="690"/>
      <c r="D54" s="552"/>
      <c r="E54" s="555"/>
      <c r="F54" s="558"/>
      <c r="G54" s="559"/>
      <c r="H54" s="552"/>
      <c r="I54" s="85"/>
      <c r="J54" s="85"/>
      <c r="K54" s="85"/>
      <c r="L54" s="85"/>
      <c r="M54" s="558"/>
      <c r="N54" s="559"/>
      <c r="O54" s="564"/>
      <c r="P54" s="743"/>
      <c r="Q54" s="78"/>
      <c r="R54" s="466"/>
      <c r="S54" s="81"/>
      <c r="T54" s="275"/>
      <c r="U54" s="46"/>
      <c r="V54" s="568"/>
      <c r="W54" s="273"/>
      <c r="X54" s="275"/>
      <c r="Y54" s="568">
        <v>5696</v>
      </c>
      <c r="Z54" s="273" t="s">
        <v>2771</v>
      </c>
      <c r="AA54" s="274">
        <v>322500</v>
      </c>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row>
    <row r="55" spans="1:132" s="50" customFormat="1" ht="15" x14ac:dyDescent="0.25">
      <c r="A55" s="693"/>
      <c r="B55" s="761"/>
      <c r="C55" s="690"/>
      <c r="D55" s="410"/>
      <c r="E55" s="415"/>
      <c r="F55" s="423"/>
      <c r="G55" s="418"/>
      <c r="H55" s="410"/>
      <c r="I55" s="85"/>
      <c r="J55" s="85"/>
      <c r="K55" s="85"/>
      <c r="L55" s="85"/>
      <c r="M55" s="423"/>
      <c r="N55" s="418"/>
      <c r="O55" s="427"/>
      <c r="P55" s="743"/>
      <c r="Q55" s="78" t="s">
        <v>2255</v>
      </c>
      <c r="R55" s="466" t="s">
        <v>2256</v>
      </c>
      <c r="S55" s="81" t="s">
        <v>2257</v>
      </c>
      <c r="T55" s="275">
        <v>10000000</v>
      </c>
      <c r="U55" s="46"/>
      <c r="V55" s="443">
        <v>1345</v>
      </c>
      <c r="W55" s="273" t="s">
        <v>2773</v>
      </c>
      <c r="X55" s="275">
        <v>10000000</v>
      </c>
      <c r="Y55" s="568">
        <v>5667</v>
      </c>
      <c r="Z55" s="273" t="s">
        <v>2770</v>
      </c>
      <c r="AA55" s="274">
        <v>10000000</v>
      </c>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row>
    <row r="56" spans="1:132" s="50" customFormat="1" ht="15" x14ac:dyDescent="0.25">
      <c r="A56" s="693"/>
      <c r="B56" s="761"/>
      <c r="C56" s="690"/>
      <c r="D56" s="410"/>
      <c r="E56" s="415"/>
      <c r="F56" s="423"/>
      <c r="G56" s="418"/>
      <c r="H56" s="410"/>
      <c r="I56" s="85"/>
      <c r="J56" s="85"/>
      <c r="K56" s="85"/>
      <c r="L56" s="85"/>
      <c r="M56" s="423"/>
      <c r="N56" s="418"/>
      <c r="O56" s="427"/>
      <c r="P56" s="743"/>
      <c r="Q56" s="78" t="s">
        <v>2258</v>
      </c>
      <c r="R56" s="466" t="s">
        <v>2259</v>
      </c>
      <c r="S56" s="81" t="s">
        <v>2260</v>
      </c>
      <c r="T56" s="275">
        <v>10000000</v>
      </c>
      <c r="U56" s="46"/>
      <c r="V56" s="443">
        <v>1347</v>
      </c>
      <c r="W56" s="273" t="s">
        <v>2773</v>
      </c>
      <c r="X56" s="275">
        <v>10000000</v>
      </c>
      <c r="Y56" s="568">
        <v>5666</v>
      </c>
      <c r="Z56" s="273" t="s">
        <v>2770</v>
      </c>
      <c r="AA56" s="275">
        <v>10000000</v>
      </c>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row>
    <row r="57" spans="1:132" s="50" customFormat="1" ht="15" x14ac:dyDescent="0.25">
      <c r="A57" s="693"/>
      <c r="B57" s="761"/>
      <c r="C57" s="690"/>
      <c r="D57" s="410"/>
      <c r="E57" s="415"/>
      <c r="F57" s="423"/>
      <c r="G57" s="418"/>
      <c r="H57" s="410"/>
      <c r="I57" s="85"/>
      <c r="J57" s="85"/>
      <c r="K57" s="85"/>
      <c r="L57" s="85"/>
      <c r="M57" s="423"/>
      <c r="N57" s="418"/>
      <c r="O57" s="427"/>
      <c r="P57" s="743"/>
      <c r="Q57" s="78" t="s">
        <v>2261</v>
      </c>
      <c r="R57" s="466" t="s">
        <v>2262</v>
      </c>
      <c r="S57" s="81" t="s">
        <v>2263</v>
      </c>
      <c r="T57" s="275">
        <v>3516990</v>
      </c>
      <c r="U57" s="46"/>
      <c r="V57" s="443">
        <v>1465</v>
      </c>
      <c r="W57" s="273" t="s">
        <v>2782</v>
      </c>
      <c r="X57" s="275">
        <v>3516990</v>
      </c>
      <c r="Y57" s="568">
        <v>5872</v>
      </c>
      <c r="Z57" s="273" t="s">
        <v>2805</v>
      </c>
      <c r="AA57" s="274">
        <v>3516990</v>
      </c>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row>
    <row r="58" spans="1:132" s="50" customFormat="1" ht="15" x14ac:dyDescent="0.25">
      <c r="A58" s="693"/>
      <c r="B58" s="761"/>
      <c r="C58" s="690"/>
      <c r="D58" s="410"/>
      <c r="E58" s="415"/>
      <c r="F58" s="423"/>
      <c r="G58" s="418"/>
      <c r="H58" s="410"/>
      <c r="I58" s="85"/>
      <c r="J58" s="85"/>
      <c r="K58" s="85"/>
      <c r="L58" s="85"/>
      <c r="M58" s="423"/>
      <c r="N58" s="418"/>
      <c r="O58" s="427"/>
      <c r="P58" s="743"/>
      <c r="Q58" s="78" t="s">
        <v>2264</v>
      </c>
      <c r="R58" s="466" t="s">
        <v>2265</v>
      </c>
      <c r="S58" s="81" t="s">
        <v>2266</v>
      </c>
      <c r="T58" s="275">
        <v>3600000</v>
      </c>
      <c r="U58" s="46"/>
      <c r="V58" s="443">
        <v>1545</v>
      </c>
      <c r="W58" s="273" t="s">
        <v>2783</v>
      </c>
      <c r="X58" s="275">
        <v>3600000</v>
      </c>
      <c r="Y58" s="568">
        <v>6110</v>
      </c>
      <c r="Z58" s="273" t="s">
        <v>2853</v>
      </c>
      <c r="AA58" s="274">
        <v>3600000</v>
      </c>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row>
    <row r="59" spans="1:132" s="50" customFormat="1" ht="54" x14ac:dyDescent="0.25">
      <c r="A59" s="693"/>
      <c r="B59" s="761"/>
      <c r="C59" s="690"/>
      <c r="D59" s="44" t="s">
        <v>816</v>
      </c>
      <c r="E59" s="8" t="s">
        <v>118</v>
      </c>
      <c r="F59" s="289">
        <v>44000000</v>
      </c>
      <c r="G59" s="66">
        <v>0</v>
      </c>
      <c r="H59" s="44"/>
      <c r="I59" s="45"/>
      <c r="J59" s="45"/>
      <c r="K59" s="45"/>
      <c r="L59" s="45"/>
      <c r="M59" s="44"/>
      <c r="N59" s="289">
        <v>44000000</v>
      </c>
      <c r="O59" s="65">
        <f>+F59+G59+H59+M59-N59</f>
        <v>0</v>
      </c>
      <c r="P59" s="743"/>
      <c r="Q59" s="78"/>
      <c r="R59" s="38"/>
      <c r="S59" s="81"/>
      <c r="T59" s="66"/>
      <c r="U59" s="46"/>
      <c r="V59" s="44"/>
      <c r="W59" s="79"/>
      <c r="X59" s="44"/>
      <c r="Y59" s="44"/>
      <c r="Z59" s="79"/>
      <c r="AA59" s="64"/>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row>
    <row r="60" spans="1:132" s="50" customFormat="1" ht="15" x14ac:dyDescent="0.25">
      <c r="A60" s="693"/>
      <c r="B60" s="761"/>
      <c r="C60" s="690"/>
      <c r="D60" s="692" t="s">
        <v>817</v>
      </c>
      <c r="E60" s="705" t="s">
        <v>119</v>
      </c>
      <c r="F60" s="710">
        <v>2000000</v>
      </c>
      <c r="G60" s="728">
        <v>0</v>
      </c>
      <c r="H60" s="692"/>
      <c r="I60" s="692"/>
      <c r="J60" s="692"/>
      <c r="K60" s="692"/>
      <c r="L60" s="692"/>
      <c r="M60" s="710">
        <v>28000000</v>
      </c>
      <c r="N60" s="692"/>
      <c r="O60" s="758">
        <f>+F60+G60+H60+M60-N60</f>
        <v>30000000</v>
      </c>
      <c r="P60" s="743"/>
      <c r="Q60" s="78" t="s">
        <v>893</v>
      </c>
      <c r="R60" s="466">
        <v>254</v>
      </c>
      <c r="S60" s="81">
        <v>44651</v>
      </c>
      <c r="T60" s="274">
        <v>1890966</v>
      </c>
      <c r="U60" s="46"/>
      <c r="V60" s="44">
        <v>517</v>
      </c>
      <c r="W60" s="79">
        <v>44670</v>
      </c>
      <c r="X60" s="267">
        <v>1890966</v>
      </c>
      <c r="Y60" s="568">
        <v>3413</v>
      </c>
      <c r="Z60" s="273">
        <v>44748</v>
      </c>
      <c r="AA60" s="274">
        <v>1890966</v>
      </c>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row>
    <row r="61" spans="1:132" s="50" customFormat="1" ht="15" x14ac:dyDescent="0.25">
      <c r="A61" s="693"/>
      <c r="B61" s="761"/>
      <c r="C61" s="690"/>
      <c r="D61" s="694"/>
      <c r="E61" s="707"/>
      <c r="F61" s="712"/>
      <c r="G61" s="729"/>
      <c r="H61" s="694"/>
      <c r="I61" s="694"/>
      <c r="J61" s="694"/>
      <c r="K61" s="694"/>
      <c r="L61" s="694"/>
      <c r="M61" s="712"/>
      <c r="N61" s="694"/>
      <c r="O61" s="759"/>
      <c r="P61" s="743"/>
      <c r="Q61" s="78" t="s">
        <v>2091</v>
      </c>
      <c r="R61" s="466">
        <v>374</v>
      </c>
      <c r="S61" s="81" t="s">
        <v>2090</v>
      </c>
      <c r="T61" s="274">
        <v>26483450</v>
      </c>
      <c r="U61" s="46"/>
      <c r="V61" s="330">
        <v>958</v>
      </c>
      <c r="W61" s="79">
        <v>44777</v>
      </c>
      <c r="X61" s="274">
        <v>26483450</v>
      </c>
      <c r="Y61" s="554">
        <v>5611</v>
      </c>
      <c r="Z61" s="265" t="s">
        <v>2800</v>
      </c>
      <c r="AA61" s="169">
        <v>26483450</v>
      </c>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row>
    <row r="62" spans="1:132" s="50" customFormat="1" ht="27" x14ac:dyDescent="0.25">
      <c r="A62" s="694"/>
      <c r="B62" s="762"/>
      <c r="C62" s="691"/>
      <c r="D62" s="44" t="s">
        <v>818</v>
      </c>
      <c r="E62" s="8" t="s">
        <v>120</v>
      </c>
      <c r="F62" s="289">
        <v>15000000</v>
      </c>
      <c r="G62" s="66">
        <v>0</v>
      </c>
      <c r="H62" s="44"/>
      <c r="I62" s="45"/>
      <c r="J62" s="45"/>
      <c r="K62" s="45"/>
      <c r="L62" s="45"/>
      <c r="M62" s="289">
        <v>15000000</v>
      </c>
      <c r="N62" s="274">
        <v>15000000</v>
      </c>
      <c r="O62" s="65">
        <f>+F62+G62+H62+M62-N62</f>
        <v>15000000</v>
      </c>
      <c r="P62" s="744"/>
      <c r="Q62" s="78" t="s">
        <v>892</v>
      </c>
      <c r="R62" s="466">
        <v>258</v>
      </c>
      <c r="S62" s="81">
        <v>44658</v>
      </c>
      <c r="T62" s="274">
        <v>12005549</v>
      </c>
      <c r="U62" s="46"/>
      <c r="V62" s="330">
        <v>520</v>
      </c>
      <c r="W62" s="79">
        <v>44672</v>
      </c>
      <c r="X62" s="267">
        <v>12005549</v>
      </c>
      <c r="Y62" s="554">
        <v>2911</v>
      </c>
      <c r="Z62" s="265">
        <v>44733</v>
      </c>
      <c r="AA62" s="277">
        <v>12005549</v>
      </c>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row>
    <row r="63" spans="1:132" s="107" customFormat="1" ht="15" x14ac:dyDescent="0.25">
      <c r="A63" s="92"/>
      <c r="B63" s="92"/>
      <c r="C63" s="92"/>
      <c r="D63" s="92"/>
      <c r="E63" s="104"/>
      <c r="F63" s="101"/>
      <c r="G63" s="101"/>
      <c r="H63" s="92"/>
      <c r="I63" s="93"/>
      <c r="J63" s="93"/>
      <c r="K63" s="93"/>
      <c r="L63" s="93"/>
      <c r="M63" s="92"/>
      <c r="N63" s="92"/>
      <c r="O63" s="102">
        <f>SUM(O8:O62)</f>
        <v>856500000</v>
      </c>
      <c r="P63" s="101"/>
      <c r="Q63" s="105"/>
      <c r="R63" s="86"/>
      <c r="S63" s="95"/>
      <c r="T63" s="103">
        <f>SUM(T8:T62)</f>
        <v>837872322</v>
      </c>
      <c r="U63" s="89"/>
      <c r="V63" s="86"/>
      <c r="W63" s="95"/>
      <c r="X63" s="103">
        <f>SUM(X8:X62)</f>
        <v>837872322</v>
      </c>
      <c r="Y63" s="86"/>
      <c r="Z63" s="95"/>
      <c r="AA63" s="103">
        <f>SUM(AA8:AA62)</f>
        <v>837872322</v>
      </c>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row>
    <row r="64" spans="1:132" s="50" customFormat="1" ht="45" customHeight="1" x14ac:dyDescent="0.25">
      <c r="A64" s="693"/>
      <c r="B64" s="764" t="s">
        <v>2768</v>
      </c>
      <c r="C64" s="690"/>
      <c r="D64" s="693"/>
      <c r="E64" s="690"/>
      <c r="F64" s="260"/>
      <c r="G64" s="710">
        <v>134000000</v>
      </c>
      <c r="H64" s="693"/>
      <c r="I64" s="693"/>
      <c r="J64" s="693"/>
      <c r="K64" s="693"/>
      <c r="L64" s="693"/>
      <c r="M64" s="693"/>
      <c r="N64" s="693"/>
      <c r="O64" s="758">
        <f>+G64+H64+I64+J64+K64+L64+M64-N64</f>
        <v>134000000</v>
      </c>
      <c r="P64" s="743"/>
      <c r="Q64" s="78" t="s">
        <v>894</v>
      </c>
      <c r="R64" s="466" t="s">
        <v>897</v>
      </c>
      <c r="S64" s="81" t="s">
        <v>2036</v>
      </c>
      <c r="T64" s="66">
        <v>10000000</v>
      </c>
      <c r="U64" s="46"/>
      <c r="V64" s="70">
        <v>512</v>
      </c>
      <c r="W64" s="47">
        <v>44669</v>
      </c>
      <c r="X64" s="274">
        <v>10000000</v>
      </c>
      <c r="Y64" s="70">
        <v>4503</v>
      </c>
      <c r="Z64" s="47">
        <v>44791</v>
      </c>
      <c r="AA64" s="274">
        <v>10000000</v>
      </c>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row>
    <row r="65" spans="1:132" s="50" customFormat="1" ht="45" customHeight="1" x14ac:dyDescent="0.25">
      <c r="A65" s="693"/>
      <c r="B65" s="764"/>
      <c r="C65" s="690"/>
      <c r="D65" s="693"/>
      <c r="E65" s="690"/>
      <c r="F65" s="260"/>
      <c r="G65" s="711"/>
      <c r="H65" s="693"/>
      <c r="I65" s="693"/>
      <c r="J65" s="693"/>
      <c r="K65" s="693"/>
      <c r="L65" s="693"/>
      <c r="M65" s="693"/>
      <c r="N65" s="693"/>
      <c r="O65" s="763"/>
      <c r="P65" s="743"/>
      <c r="Q65" s="78" t="s">
        <v>895</v>
      </c>
      <c r="R65" s="154" t="s">
        <v>885</v>
      </c>
      <c r="S65" s="81" t="s">
        <v>2037</v>
      </c>
      <c r="T65" s="274">
        <v>0</v>
      </c>
      <c r="U65" s="46"/>
      <c r="V65" s="309"/>
      <c r="W65" s="47"/>
      <c r="X65" s="274"/>
      <c r="Y65" s="309"/>
      <c r="Z65" s="47"/>
      <c r="AA65" s="274"/>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row>
    <row r="66" spans="1:132" s="50" customFormat="1" ht="45" customHeight="1" x14ac:dyDescent="0.25">
      <c r="A66" s="693"/>
      <c r="B66" s="764"/>
      <c r="C66" s="690"/>
      <c r="D66" s="693"/>
      <c r="E66" s="690"/>
      <c r="F66" s="260"/>
      <c r="G66" s="711"/>
      <c r="H66" s="693"/>
      <c r="I66" s="693"/>
      <c r="J66" s="693"/>
      <c r="K66" s="693"/>
      <c r="L66" s="693"/>
      <c r="M66" s="693"/>
      <c r="N66" s="693"/>
      <c r="O66" s="763"/>
      <c r="P66" s="743"/>
      <c r="Q66" s="78" t="s">
        <v>896</v>
      </c>
      <c r="R66" s="466" t="s">
        <v>898</v>
      </c>
      <c r="S66" s="81" t="s">
        <v>2038</v>
      </c>
      <c r="T66" s="274">
        <v>10000000</v>
      </c>
      <c r="U66" s="46"/>
      <c r="V66" s="518">
        <v>513</v>
      </c>
      <c r="W66" s="47">
        <v>44669</v>
      </c>
      <c r="X66" s="274">
        <v>10000000</v>
      </c>
      <c r="Y66" s="518">
        <v>4987</v>
      </c>
      <c r="Z66" s="47">
        <v>44823</v>
      </c>
      <c r="AA66" s="274">
        <v>10000000</v>
      </c>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row>
    <row r="67" spans="1:132" s="50" customFormat="1" ht="45" customHeight="1" x14ac:dyDescent="0.25">
      <c r="A67" s="693"/>
      <c r="B67" s="764"/>
      <c r="C67" s="690"/>
      <c r="D67" s="693"/>
      <c r="E67" s="690"/>
      <c r="F67" s="260"/>
      <c r="G67" s="711"/>
      <c r="H67" s="693"/>
      <c r="I67" s="693"/>
      <c r="J67" s="693"/>
      <c r="K67" s="693"/>
      <c r="L67" s="693"/>
      <c r="M67" s="693"/>
      <c r="N67" s="693"/>
      <c r="O67" s="763"/>
      <c r="P67" s="743"/>
      <c r="Q67" s="78" t="s">
        <v>2048</v>
      </c>
      <c r="R67" s="466" t="s">
        <v>2057</v>
      </c>
      <c r="S67" s="81" t="s">
        <v>2039</v>
      </c>
      <c r="T67" s="274">
        <v>3000000</v>
      </c>
      <c r="U67" s="46"/>
      <c r="V67" s="309">
        <v>991</v>
      </c>
      <c r="W67" s="47">
        <v>44778</v>
      </c>
      <c r="X67" s="274">
        <v>3000000</v>
      </c>
      <c r="Y67" s="309">
        <v>4755</v>
      </c>
      <c r="Z67" s="47">
        <v>44805</v>
      </c>
      <c r="AA67" s="274">
        <v>3000000</v>
      </c>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row>
    <row r="68" spans="1:132" s="50" customFormat="1" ht="45" customHeight="1" x14ac:dyDescent="0.25">
      <c r="A68" s="693"/>
      <c r="B68" s="764"/>
      <c r="C68" s="690"/>
      <c r="D68" s="693"/>
      <c r="E68" s="690"/>
      <c r="F68" s="260"/>
      <c r="G68" s="711"/>
      <c r="H68" s="693"/>
      <c r="I68" s="693"/>
      <c r="J68" s="693"/>
      <c r="K68" s="693"/>
      <c r="L68" s="693"/>
      <c r="M68" s="693"/>
      <c r="N68" s="693"/>
      <c r="O68" s="763"/>
      <c r="P68" s="743"/>
      <c r="Q68" s="78" t="s">
        <v>2049</v>
      </c>
      <c r="R68" s="466" t="s">
        <v>2058</v>
      </c>
      <c r="S68" s="81" t="s">
        <v>2040</v>
      </c>
      <c r="T68" s="274">
        <v>12000000</v>
      </c>
      <c r="U68" s="46"/>
      <c r="V68" s="309">
        <v>1001</v>
      </c>
      <c r="W68" s="47">
        <v>44781</v>
      </c>
      <c r="X68" s="274">
        <v>12000000</v>
      </c>
      <c r="Y68" s="309">
        <v>4865</v>
      </c>
      <c r="Z68" s="47">
        <v>44806</v>
      </c>
      <c r="AA68" s="274">
        <v>12000000</v>
      </c>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row>
    <row r="69" spans="1:132" s="50" customFormat="1" ht="45" customHeight="1" x14ac:dyDescent="0.25">
      <c r="A69" s="693"/>
      <c r="B69" s="764"/>
      <c r="C69" s="690"/>
      <c r="D69" s="693"/>
      <c r="E69" s="690"/>
      <c r="F69" s="260"/>
      <c r="G69" s="711"/>
      <c r="H69" s="693"/>
      <c r="I69" s="693"/>
      <c r="J69" s="693"/>
      <c r="K69" s="693"/>
      <c r="L69" s="693"/>
      <c r="M69" s="693"/>
      <c r="N69" s="693"/>
      <c r="O69" s="763"/>
      <c r="P69" s="743"/>
      <c r="Q69" s="78" t="s">
        <v>2050</v>
      </c>
      <c r="R69" s="466" t="s">
        <v>2059</v>
      </c>
      <c r="S69" s="81" t="s">
        <v>2041</v>
      </c>
      <c r="T69" s="274">
        <v>10000000</v>
      </c>
      <c r="U69" s="46"/>
      <c r="V69" s="309">
        <v>998</v>
      </c>
      <c r="W69" s="47">
        <v>44781</v>
      </c>
      <c r="X69" s="274">
        <v>10000000</v>
      </c>
      <c r="Y69" s="309">
        <v>4866</v>
      </c>
      <c r="Z69" s="47">
        <v>44806</v>
      </c>
      <c r="AA69" s="274">
        <v>10000000</v>
      </c>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row>
    <row r="70" spans="1:132" s="50" customFormat="1" ht="45" customHeight="1" x14ac:dyDescent="0.25">
      <c r="A70" s="693"/>
      <c r="B70" s="764"/>
      <c r="C70" s="690"/>
      <c r="D70" s="693"/>
      <c r="E70" s="690"/>
      <c r="F70" s="260"/>
      <c r="G70" s="711"/>
      <c r="H70" s="693"/>
      <c r="I70" s="693"/>
      <c r="J70" s="693"/>
      <c r="K70" s="693"/>
      <c r="L70" s="693"/>
      <c r="M70" s="693"/>
      <c r="N70" s="693"/>
      <c r="O70" s="763"/>
      <c r="P70" s="743"/>
      <c r="Q70" s="78" t="s">
        <v>2051</v>
      </c>
      <c r="R70" s="466" t="s">
        <v>2060</v>
      </c>
      <c r="S70" s="81" t="s">
        <v>2042</v>
      </c>
      <c r="T70" s="274">
        <v>10000000</v>
      </c>
      <c r="U70" s="46"/>
      <c r="V70" s="309">
        <v>1003</v>
      </c>
      <c r="W70" s="47">
        <v>44781</v>
      </c>
      <c r="X70" s="274">
        <v>10000000</v>
      </c>
      <c r="Y70" s="309">
        <v>5399</v>
      </c>
      <c r="Z70" s="47" t="s">
        <v>2854</v>
      </c>
      <c r="AA70" s="169">
        <v>10000000</v>
      </c>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row>
    <row r="71" spans="1:132" s="50" customFormat="1" ht="45" customHeight="1" x14ac:dyDescent="0.25">
      <c r="A71" s="693"/>
      <c r="B71" s="764"/>
      <c r="C71" s="690"/>
      <c r="D71" s="693"/>
      <c r="E71" s="690"/>
      <c r="F71" s="260"/>
      <c r="G71" s="711"/>
      <c r="H71" s="693"/>
      <c r="I71" s="693"/>
      <c r="J71" s="693"/>
      <c r="K71" s="693"/>
      <c r="L71" s="693"/>
      <c r="M71" s="693"/>
      <c r="N71" s="693"/>
      <c r="O71" s="763"/>
      <c r="P71" s="743"/>
      <c r="Q71" s="78" t="s">
        <v>2052</v>
      </c>
      <c r="R71" s="466" t="s">
        <v>2061</v>
      </c>
      <c r="S71" s="81" t="s">
        <v>2043</v>
      </c>
      <c r="T71" s="274">
        <v>10000000</v>
      </c>
      <c r="U71" s="46"/>
      <c r="V71" s="309">
        <v>1006</v>
      </c>
      <c r="W71" s="47">
        <v>44781</v>
      </c>
      <c r="X71" s="274">
        <v>10000000</v>
      </c>
      <c r="Y71" s="309">
        <v>4993</v>
      </c>
      <c r="Z71" s="47">
        <v>44823</v>
      </c>
      <c r="AA71" s="274">
        <v>10000000</v>
      </c>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row>
    <row r="72" spans="1:132" s="50" customFormat="1" ht="45" customHeight="1" x14ac:dyDescent="0.25">
      <c r="A72" s="693"/>
      <c r="B72" s="764"/>
      <c r="C72" s="690"/>
      <c r="D72" s="693"/>
      <c r="E72" s="690"/>
      <c r="F72" s="260"/>
      <c r="G72" s="711"/>
      <c r="H72" s="693"/>
      <c r="I72" s="693"/>
      <c r="J72" s="693"/>
      <c r="K72" s="693"/>
      <c r="L72" s="693"/>
      <c r="M72" s="693"/>
      <c r="N72" s="693"/>
      <c r="O72" s="763"/>
      <c r="P72" s="743"/>
      <c r="Q72" s="78" t="s">
        <v>2053</v>
      </c>
      <c r="R72" s="466" t="s">
        <v>2062</v>
      </c>
      <c r="S72" s="81" t="s">
        <v>2044</v>
      </c>
      <c r="T72" s="274">
        <v>10000000</v>
      </c>
      <c r="U72" s="46"/>
      <c r="V72" s="309">
        <v>1008</v>
      </c>
      <c r="W72" s="47">
        <v>44781</v>
      </c>
      <c r="X72" s="274">
        <v>10000000</v>
      </c>
      <c r="Y72" s="309">
        <v>5695</v>
      </c>
      <c r="Z72" s="47" t="s">
        <v>2771</v>
      </c>
      <c r="AA72" s="169">
        <v>10000000</v>
      </c>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row>
    <row r="73" spans="1:132" s="50" customFormat="1" ht="45" customHeight="1" x14ac:dyDescent="0.25">
      <c r="A73" s="693"/>
      <c r="B73" s="764"/>
      <c r="C73" s="690"/>
      <c r="D73" s="693"/>
      <c r="E73" s="690"/>
      <c r="F73" s="260"/>
      <c r="G73" s="711"/>
      <c r="H73" s="693"/>
      <c r="I73" s="693"/>
      <c r="J73" s="693"/>
      <c r="K73" s="693"/>
      <c r="L73" s="693"/>
      <c r="M73" s="693"/>
      <c r="N73" s="693"/>
      <c r="O73" s="763"/>
      <c r="P73" s="743"/>
      <c r="Q73" s="78" t="s">
        <v>2054</v>
      </c>
      <c r="R73" s="466" t="s">
        <v>2063</v>
      </c>
      <c r="S73" s="81" t="s">
        <v>2045</v>
      </c>
      <c r="T73" s="274">
        <v>5000000</v>
      </c>
      <c r="U73" s="46"/>
      <c r="V73" s="309">
        <v>1054</v>
      </c>
      <c r="W73" s="47">
        <v>44792</v>
      </c>
      <c r="X73" s="274">
        <v>5000000</v>
      </c>
      <c r="Y73" s="309">
        <v>4867</v>
      </c>
      <c r="Z73" s="47">
        <v>44806</v>
      </c>
      <c r="AA73" s="274">
        <v>5000000</v>
      </c>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row>
    <row r="74" spans="1:132" s="50" customFormat="1" ht="45" customHeight="1" x14ac:dyDescent="0.25">
      <c r="A74" s="693"/>
      <c r="B74" s="764"/>
      <c r="C74" s="690"/>
      <c r="D74" s="693"/>
      <c r="E74" s="690"/>
      <c r="F74" s="260"/>
      <c r="G74" s="711"/>
      <c r="H74" s="693"/>
      <c r="I74" s="693"/>
      <c r="J74" s="693"/>
      <c r="K74" s="693"/>
      <c r="L74" s="693"/>
      <c r="M74" s="693"/>
      <c r="N74" s="693"/>
      <c r="O74" s="763"/>
      <c r="P74" s="743"/>
      <c r="Q74" s="78" t="s">
        <v>2055</v>
      </c>
      <c r="R74" s="466" t="s">
        <v>2064</v>
      </c>
      <c r="S74" s="81" t="s">
        <v>2046</v>
      </c>
      <c r="T74" s="274">
        <v>10000000</v>
      </c>
      <c r="U74" s="46"/>
      <c r="V74" s="309">
        <v>1113</v>
      </c>
      <c r="W74" s="47">
        <v>44799</v>
      </c>
      <c r="X74" s="274">
        <v>10000000</v>
      </c>
      <c r="Y74" s="309">
        <v>4971</v>
      </c>
      <c r="Z74" s="47">
        <v>44819</v>
      </c>
      <c r="AA74" s="274">
        <v>10000000</v>
      </c>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row>
    <row r="75" spans="1:132" s="50" customFormat="1" ht="45" customHeight="1" x14ac:dyDescent="0.25">
      <c r="A75" s="693"/>
      <c r="B75" s="764"/>
      <c r="C75" s="690"/>
      <c r="D75" s="693"/>
      <c r="E75" s="690"/>
      <c r="F75" s="260"/>
      <c r="G75" s="711"/>
      <c r="H75" s="693"/>
      <c r="I75" s="693"/>
      <c r="J75" s="693"/>
      <c r="K75" s="693"/>
      <c r="L75" s="693"/>
      <c r="M75" s="693"/>
      <c r="N75" s="693"/>
      <c r="O75" s="763"/>
      <c r="P75" s="743"/>
      <c r="Q75" s="78" t="s">
        <v>2056</v>
      </c>
      <c r="R75" s="466" t="s">
        <v>2065</v>
      </c>
      <c r="S75" s="81" t="s">
        <v>2047</v>
      </c>
      <c r="T75" s="274">
        <v>14000000</v>
      </c>
      <c r="U75" s="46"/>
      <c r="V75" s="309">
        <v>1177</v>
      </c>
      <c r="W75" s="47">
        <v>44823</v>
      </c>
      <c r="X75" s="274">
        <v>14000000</v>
      </c>
      <c r="Y75" s="309">
        <v>5694</v>
      </c>
      <c r="Z75" s="47" t="s">
        <v>2771</v>
      </c>
      <c r="AA75" s="169">
        <v>14000000</v>
      </c>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row>
    <row r="76" spans="1:132" s="50" customFormat="1" ht="45" customHeight="1" x14ac:dyDescent="0.25">
      <c r="A76" s="694"/>
      <c r="B76" s="765"/>
      <c r="C76" s="691"/>
      <c r="D76" s="694"/>
      <c r="E76" s="691"/>
      <c r="F76" s="500"/>
      <c r="G76" s="712"/>
      <c r="H76" s="694"/>
      <c r="I76" s="694"/>
      <c r="J76" s="694"/>
      <c r="K76" s="694"/>
      <c r="L76" s="694"/>
      <c r="M76" s="694"/>
      <c r="N76" s="694"/>
      <c r="O76" s="759"/>
      <c r="P76" s="744"/>
      <c r="Q76" s="78"/>
      <c r="R76" s="329"/>
      <c r="S76" s="81"/>
      <c r="T76" s="274"/>
      <c r="U76" s="46"/>
      <c r="V76" s="309"/>
      <c r="W76" s="47"/>
      <c r="X76" s="309"/>
      <c r="Y76" s="309"/>
      <c r="Z76" s="47"/>
      <c r="AA76" s="48"/>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row>
    <row r="77" spans="1:132" s="120" customFormat="1" ht="15.75" thickBot="1" x14ac:dyDescent="0.3">
      <c r="A77" s="86"/>
      <c r="B77" s="116"/>
      <c r="C77" s="117"/>
      <c r="D77" s="86"/>
      <c r="E77" s="118"/>
      <c r="F77" s="96"/>
      <c r="G77" s="96"/>
      <c r="H77" s="86"/>
      <c r="I77" s="86"/>
      <c r="J77" s="86"/>
      <c r="K77" s="86"/>
      <c r="L77" s="86"/>
      <c r="M77" s="86"/>
      <c r="N77" s="86"/>
      <c r="O77" s="88">
        <f>+O64</f>
        <v>134000000</v>
      </c>
      <c r="P77" s="103"/>
      <c r="Q77" s="86"/>
      <c r="R77" s="86"/>
      <c r="S77" s="86"/>
      <c r="T77" s="103">
        <f>SUM(T64:T76)</f>
        <v>104000000</v>
      </c>
      <c r="U77" s="119"/>
      <c r="V77" s="86"/>
      <c r="W77" s="95"/>
      <c r="X77" s="103">
        <f>SUM(X64:X76)</f>
        <v>104000000</v>
      </c>
      <c r="Y77" s="86"/>
      <c r="Z77" s="95"/>
      <c r="AA77" s="103">
        <f>SUM(AA64:XFD76)</f>
        <v>104000000</v>
      </c>
    </row>
    <row r="78" spans="1:132" s="63" customFormat="1" ht="17.25" thickBot="1" x14ac:dyDescent="0.35">
      <c r="A78" s="51"/>
      <c r="B78" s="51"/>
      <c r="C78" s="42"/>
      <c r="D78" s="42"/>
      <c r="E78" s="42"/>
      <c r="F78" s="52"/>
      <c r="G78" s="42"/>
      <c r="H78" s="42"/>
      <c r="I78" s="43"/>
      <c r="J78" s="43"/>
      <c r="K78" s="43"/>
      <c r="L78" s="43"/>
      <c r="M78" s="53" t="s">
        <v>29</v>
      </c>
      <c r="N78" s="54"/>
      <c r="O78" s="55">
        <f>+O63+O77</f>
        <v>990500000</v>
      </c>
      <c r="P78" s="56"/>
      <c r="Q78" s="56"/>
      <c r="R78" s="56"/>
      <c r="S78" s="56"/>
      <c r="T78" s="67">
        <f>+T63+T77</f>
        <v>941872322</v>
      </c>
      <c r="U78" s="57">
        <f>(T78*1)/O78</f>
        <v>0.95090592831903076</v>
      </c>
      <c r="V78" s="58"/>
      <c r="W78" s="59"/>
      <c r="X78" s="60">
        <f>+X63+X77</f>
        <v>941872322</v>
      </c>
      <c r="Y78" s="58"/>
      <c r="Z78" s="59"/>
      <c r="AA78" s="61">
        <f>+AA63+AA77</f>
        <v>941872322</v>
      </c>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row>
    <row r="79" spans="1:132" ht="15" x14ac:dyDescent="0.25">
      <c r="U79" s="4"/>
    </row>
    <row r="80" spans="1:132" ht="15" x14ac:dyDescent="0.25">
      <c r="O80" s="251">
        <f>+O78+EFAD!L51</f>
        <v>2357438381</v>
      </c>
      <c r="T80" s="39"/>
      <c r="U80" s="6"/>
      <c r="V80" s="39"/>
    </row>
    <row r="81" spans="20:22" ht="15" x14ac:dyDescent="0.25">
      <c r="T81" s="39"/>
      <c r="U81" s="6"/>
      <c r="V81" s="39"/>
    </row>
    <row r="82" spans="20:22" ht="15" x14ac:dyDescent="0.25">
      <c r="T82" s="39"/>
      <c r="U82" s="6"/>
      <c r="V82" s="39"/>
    </row>
    <row r="83" spans="20:22" ht="15" x14ac:dyDescent="0.25">
      <c r="T83" s="39"/>
      <c r="U83" s="6"/>
      <c r="V83" s="39"/>
    </row>
    <row r="84" spans="20:22" ht="15" x14ac:dyDescent="0.25">
      <c r="T84" s="39"/>
      <c r="U84" s="6"/>
      <c r="V84" s="39"/>
    </row>
    <row r="85" spans="20:22" ht="15" x14ac:dyDescent="0.25">
      <c r="T85" s="39"/>
      <c r="U85" s="6"/>
      <c r="V85" s="39"/>
    </row>
    <row r="86" spans="20:22" ht="15" x14ac:dyDescent="0.25">
      <c r="T86" s="39"/>
      <c r="U86" s="6"/>
      <c r="V86" s="39"/>
    </row>
    <row r="87" spans="20:22" ht="15" x14ac:dyDescent="0.25">
      <c r="T87" s="39"/>
      <c r="U87" s="6"/>
      <c r="V87" s="39"/>
    </row>
    <row r="88" spans="20:22" ht="15" x14ac:dyDescent="0.25">
      <c r="T88" s="39"/>
      <c r="U88" s="7"/>
      <c r="V88" s="39"/>
    </row>
    <row r="89" spans="20:22" ht="15" x14ac:dyDescent="0.25"/>
    <row r="90" spans="20:22" ht="15" x14ac:dyDescent="0.25"/>
    <row r="91" spans="20:22" ht="15" x14ac:dyDescent="0.25"/>
    <row r="92" spans="20:22" ht="15" x14ac:dyDescent="0.25"/>
    <row r="93" spans="20:22" ht="15" x14ac:dyDescent="0.25"/>
    <row r="94" spans="20:22" ht="15" x14ac:dyDescent="0.25"/>
    <row r="95" spans="20:22" ht="15" x14ac:dyDescent="0.25"/>
    <row r="96" spans="20:22"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customHeight="1" x14ac:dyDescent="0.25"/>
    <row r="132" ht="15"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hidden="1" customHeight="1" x14ac:dyDescent="0.25"/>
    <row r="849" ht="15" hidden="1" customHeight="1" x14ac:dyDescent="0.25"/>
    <row r="850" ht="15" hidden="1" customHeight="1" x14ac:dyDescent="0.25"/>
    <row r="851" ht="15" hidden="1" customHeight="1" x14ac:dyDescent="0.25"/>
    <row r="852" ht="15" hidden="1" customHeight="1" x14ac:dyDescent="0.25"/>
    <row r="853" ht="15" hidden="1" customHeight="1" x14ac:dyDescent="0.25"/>
    <row r="854" ht="15" hidden="1" customHeight="1" x14ac:dyDescent="0.25"/>
    <row r="855" ht="15" hidden="1" customHeight="1" x14ac:dyDescent="0.25"/>
    <row r="856" ht="15" hidden="1" customHeight="1" x14ac:dyDescent="0.25"/>
    <row r="857" ht="15" hidden="1" customHeight="1" x14ac:dyDescent="0.25"/>
    <row r="858" ht="15" hidden="1" customHeight="1" x14ac:dyDescent="0.25"/>
    <row r="859" ht="15" hidden="1" customHeight="1" x14ac:dyDescent="0.25"/>
    <row r="860" ht="15" hidden="1" customHeight="1" x14ac:dyDescent="0.25"/>
    <row r="861" ht="15" hidden="1" customHeight="1" x14ac:dyDescent="0.25"/>
    <row r="862" ht="15" hidden="1" customHeight="1" x14ac:dyDescent="0.25"/>
    <row r="863" ht="15" hidden="1" customHeight="1" x14ac:dyDescent="0.25"/>
    <row r="864" ht="15" hidden="1" customHeight="1" x14ac:dyDescent="0.25"/>
    <row r="865" ht="15" hidden="1" customHeight="1" x14ac:dyDescent="0.25"/>
    <row r="866" ht="15" hidden="1" customHeight="1" x14ac:dyDescent="0.25"/>
    <row r="867" ht="15" hidden="1" customHeight="1" x14ac:dyDescent="0.25"/>
    <row r="868" ht="15" hidden="1" customHeight="1" x14ac:dyDescent="0.25"/>
    <row r="869" ht="15" hidden="1" customHeight="1" x14ac:dyDescent="0.25"/>
    <row r="870" ht="15" hidden="1" customHeight="1" x14ac:dyDescent="0.25"/>
    <row r="871" ht="15" hidden="1" customHeight="1" x14ac:dyDescent="0.25"/>
    <row r="872" ht="15" hidden="1" customHeight="1" x14ac:dyDescent="0.25"/>
    <row r="873" ht="15" hidden="1"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sheetData>
  <sheetProtection algorithmName="SHA-512" hashValue="ap1f2sbRQupFMbz2u9pdc48y0Hx27SUsS4E3jlN4bgBf86NvkWPJXboi722VDL6Y0nvA9wf4vKdNz1cissxbuQ==" saltValue="Pciz0KSGQfEwSBNwaQg0wA==" spinCount="100000" sheet="1" objects="1" scenarios="1" selectLockedCells="1" selectUnlockedCells="1"/>
  <mergeCells count="63">
    <mergeCell ref="C64:C76"/>
    <mergeCell ref="B64:B76"/>
    <mergeCell ref="A64:A76"/>
    <mergeCell ref="P64:P76"/>
    <mergeCell ref="K64:K76"/>
    <mergeCell ref="L64:L76"/>
    <mergeCell ref="M64:M76"/>
    <mergeCell ref="N64:N76"/>
    <mergeCell ref="G64:G76"/>
    <mergeCell ref="O64:O76"/>
    <mergeCell ref="H64:H76"/>
    <mergeCell ref="I64:I76"/>
    <mergeCell ref="J64:J76"/>
    <mergeCell ref="E64:E76"/>
    <mergeCell ref="D64:D76"/>
    <mergeCell ref="D60:D61"/>
    <mergeCell ref="H60:H61"/>
    <mergeCell ref="I60:I61"/>
    <mergeCell ref="J60:J61"/>
    <mergeCell ref="K60:K61"/>
    <mergeCell ref="N11:N50"/>
    <mergeCell ref="O11:O50"/>
    <mergeCell ref="F60:F61"/>
    <mergeCell ref="G60:G61"/>
    <mergeCell ref="E60:E61"/>
    <mergeCell ref="L60:L61"/>
    <mergeCell ref="M60:M61"/>
    <mergeCell ref="N60:N61"/>
    <mergeCell ref="O60:O61"/>
    <mergeCell ref="I11:I50"/>
    <mergeCell ref="J11:J50"/>
    <mergeCell ref="K11:K50"/>
    <mergeCell ref="L11:L50"/>
    <mergeCell ref="M11:M50"/>
    <mergeCell ref="D11:D50"/>
    <mergeCell ref="E11:E50"/>
    <mergeCell ref="F11:F50"/>
    <mergeCell ref="G11:G50"/>
    <mergeCell ref="H11:H50"/>
    <mergeCell ref="A8:A62"/>
    <mergeCell ref="C8:C62"/>
    <mergeCell ref="P8:P62"/>
    <mergeCell ref="D9:D10"/>
    <mergeCell ref="E9:E10"/>
    <mergeCell ref="F9:F10"/>
    <mergeCell ref="L9:L10"/>
    <mergeCell ref="M9:M10"/>
    <mergeCell ref="O9:O10"/>
    <mergeCell ref="B8:B62"/>
    <mergeCell ref="N9:N10"/>
    <mergeCell ref="G9:G10"/>
    <mergeCell ref="H9:H10"/>
    <mergeCell ref="I9:I10"/>
    <mergeCell ref="J9:J10"/>
    <mergeCell ref="K9:K10"/>
    <mergeCell ref="A2:A5"/>
    <mergeCell ref="B2:Y2"/>
    <mergeCell ref="Z2:AA2"/>
    <mergeCell ref="B3:Y3"/>
    <mergeCell ref="Z3:AA3"/>
    <mergeCell ref="B4:Y5"/>
    <mergeCell ref="Z4:AA4"/>
    <mergeCell ref="Z5:AA5"/>
  </mergeCells>
  <conditionalFormatting sqref="U88:U1048576 U7:U62 U64:U78">
    <cfRule type="cellIs" dxfId="1089" priority="11" operator="between">
      <formula>0.51</formula>
      <formula>0.69</formula>
    </cfRule>
    <cfRule type="cellIs" dxfId="1088" priority="12" operator="between">
      <formula>0.51</formula>
      <formula>0.69</formula>
    </cfRule>
    <cfRule type="cellIs" dxfId="1087" priority="13" operator="lessThan">
      <formula>0.5</formula>
    </cfRule>
    <cfRule type="cellIs" dxfId="1086" priority="14" operator="greaterThan">
      <formula>0.7</formula>
    </cfRule>
    <cfRule type="cellIs" dxfId="1085" priority="15" operator="between">
      <formula>0.51</formula>
      <formula>0.69</formula>
    </cfRule>
    <cfRule type="cellIs" dxfId="1084" priority="16" operator="lessThan">
      <formula>50</formula>
    </cfRule>
    <cfRule type="cellIs" dxfId="1083" priority="17" operator="greaterThan">
      <formula>0.7</formula>
    </cfRule>
    <cfRule type="cellIs" dxfId="1082" priority="18" operator="between">
      <formula>0.51</formula>
      <formula>0.69</formula>
    </cfRule>
    <cfRule type="cellIs" dxfId="1081" priority="19" operator="lessThan">
      <formula>0.5</formula>
    </cfRule>
    <cfRule type="cellIs" dxfId="1080" priority="20" operator="greaterThan">
      <formula>0.7</formula>
    </cfRule>
  </conditionalFormatting>
  <conditionalFormatting sqref="U63">
    <cfRule type="cellIs" dxfId="1079" priority="1" operator="between">
      <formula>0.51</formula>
      <formula>0.69</formula>
    </cfRule>
    <cfRule type="cellIs" dxfId="1078" priority="2" operator="between">
      <formula>0.51</formula>
      <formula>0.69</formula>
    </cfRule>
    <cfRule type="cellIs" dxfId="1077" priority="3" operator="lessThan">
      <formula>0.5</formula>
    </cfRule>
    <cfRule type="cellIs" dxfId="1076" priority="4" operator="greaterThan">
      <formula>0.7</formula>
    </cfRule>
    <cfRule type="cellIs" dxfId="1075" priority="5" operator="between">
      <formula>0.51</formula>
      <formula>0.69</formula>
    </cfRule>
    <cfRule type="cellIs" dxfId="1074" priority="6" operator="lessThan">
      <formula>50</formula>
    </cfRule>
    <cfRule type="cellIs" dxfId="1073" priority="7" operator="greaterThan">
      <formula>0.7</formula>
    </cfRule>
    <cfRule type="cellIs" dxfId="1072" priority="8" operator="between">
      <formula>0.51</formula>
      <formula>0.69</formula>
    </cfRule>
    <cfRule type="cellIs" dxfId="1071" priority="9" operator="lessThan">
      <formula>0.5</formula>
    </cfRule>
    <cfRule type="cellIs" dxfId="1070" priority="10" operator="greaterThan">
      <formula>0.7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82B"/>
  </sheetPr>
  <dimension ref="A1:EB870"/>
  <sheetViews>
    <sheetView showGridLines="0" topLeftCell="A7" zoomScale="80" zoomScaleNormal="80" workbookViewId="0">
      <pane ySplit="1" topLeftCell="A8" activePane="bottomLeft" state="frozen"/>
      <selection activeCell="A7" sqref="A7"/>
      <selection pane="bottomLeft" activeCell="C8" sqref="C8:C46"/>
    </sheetView>
  </sheetViews>
  <sheetFormatPr baseColWidth="10" defaultColWidth="0" defaultRowHeight="0" customHeight="1" zeroHeight="1" x14ac:dyDescent="0.25"/>
  <cols>
    <col min="1" max="1" width="11.42578125" style="40" customWidth="1"/>
    <col min="2" max="2" width="39.855468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1.42578125" style="40" hidden="1" customWidth="1"/>
    <col min="9" max="9" width="12.7109375" style="40" hidden="1" customWidth="1"/>
    <col min="10" max="11" width="16.7109375" style="209" hidden="1" customWidth="1"/>
    <col min="12" max="12" width="21.28515625" style="40" customWidth="1"/>
    <col min="13" max="13" width="18.85546875" style="40" bestFit="1" customWidth="1"/>
    <col min="14" max="14" width="15.7109375" style="40" customWidth="1"/>
    <col min="15" max="15" width="11.42578125" style="40" customWidth="1"/>
    <col min="16" max="16" width="15.42578125" style="40" customWidth="1"/>
    <col min="17" max="17" width="21.5703125" style="40" customWidth="1"/>
    <col min="18" max="18" width="11.5703125" style="3" bestFit="1" customWidth="1"/>
    <col min="19" max="19" width="11.42578125" style="40" customWidth="1"/>
    <col min="20" max="20" width="16.7109375" style="35" bestFit="1" customWidth="1"/>
    <col min="21" max="21" width="19.5703125" style="40" bestFit="1" customWidth="1"/>
    <col min="22" max="22" width="11.42578125" style="40" customWidth="1"/>
    <col min="23" max="23" width="14.5703125" style="35" customWidth="1"/>
    <col min="24" max="24" width="19" style="40" bestFit="1" customWidth="1"/>
    <col min="25" max="129" width="11.5703125" style="39" hidden="1" customWidth="1"/>
    <col min="130" max="132" width="11.5703125" style="40" hidden="1" customWidth="1"/>
    <col min="133" max="16384" width="11.42578125" style="40" hidden="1"/>
  </cols>
  <sheetData>
    <row r="1" spans="1:129" ht="15" hidden="1" x14ac:dyDescent="0.25">
      <c r="A1" s="24"/>
      <c r="B1" s="25"/>
      <c r="C1" s="25"/>
      <c r="D1" s="26"/>
      <c r="E1" s="26"/>
      <c r="F1" s="27"/>
      <c r="G1" s="28"/>
      <c r="H1" s="28"/>
      <c r="I1" s="28"/>
      <c r="J1" s="203"/>
      <c r="K1" s="204"/>
      <c r="L1" s="24"/>
      <c r="M1" s="24"/>
      <c r="N1" s="24"/>
      <c r="O1" s="24"/>
      <c r="P1" s="24"/>
      <c r="Q1" s="24"/>
      <c r="R1" s="24"/>
      <c r="S1" s="24"/>
      <c r="T1" s="36"/>
      <c r="U1" s="24"/>
      <c r="V1" s="24"/>
      <c r="W1" s="36"/>
    </row>
    <row r="2" spans="1:129"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hidden="1" x14ac:dyDescent="0.25">
      <c r="A6" s="24"/>
      <c r="B6" s="24"/>
      <c r="C6" s="24"/>
      <c r="D6" s="24"/>
      <c r="E6" s="24"/>
      <c r="F6" s="24"/>
      <c r="G6" s="24"/>
      <c r="H6" s="24"/>
      <c r="I6" s="24"/>
      <c r="J6" s="205"/>
      <c r="K6" s="205"/>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97</v>
      </c>
      <c r="H7" s="41"/>
      <c r="I7" s="41"/>
      <c r="J7" s="206" t="s">
        <v>98</v>
      </c>
      <c r="K7" s="206"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27" customHeight="1" x14ac:dyDescent="0.25">
      <c r="A8" s="692" t="s">
        <v>167</v>
      </c>
      <c r="B8" s="766" t="s">
        <v>168</v>
      </c>
      <c r="C8" s="689" t="s">
        <v>169</v>
      </c>
      <c r="D8" s="692" t="s">
        <v>758</v>
      </c>
      <c r="E8" s="689" t="s">
        <v>116</v>
      </c>
      <c r="F8" s="710">
        <v>20000000</v>
      </c>
      <c r="G8" s="728">
        <v>0</v>
      </c>
      <c r="H8" s="692"/>
      <c r="I8" s="692"/>
      <c r="J8" s="687"/>
      <c r="K8" s="710">
        <v>13200000</v>
      </c>
      <c r="L8" s="758">
        <f>+F8+G8+H8+J8-K8</f>
        <v>6800000</v>
      </c>
      <c r="M8" s="742">
        <v>644719116</v>
      </c>
      <c r="N8" s="78" t="s">
        <v>933</v>
      </c>
      <c r="O8" s="154" t="s">
        <v>885</v>
      </c>
      <c r="P8" s="78" t="s">
        <v>934</v>
      </c>
      <c r="Q8" s="274"/>
      <c r="R8" s="46"/>
      <c r="S8" s="366"/>
      <c r="T8" s="273"/>
      <c r="U8" s="44"/>
      <c r="V8" s="44"/>
      <c r="W8" s="79"/>
      <c r="X8" s="44"/>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15" x14ac:dyDescent="0.25">
      <c r="A9" s="693"/>
      <c r="B9" s="767"/>
      <c r="C9" s="690"/>
      <c r="D9" s="694"/>
      <c r="E9" s="691"/>
      <c r="F9" s="712"/>
      <c r="G9" s="729"/>
      <c r="H9" s="694"/>
      <c r="I9" s="694"/>
      <c r="J9" s="698"/>
      <c r="K9" s="712"/>
      <c r="L9" s="759"/>
      <c r="M9" s="743"/>
      <c r="N9" s="343" t="s">
        <v>1551</v>
      </c>
      <c r="O9" s="457">
        <v>394</v>
      </c>
      <c r="P9" s="78" t="s">
        <v>1552</v>
      </c>
      <c r="Q9" s="274">
        <v>5557300</v>
      </c>
      <c r="R9" s="46"/>
      <c r="S9" s="366">
        <v>1122</v>
      </c>
      <c r="T9" s="273">
        <v>44803</v>
      </c>
      <c r="U9" s="274">
        <v>5557300</v>
      </c>
      <c r="V9" s="568">
        <v>4991</v>
      </c>
      <c r="W9" s="273">
        <v>44823</v>
      </c>
      <c r="X9" s="274">
        <v>5557300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27" x14ac:dyDescent="0.25">
      <c r="A10" s="693"/>
      <c r="B10" s="767"/>
      <c r="C10" s="690"/>
      <c r="D10" s="44" t="s">
        <v>759</v>
      </c>
      <c r="E10" s="8" t="s">
        <v>117</v>
      </c>
      <c r="F10" s="289">
        <v>10000000</v>
      </c>
      <c r="G10" s="64">
        <v>0</v>
      </c>
      <c r="H10" s="44"/>
      <c r="I10" s="45"/>
      <c r="J10" s="191"/>
      <c r="K10" s="191"/>
      <c r="L10" s="65">
        <f>+F10+G10+H10+J10-K10</f>
        <v>10000000</v>
      </c>
      <c r="M10" s="743"/>
      <c r="N10" s="153" t="s">
        <v>930</v>
      </c>
      <c r="O10" s="457" t="s">
        <v>925</v>
      </c>
      <c r="P10" s="38" t="s">
        <v>931</v>
      </c>
      <c r="Q10" s="274">
        <v>8860000</v>
      </c>
      <c r="R10" s="46"/>
      <c r="S10" s="38">
        <v>450</v>
      </c>
      <c r="T10" s="122" t="s">
        <v>1011</v>
      </c>
      <c r="U10" s="66">
        <v>8860000</v>
      </c>
      <c r="V10" s="568">
        <v>2530</v>
      </c>
      <c r="W10" s="273">
        <v>44693</v>
      </c>
      <c r="X10" s="267">
        <v>8860000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36.75" customHeight="1" x14ac:dyDescent="0.25">
      <c r="A11" s="693"/>
      <c r="B11" s="767"/>
      <c r="C11" s="690"/>
      <c r="D11" s="736" t="s">
        <v>838</v>
      </c>
      <c r="E11" s="689" t="s">
        <v>100</v>
      </c>
      <c r="F11" s="710">
        <v>600719116</v>
      </c>
      <c r="G11" s="728">
        <v>0</v>
      </c>
      <c r="H11" s="692"/>
      <c r="I11" s="692"/>
      <c r="J11" s="710">
        <f>13200000+12000000</f>
        <v>25200000</v>
      </c>
      <c r="K11" s="687"/>
      <c r="L11" s="758">
        <f>+F11+G11+H11+J11-K11</f>
        <v>625919116</v>
      </c>
      <c r="M11" s="743"/>
      <c r="N11" s="78" t="s">
        <v>511</v>
      </c>
      <c r="O11" s="457" t="s">
        <v>38</v>
      </c>
      <c r="P11" s="78" t="s">
        <v>534</v>
      </c>
      <c r="Q11" s="274">
        <v>3792000</v>
      </c>
      <c r="R11" s="46"/>
      <c r="S11" s="38">
        <v>243</v>
      </c>
      <c r="T11" s="122">
        <v>44588</v>
      </c>
      <c r="U11" s="66">
        <v>3792000</v>
      </c>
      <c r="V11" s="38">
        <v>1299</v>
      </c>
      <c r="W11" s="122">
        <v>44589</v>
      </c>
      <c r="X11" s="66">
        <v>3792000</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36.75" customHeight="1" x14ac:dyDescent="0.25">
      <c r="A12" s="693"/>
      <c r="B12" s="767"/>
      <c r="C12" s="690"/>
      <c r="D12" s="693"/>
      <c r="E12" s="690"/>
      <c r="F12" s="711"/>
      <c r="G12" s="735"/>
      <c r="H12" s="693"/>
      <c r="I12" s="693"/>
      <c r="J12" s="711"/>
      <c r="K12" s="688"/>
      <c r="L12" s="763"/>
      <c r="M12" s="743"/>
      <c r="N12" s="78" t="s">
        <v>512</v>
      </c>
      <c r="O12" s="457" t="s">
        <v>528</v>
      </c>
      <c r="P12" s="78" t="s">
        <v>535</v>
      </c>
      <c r="Q12" s="274">
        <v>38446600</v>
      </c>
      <c r="R12" s="46"/>
      <c r="S12" s="38">
        <v>242</v>
      </c>
      <c r="T12" s="122">
        <v>44588</v>
      </c>
      <c r="U12" s="66">
        <v>38446600</v>
      </c>
      <c r="V12" s="38">
        <v>1343</v>
      </c>
      <c r="W12" s="122">
        <v>44589</v>
      </c>
      <c r="X12" s="66">
        <v>38446600</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36.75" customHeight="1" x14ac:dyDescent="0.25">
      <c r="A13" s="693"/>
      <c r="B13" s="767"/>
      <c r="C13" s="690"/>
      <c r="D13" s="693"/>
      <c r="E13" s="690"/>
      <c r="F13" s="711"/>
      <c r="G13" s="735"/>
      <c r="H13" s="693"/>
      <c r="I13" s="693"/>
      <c r="J13" s="711"/>
      <c r="K13" s="688"/>
      <c r="L13" s="763"/>
      <c r="M13" s="743"/>
      <c r="N13" s="78" t="s">
        <v>513</v>
      </c>
      <c r="O13" s="457" t="s">
        <v>51</v>
      </c>
      <c r="P13" s="78" t="s">
        <v>536</v>
      </c>
      <c r="Q13" s="274">
        <v>29493300</v>
      </c>
      <c r="R13" s="46"/>
      <c r="S13" s="38">
        <v>184</v>
      </c>
      <c r="T13" s="122">
        <v>44587</v>
      </c>
      <c r="U13" s="66">
        <v>29493300</v>
      </c>
      <c r="V13" s="38">
        <v>1349</v>
      </c>
      <c r="W13" s="122">
        <v>44589</v>
      </c>
      <c r="X13" s="66">
        <v>29493300</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36.75" customHeight="1" x14ac:dyDescent="0.25">
      <c r="A14" s="693"/>
      <c r="B14" s="767"/>
      <c r="C14" s="690"/>
      <c r="D14" s="693"/>
      <c r="E14" s="690"/>
      <c r="F14" s="711"/>
      <c r="G14" s="735"/>
      <c r="H14" s="693"/>
      <c r="I14" s="693"/>
      <c r="J14" s="711"/>
      <c r="K14" s="688"/>
      <c r="L14" s="763"/>
      <c r="M14" s="743"/>
      <c r="N14" s="78" t="s">
        <v>514</v>
      </c>
      <c r="O14" s="457" t="s">
        <v>127</v>
      </c>
      <c r="P14" s="78" t="s">
        <v>537</v>
      </c>
      <c r="Q14" s="274">
        <v>29493300</v>
      </c>
      <c r="R14" s="46"/>
      <c r="S14" s="38">
        <v>189</v>
      </c>
      <c r="T14" s="122">
        <v>44587</v>
      </c>
      <c r="U14" s="66">
        <v>29493300</v>
      </c>
      <c r="V14" s="38">
        <v>1336</v>
      </c>
      <c r="W14" s="122">
        <v>44589</v>
      </c>
      <c r="X14" s="66">
        <v>29493300</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36.75" customHeight="1" x14ac:dyDescent="0.25">
      <c r="A15" s="693"/>
      <c r="B15" s="767"/>
      <c r="C15" s="690"/>
      <c r="D15" s="693"/>
      <c r="E15" s="690"/>
      <c r="F15" s="711"/>
      <c r="G15" s="735"/>
      <c r="H15" s="693"/>
      <c r="I15" s="693"/>
      <c r="J15" s="711"/>
      <c r="K15" s="688"/>
      <c r="L15" s="763"/>
      <c r="M15" s="743"/>
      <c r="N15" s="78" t="s">
        <v>2814</v>
      </c>
      <c r="O15" s="457" t="s">
        <v>35</v>
      </c>
      <c r="P15" s="78" t="s">
        <v>538</v>
      </c>
      <c r="Q15" s="274">
        <v>34886376</v>
      </c>
      <c r="R15" s="46"/>
      <c r="S15" s="38">
        <v>229</v>
      </c>
      <c r="T15" s="122">
        <v>44588</v>
      </c>
      <c r="U15" s="66">
        <v>34886376</v>
      </c>
      <c r="V15" s="38">
        <v>1338</v>
      </c>
      <c r="W15" s="122">
        <v>44589</v>
      </c>
      <c r="X15" s="66">
        <v>34886376</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36.75" customHeight="1" x14ac:dyDescent="0.25">
      <c r="A16" s="693"/>
      <c r="B16" s="767"/>
      <c r="C16" s="690"/>
      <c r="D16" s="693"/>
      <c r="E16" s="690"/>
      <c r="F16" s="711"/>
      <c r="G16" s="735"/>
      <c r="H16" s="693"/>
      <c r="I16" s="693"/>
      <c r="J16" s="711"/>
      <c r="K16" s="688"/>
      <c r="L16" s="763"/>
      <c r="M16" s="743"/>
      <c r="N16" s="78" t="s">
        <v>515</v>
      </c>
      <c r="O16" s="457" t="s">
        <v>32</v>
      </c>
      <c r="P16" s="78" t="s">
        <v>539</v>
      </c>
      <c r="Q16" s="274">
        <v>46346600</v>
      </c>
      <c r="R16" s="46"/>
      <c r="S16" s="38">
        <v>231</v>
      </c>
      <c r="T16" s="122">
        <v>44588</v>
      </c>
      <c r="U16" s="66">
        <v>46346600</v>
      </c>
      <c r="V16" s="38">
        <v>1340</v>
      </c>
      <c r="W16" s="122">
        <v>44589</v>
      </c>
      <c r="X16" s="66">
        <v>46346600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36.75" customHeight="1" x14ac:dyDescent="0.25">
      <c r="A17" s="693"/>
      <c r="B17" s="767"/>
      <c r="C17" s="690"/>
      <c r="D17" s="693"/>
      <c r="E17" s="690"/>
      <c r="F17" s="711"/>
      <c r="G17" s="735"/>
      <c r="H17" s="693"/>
      <c r="I17" s="693"/>
      <c r="J17" s="711"/>
      <c r="K17" s="688"/>
      <c r="L17" s="763"/>
      <c r="M17" s="743"/>
      <c r="N17" s="78" t="s">
        <v>516</v>
      </c>
      <c r="O17" s="457" t="s">
        <v>529</v>
      </c>
      <c r="P17" s="78" t="s">
        <v>540</v>
      </c>
      <c r="Q17" s="274">
        <v>24798057</v>
      </c>
      <c r="R17" s="46"/>
      <c r="S17" s="38">
        <v>227</v>
      </c>
      <c r="T17" s="122">
        <v>44588</v>
      </c>
      <c r="U17" s="274">
        <v>24798057</v>
      </c>
      <c r="V17" s="38">
        <v>1341</v>
      </c>
      <c r="W17" s="122">
        <v>44589</v>
      </c>
      <c r="X17" s="66">
        <v>24798057</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36.75" customHeight="1" x14ac:dyDescent="0.25">
      <c r="A18" s="693"/>
      <c r="B18" s="767"/>
      <c r="C18" s="690"/>
      <c r="D18" s="693"/>
      <c r="E18" s="690"/>
      <c r="F18" s="711"/>
      <c r="G18" s="735"/>
      <c r="H18" s="693"/>
      <c r="I18" s="693"/>
      <c r="J18" s="711"/>
      <c r="K18" s="688"/>
      <c r="L18" s="763"/>
      <c r="M18" s="743"/>
      <c r="N18" s="78" t="s">
        <v>517</v>
      </c>
      <c r="O18" s="457" t="s">
        <v>60</v>
      </c>
      <c r="P18" s="78" t="s">
        <v>541</v>
      </c>
      <c r="Q18" s="274">
        <v>31600000</v>
      </c>
      <c r="R18" s="46"/>
      <c r="S18" s="38">
        <v>232</v>
      </c>
      <c r="T18" s="122">
        <v>44588</v>
      </c>
      <c r="U18" s="66">
        <v>31600000</v>
      </c>
      <c r="V18" s="38">
        <v>1347</v>
      </c>
      <c r="W18" s="122">
        <v>44589</v>
      </c>
      <c r="X18" s="66">
        <v>31600000</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36.75" customHeight="1" x14ac:dyDescent="0.25">
      <c r="A19" s="693"/>
      <c r="B19" s="767"/>
      <c r="C19" s="690"/>
      <c r="D19" s="693"/>
      <c r="E19" s="690"/>
      <c r="F19" s="711"/>
      <c r="G19" s="735"/>
      <c r="H19" s="693"/>
      <c r="I19" s="693"/>
      <c r="J19" s="711"/>
      <c r="K19" s="688"/>
      <c r="L19" s="763"/>
      <c r="M19" s="743"/>
      <c r="N19" s="78" t="s">
        <v>518</v>
      </c>
      <c r="O19" s="457" t="s">
        <v>530</v>
      </c>
      <c r="P19" s="78" t="s">
        <v>542</v>
      </c>
      <c r="Q19" s="274">
        <v>30020000</v>
      </c>
      <c r="R19" s="46"/>
      <c r="S19" s="38">
        <v>196</v>
      </c>
      <c r="T19" s="122">
        <v>44587</v>
      </c>
      <c r="U19" s="66">
        <v>30020000</v>
      </c>
      <c r="V19" s="38">
        <v>1294</v>
      </c>
      <c r="W19" s="122">
        <v>44589</v>
      </c>
      <c r="X19" s="66">
        <v>30020000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50" customFormat="1" ht="36.75" customHeight="1" x14ac:dyDescent="0.25">
      <c r="A20" s="693"/>
      <c r="B20" s="767"/>
      <c r="C20" s="690"/>
      <c r="D20" s="693"/>
      <c r="E20" s="690"/>
      <c r="F20" s="711"/>
      <c r="G20" s="735"/>
      <c r="H20" s="693"/>
      <c r="I20" s="693"/>
      <c r="J20" s="711"/>
      <c r="K20" s="688"/>
      <c r="L20" s="763"/>
      <c r="M20" s="743"/>
      <c r="N20" s="78" t="s">
        <v>519</v>
      </c>
      <c r="O20" s="457" t="s">
        <v>231</v>
      </c>
      <c r="P20" s="78" t="s">
        <v>543</v>
      </c>
      <c r="Q20" s="274">
        <v>3460194</v>
      </c>
      <c r="R20" s="46"/>
      <c r="S20" s="38">
        <v>212</v>
      </c>
      <c r="T20" s="122">
        <v>44588</v>
      </c>
      <c r="U20" s="66">
        <v>3460194</v>
      </c>
      <c r="V20" s="38">
        <v>1342</v>
      </c>
      <c r="W20" s="122">
        <v>44589</v>
      </c>
      <c r="X20" s="66">
        <v>3460194</v>
      </c>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row>
    <row r="21" spans="1:129" s="50" customFormat="1" ht="36.75" customHeight="1" x14ac:dyDescent="0.25">
      <c r="A21" s="693"/>
      <c r="B21" s="767"/>
      <c r="C21" s="690"/>
      <c r="D21" s="693"/>
      <c r="E21" s="690"/>
      <c r="F21" s="711"/>
      <c r="G21" s="735"/>
      <c r="H21" s="693"/>
      <c r="I21" s="693"/>
      <c r="J21" s="711"/>
      <c r="K21" s="688"/>
      <c r="L21" s="763"/>
      <c r="M21" s="743"/>
      <c r="N21" s="78" t="s">
        <v>520</v>
      </c>
      <c r="O21" s="457" t="s">
        <v>531</v>
      </c>
      <c r="P21" s="78" t="s">
        <v>544</v>
      </c>
      <c r="Q21" s="274">
        <v>18600000</v>
      </c>
      <c r="R21" s="46"/>
      <c r="S21" s="38">
        <v>244</v>
      </c>
      <c r="T21" s="122">
        <v>44588</v>
      </c>
      <c r="U21" s="66">
        <v>18600000</v>
      </c>
      <c r="V21" s="38">
        <v>1300</v>
      </c>
      <c r="W21" s="122">
        <v>44589</v>
      </c>
      <c r="X21" s="66">
        <v>18600000</v>
      </c>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row>
    <row r="22" spans="1:129" s="50" customFormat="1" ht="36.75" customHeight="1" x14ac:dyDescent="0.25">
      <c r="A22" s="693"/>
      <c r="B22" s="767"/>
      <c r="C22" s="690"/>
      <c r="D22" s="693"/>
      <c r="E22" s="690"/>
      <c r="F22" s="711"/>
      <c r="G22" s="735"/>
      <c r="H22" s="693"/>
      <c r="I22" s="693"/>
      <c r="J22" s="711"/>
      <c r="K22" s="688"/>
      <c r="L22" s="763"/>
      <c r="M22" s="743"/>
      <c r="N22" s="78" t="s">
        <v>521</v>
      </c>
      <c r="O22" s="457" t="s">
        <v>39</v>
      </c>
      <c r="P22" s="78" t="s">
        <v>545</v>
      </c>
      <c r="Q22" s="274">
        <v>13400000</v>
      </c>
      <c r="R22" s="46"/>
      <c r="S22" s="38">
        <v>245</v>
      </c>
      <c r="T22" s="122">
        <v>44588</v>
      </c>
      <c r="U22" s="66">
        <v>13400000</v>
      </c>
      <c r="V22" s="38">
        <v>1344</v>
      </c>
      <c r="W22" s="122">
        <v>44589</v>
      </c>
      <c r="X22" s="66">
        <v>13400000</v>
      </c>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row>
    <row r="23" spans="1:129" s="50" customFormat="1" ht="36.75" customHeight="1" x14ac:dyDescent="0.25">
      <c r="A23" s="693"/>
      <c r="B23" s="767"/>
      <c r="C23" s="690"/>
      <c r="D23" s="693"/>
      <c r="E23" s="690"/>
      <c r="F23" s="711"/>
      <c r="G23" s="735"/>
      <c r="H23" s="693"/>
      <c r="I23" s="693"/>
      <c r="J23" s="711"/>
      <c r="K23" s="688"/>
      <c r="L23" s="763"/>
      <c r="M23" s="743"/>
      <c r="N23" s="78" t="s">
        <v>522</v>
      </c>
      <c r="O23" s="457" t="s">
        <v>61</v>
      </c>
      <c r="P23" s="78" t="s">
        <v>546</v>
      </c>
      <c r="Q23" s="274">
        <v>11200000</v>
      </c>
      <c r="R23" s="46"/>
      <c r="S23" s="38">
        <v>240</v>
      </c>
      <c r="T23" s="122">
        <v>44588</v>
      </c>
      <c r="U23" s="66">
        <v>11200000</v>
      </c>
      <c r="V23" s="38">
        <v>1302</v>
      </c>
      <c r="W23" s="122">
        <v>44589</v>
      </c>
      <c r="X23" s="66">
        <v>11200000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row>
    <row r="24" spans="1:129" s="50" customFormat="1" ht="36.75" customHeight="1" x14ac:dyDescent="0.25">
      <c r="A24" s="693"/>
      <c r="B24" s="767"/>
      <c r="C24" s="690"/>
      <c r="D24" s="693"/>
      <c r="E24" s="690"/>
      <c r="F24" s="711"/>
      <c r="G24" s="735"/>
      <c r="H24" s="693"/>
      <c r="I24" s="693"/>
      <c r="J24" s="711"/>
      <c r="K24" s="688"/>
      <c r="L24" s="763"/>
      <c r="M24" s="743"/>
      <c r="N24" s="78" t="s">
        <v>523</v>
      </c>
      <c r="O24" s="457" t="s">
        <v>36</v>
      </c>
      <c r="P24" s="78" t="s">
        <v>547</v>
      </c>
      <c r="Q24" s="274">
        <v>2800000</v>
      </c>
      <c r="R24" s="46"/>
      <c r="S24" s="38">
        <v>241</v>
      </c>
      <c r="T24" s="122">
        <v>44588</v>
      </c>
      <c r="U24" s="66">
        <v>2800000</v>
      </c>
      <c r="V24" s="38">
        <v>1303</v>
      </c>
      <c r="W24" s="122">
        <v>44589</v>
      </c>
      <c r="X24" s="66">
        <v>2800000</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row>
    <row r="25" spans="1:129" s="50" customFormat="1" ht="36.75" customHeight="1" x14ac:dyDescent="0.25">
      <c r="A25" s="693"/>
      <c r="B25" s="767"/>
      <c r="C25" s="690"/>
      <c r="D25" s="693"/>
      <c r="E25" s="690"/>
      <c r="F25" s="711"/>
      <c r="G25" s="735"/>
      <c r="H25" s="693"/>
      <c r="I25" s="693"/>
      <c r="J25" s="711"/>
      <c r="K25" s="688"/>
      <c r="L25" s="763"/>
      <c r="M25" s="743"/>
      <c r="N25" s="78" t="s">
        <v>524</v>
      </c>
      <c r="O25" s="457" t="s">
        <v>53</v>
      </c>
      <c r="P25" s="78" t="s">
        <v>548</v>
      </c>
      <c r="Q25" s="274">
        <v>14600000</v>
      </c>
      <c r="R25" s="46"/>
      <c r="S25" s="38">
        <v>236</v>
      </c>
      <c r="T25" s="122">
        <v>44588</v>
      </c>
      <c r="U25" s="66">
        <v>14600000</v>
      </c>
      <c r="V25" s="38">
        <v>1345</v>
      </c>
      <c r="W25" s="122">
        <v>44589</v>
      </c>
      <c r="X25" s="66">
        <v>14600000</v>
      </c>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row>
    <row r="26" spans="1:129" s="50" customFormat="1" ht="36.75" customHeight="1" x14ac:dyDescent="0.25">
      <c r="A26" s="693"/>
      <c r="B26" s="767"/>
      <c r="C26" s="690"/>
      <c r="D26" s="693"/>
      <c r="E26" s="690"/>
      <c r="F26" s="711"/>
      <c r="G26" s="735"/>
      <c r="H26" s="693"/>
      <c r="I26" s="693"/>
      <c r="J26" s="711"/>
      <c r="K26" s="688"/>
      <c r="L26" s="763"/>
      <c r="M26" s="743"/>
      <c r="N26" s="78" t="s">
        <v>525</v>
      </c>
      <c r="O26" s="457" t="s">
        <v>59</v>
      </c>
      <c r="P26" s="78" t="s">
        <v>549</v>
      </c>
      <c r="Q26" s="274">
        <v>38446600</v>
      </c>
      <c r="R26" s="46"/>
      <c r="S26" s="38">
        <v>202</v>
      </c>
      <c r="T26" s="122">
        <v>44587</v>
      </c>
      <c r="U26" s="66">
        <v>38446600</v>
      </c>
      <c r="V26" s="38">
        <v>1348</v>
      </c>
      <c r="W26" s="122">
        <v>44589</v>
      </c>
      <c r="X26" s="66">
        <v>38446600</v>
      </c>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row>
    <row r="27" spans="1:129" s="50" customFormat="1" ht="36.75" customHeight="1" x14ac:dyDescent="0.25">
      <c r="A27" s="693"/>
      <c r="B27" s="767"/>
      <c r="C27" s="690"/>
      <c r="D27" s="693"/>
      <c r="E27" s="690"/>
      <c r="F27" s="711"/>
      <c r="G27" s="735"/>
      <c r="H27" s="693"/>
      <c r="I27" s="693"/>
      <c r="J27" s="711"/>
      <c r="K27" s="688"/>
      <c r="L27" s="763"/>
      <c r="M27" s="743"/>
      <c r="N27" s="78" t="s">
        <v>526</v>
      </c>
      <c r="O27" s="457" t="s">
        <v>532</v>
      </c>
      <c r="P27" s="78" t="s">
        <v>550</v>
      </c>
      <c r="Q27" s="274">
        <v>12000000</v>
      </c>
      <c r="R27" s="46"/>
      <c r="S27" s="38">
        <v>271</v>
      </c>
      <c r="T27" s="122">
        <v>44589</v>
      </c>
      <c r="U27" s="66">
        <v>12000000</v>
      </c>
      <c r="V27" s="38">
        <v>1296</v>
      </c>
      <c r="W27" s="122">
        <v>44589</v>
      </c>
      <c r="X27" s="66">
        <v>12000000</v>
      </c>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row>
    <row r="28" spans="1:129" s="50" customFormat="1" ht="36.75" customHeight="1" x14ac:dyDescent="0.25">
      <c r="A28" s="693"/>
      <c r="B28" s="767"/>
      <c r="C28" s="690"/>
      <c r="D28" s="693"/>
      <c r="E28" s="690"/>
      <c r="F28" s="711"/>
      <c r="G28" s="735"/>
      <c r="H28" s="693"/>
      <c r="I28" s="693"/>
      <c r="J28" s="711"/>
      <c r="K28" s="688"/>
      <c r="L28" s="763"/>
      <c r="M28" s="743"/>
      <c r="N28" s="78" t="s">
        <v>527</v>
      </c>
      <c r="O28" s="457" t="s">
        <v>533</v>
      </c>
      <c r="P28" s="78" t="s">
        <v>551</v>
      </c>
      <c r="Q28" s="274">
        <v>21600000</v>
      </c>
      <c r="R28" s="46"/>
      <c r="S28" s="38">
        <v>270</v>
      </c>
      <c r="T28" s="122">
        <v>44589</v>
      </c>
      <c r="U28" s="66">
        <v>21600000</v>
      </c>
      <c r="V28" s="38">
        <v>1298</v>
      </c>
      <c r="W28" s="122" t="s">
        <v>856</v>
      </c>
      <c r="X28" s="66">
        <v>21600000</v>
      </c>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row>
    <row r="29" spans="1:129" s="50" customFormat="1" ht="15" x14ac:dyDescent="0.25">
      <c r="A29" s="693"/>
      <c r="B29" s="767"/>
      <c r="C29" s="690"/>
      <c r="D29" s="693"/>
      <c r="E29" s="690"/>
      <c r="F29" s="711"/>
      <c r="G29" s="735"/>
      <c r="H29" s="693"/>
      <c r="I29" s="693"/>
      <c r="J29" s="711"/>
      <c r="K29" s="688"/>
      <c r="L29" s="763"/>
      <c r="M29" s="743"/>
      <c r="N29" s="78" t="s">
        <v>935</v>
      </c>
      <c r="O29" s="457" t="s">
        <v>926</v>
      </c>
      <c r="P29" s="78" t="s">
        <v>939</v>
      </c>
      <c r="Q29" s="274">
        <v>31147000</v>
      </c>
      <c r="R29" s="46"/>
      <c r="S29" s="38">
        <v>482</v>
      </c>
      <c r="T29" s="122" t="s">
        <v>1010</v>
      </c>
      <c r="U29" s="66">
        <v>31147000</v>
      </c>
      <c r="V29" s="38">
        <v>2474</v>
      </c>
      <c r="W29" s="122">
        <v>44690</v>
      </c>
      <c r="X29" s="267">
        <v>31147000</v>
      </c>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row>
    <row r="30" spans="1:129" s="50" customFormat="1" ht="15" x14ac:dyDescent="0.25">
      <c r="A30" s="693"/>
      <c r="B30" s="767"/>
      <c r="C30" s="690"/>
      <c r="D30" s="693"/>
      <c r="E30" s="690"/>
      <c r="F30" s="711"/>
      <c r="G30" s="735"/>
      <c r="H30" s="693"/>
      <c r="I30" s="693"/>
      <c r="J30" s="711"/>
      <c r="K30" s="688"/>
      <c r="L30" s="763"/>
      <c r="M30" s="743"/>
      <c r="N30" s="78" t="s">
        <v>936</v>
      </c>
      <c r="O30" s="457" t="s">
        <v>927</v>
      </c>
      <c r="P30" s="78" t="s">
        <v>940</v>
      </c>
      <c r="Q30" s="274">
        <v>23893980</v>
      </c>
      <c r="R30" s="46"/>
      <c r="S30" s="38">
        <v>481</v>
      </c>
      <c r="T30" s="122" t="s">
        <v>1010</v>
      </c>
      <c r="U30" s="66">
        <v>23893980</v>
      </c>
      <c r="V30" s="38">
        <v>2473</v>
      </c>
      <c r="W30" s="122">
        <v>44690</v>
      </c>
      <c r="X30" s="274">
        <v>23893980</v>
      </c>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row>
    <row r="31" spans="1:129" s="50" customFormat="1" ht="15" x14ac:dyDescent="0.25">
      <c r="A31" s="693"/>
      <c r="B31" s="767"/>
      <c r="C31" s="690"/>
      <c r="D31" s="693"/>
      <c r="E31" s="690"/>
      <c r="F31" s="711"/>
      <c r="G31" s="735"/>
      <c r="H31" s="693"/>
      <c r="I31" s="693"/>
      <c r="J31" s="711"/>
      <c r="K31" s="688"/>
      <c r="L31" s="763"/>
      <c r="M31" s="743"/>
      <c r="N31" s="78" t="s">
        <v>937</v>
      </c>
      <c r="O31" s="457" t="s">
        <v>928</v>
      </c>
      <c r="P31" s="78" t="s">
        <v>941</v>
      </c>
      <c r="Q31" s="274">
        <v>15504400</v>
      </c>
      <c r="R31" s="46"/>
      <c r="S31" s="38">
        <v>493</v>
      </c>
      <c r="T31" s="122" t="s">
        <v>1012</v>
      </c>
      <c r="U31" s="66">
        <v>15504400</v>
      </c>
      <c r="V31" s="38">
        <v>3298</v>
      </c>
      <c r="W31" s="122">
        <v>44743</v>
      </c>
      <c r="X31" s="274">
        <v>15504400</v>
      </c>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row>
    <row r="32" spans="1:129" s="50" customFormat="1" ht="15" x14ac:dyDescent="0.25">
      <c r="A32" s="693"/>
      <c r="B32" s="767"/>
      <c r="C32" s="690"/>
      <c r="D32" s="693"/>
      <c r="E32" s="690"/>
      <c r="F32" s="711"/>
      <c r="G32" s="735"/>
      <c r="H32" s="693"/>
      <c r="I32" s="693"/>
      <c r="J32" s="711"/>
      <c r="K32" s="688"/>
      <c r="L32" s="763"/>
      <c r="M32" s="743"/>
      <c r="N32" s="78" t="s">
        <v>938</v>
      </c>
      <c r="O32" s="154" t="s">
        <v>885</v>
      </c>
      <c r="P32" s="78" t="s">
        <v>942</v>
      </c>
      <c r="Q32" s="274"/>
      <c r="R32" s="46"/>
      <c r="S32" s="38"/>
      <c r="T32" s="122"/>
      <c r="U32" s="66"/>
      <c r="V32" s="38"/>
      <c r="W32" s="122"/>
      <c r="X32" s="66"/>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row>
    <row r="33" spans="1:129" s="50" customFormat="1" ht="15" x14ac:dyDescent="0.25">
      <c r="A33" s="693"/>
      <c r="B33" s="767"/>
      <c r="C33" s="690"/>
      <c r="D33" s="693"/>
      <c r="E33" s="690"/>
      <c r="F33" s="711"/>
      <c r="G33" s="735"/>
      <c r="H33" s="693"/>
      <c r="I33" s="693"/>
      <c r="J33" s="711"/>
      <c r="K33" s="688"/>
      <c r="L33" s="763"/>
      <c r="M33" s="743"/>
      <c r="N33" s="78" t="s">
        <v>1324</v>
      </c>
      <c r="O33" s="457" t="s">
        <v>1325</v>
      </c>
      <c r="P33" s="78" t="s">
        <v>1326</v>
      </c>
      <c r="Q33" s="274">
        <v>3000000</v>
      </c>
      <c r="R33" s="46"/>
      <c r="S33" s="250">
        <v>607</v>
      </c>
      <c r="T33" s="122">
        <v>44699</v>
      </c>
      <c r="U33" s="267">
        <v>3000000</v>
      </c>
      <c r="V33" s="250">
        <v>2758</v>
      </c>
      <c r="W33" s="122">
        <v>44712</v>
      </c>
      <c r="X33" s="267">
        <v>3000000</v>
      </c>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row>
    <row r="34" spans="1:129" s="50" customFormat="1" ht="15" x14ac:dyDescent="0.25">
      <c r="A34" s="693"/>
      <c r="B34" s="767"/>
      <c r="C34" s="690"/>
      <c r="D34" s="693"/>
      <c r="E34" s="690"/>
      <c r="F34" s="711"/>
      <c r="G34" s="735"/>
      <c r="H34" s="693"/>
      <c r="I34" s="693"/>
      <c r="J34" s="711"/>
      <c r="K34" s="688"/>
      <c r="L34" s="763"/>
      <c r="M34" s="743"/>
      <c r="N34" s="78" t="s">
        <v>1327</v>
      </c>
      <c r="O34" s="457" t="s">
        <v>1328</v>
      </c>
      <c r="P34" s="78" t="s">
        <v>1329</v>
      </c>
      <c r="Q34" s="274">
        <v>3350000</v>
      </c>
      <c r="R34" s="46"/>
      <c r="S34" s="250">
        <v>673</v>
      </c>
      <c r="T34" s="122">
        <v>44712</v>
      </c>
      <c r="U34" s="267">
        <v>3350000</v>
      </c>
      <c r="V34" s="250">
        <v>2791</v>
      </c>
      <c r="W34" s="122">
        <v>44713</v>
      </c>
      <c r="X34" s="267">
        <v>3350000</v>
      </c>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row>
    <row r="35" spans="1:129" s="50" customFormat="1" ht="15" x14ac:dyDescent="0.25">
      <c r="A35" s="693"/>
      <c r="B35" s="767"/>
      <c r="C35" s="690"/>
      <c r="D35" s="693"/>
      <c r="E35" s="690"/>
      <c r="F35" s="711"/>
      <c r="G35" s="735"/>
      <c r="H35" s="693"/>
      <c r="I35" s="693"/>
      <c r="J35" s="711"/>
      <c r="K35" s="688"/>
      <c r="L35" s="763"/>
      <c r="M35" s="743"/>
      <c r="N35" s="78" t="s">
        <v>1330</v>
      </c>
      <c r="O35" s="457" t="s">
        <v>1331</v>
      </c>
      <c r="P35" s="78" t="s">
        <v>1332</v>
      </c>
      <c r="Q35" s="274">
        <v>4500000</v>
      </c>
      <c r="R35" s="46"/>
      <c r="S35" s="250">
        <v>718</v>
      </c>
      <c r="T35" s="122">
        <v>44725</v>
      </c>
      <c r="U35" s="267">
        <v>4500000</v>
      </c>
      <c r="V35" s="250">
        <v>3009</v>
      </c>
      <c r="W35" s="122">
        <v>44735</v>
      </c>
      <c r="X35" s="66">
        <v>4500000</v>
      </c>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row>
    <row r="36" spans="1:129" s="50" customFormat="1" ht="15" x14ac:dyDescent="0.25">
      <c r="A36" s="693"/>
      <c r="B36" s="767"/>
      <c r="C36" s="690"/>
      <c r="D36" s="693"/>
      <c r="E36" s="690"/>
      <c r="F36" s="711"/>
      <c r="G36" s="735"/>
      <c r="H36" s="693"/>
      <c r="I36" s="693"/>
      <c r="J36" s="711"/>
      <c r="K36" s="688"/>
      <c r="L36" s="763"/>
      <c r="M36" s="743"/>
      <c r="N36" s="78" t="s">
        <v>1333</v>
      </c>
      <c r="O36" s="457" t="s">
        <v>1334</v>
      </c>
      <c r="P36" s="78" t="s">
        <v>1335</v>
      </c>
      <c r="Q36" s="274">
        <v>24900000</v>
      </c>
      <c r="R36" s="46"/>
      <c r="S36" s="250">
        <v>806</v>
      </c>
      <c r="T36" s="122">
        <v>44754</v>
      </c>
      <c r="U36" s="66">
        <v>24900000</v>
      </c>
      <c r="V36" s="250">
        <v>3528</v>
      </c>
      <c r="W36" s="122">
        <v>44757</v>
      </c>
      <c r="X36" s="274">
        <v>24900000</v>
      </c>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row>
    <row r="37" spans="1:129" s="50" customFormat="1" ht="15" x14ac:dyDescent="0.25">
      <c r="A37" s="693"/>
      <c r="B37" s="767"/>
      <c r="C37" s="690"/>
      <c r="D37" s="693"/>
      <c r="E37" s="690"/>
      <c r="F37" s="711"/>
      <c r="G37" s="735"/>
      <c r="H37" s="693"/>
      <c r="I37" s="693"/>
      <c r="J37" s="711"/>
      <c r="K37" s="688"/>
      <c r="L37" s="763"/>
      <c r="M37" s="743"/>
      <c r="N37" s="78" t="s">
        <v>1336</v>
      </c>
      <c r="O37" s="457" t="s">
        <v>1337</v>
      </c>
      <c r="P37" s="78" t="s">
        <v>1338</v>
      </c>
      <c r="Q37" s="274">
        <v>15504400</v>
      </c>
      <c r="R37" s="46"/>
      <c r="S37" s="250">
        <v>805</v>
      </c>
      <c r="T37" s="122">
        <v>44754</v>
      </c>
      <c r="U37" s="66">
        <v>15504400</v>
      </c>
      <c r="V37" s="250">
        <v>3527</v>
      </c>
      <c r="W37" s="122">
        <v>44757</v>
      </c>
      <c r="X37" s="274">
        <v>15504400</v>
      </c>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row>
    <row r="38" spans="1:129" s="50" customFormat="1" ht="15" x14ac:dyDescent="0.25">
      <c r="A38" s="693"/>
      <c r="B38" s="767"/>
      <c r="C38" s="690"/>
      <c r="D38" s="693"/>
      <c r="E38" s="690"/>
      <c r="F38" s="711"/>
      <c r="G38" s="735"/>
      <c r="H38" s="693"/>
      <c r="I38" s="693"/>
      <c r="J38" s="711"/>
      <c r="K38" s="688"/>
      <c r="L38" s="763"/>
      <c r="M38" s="743"/>
      <c r="N38" s="78" t="s">
        <v>1553</v>
      </c>
      <c r="O38" s="457">
        <v>381</v>
      </c>
      <c r="P38" s="78" t="s">
        <v>1557</v>
      </c>
      <c r="Q38" s="274">
        <v>23250000</v>
      </c>
      <c r="R38" s="46"/>
      <c r="S38" s="38">
        <v>1058</v>
      </c>
      <c r="T38" s="122">
        <v>44795</v>
      </c>
      <c r="U38" s="66">
        <v>23250000</v>
      </c>
      <c r="V38" s="38">
        <v>4752</v>
      </c>
      <c r="W38" s="122">
        <v>44805</v>
      </c>
      <c r="X38" s="274">
        <v>23250000</v>
      </c>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row>
    <row r="39" spans="1:129" s="50" customFormat="1" ht="15" x14ac:dyDescent="0.25">
      <c r="A39" s="693"/>
      <c r="B39" s="767"/>
      <c r="C39" s="690"/>
      <c r="D39" s="309"/>
      <c r="E39" s="318"/>
      <c r="F39" s="312"/>
      <c r="G39" s="316"/>
      <c r="H39" s="309"/>
      <c r="I39" s="48"/>
      <c r="J39" s="312"/>
      <c r="K39" s="324"/>
      <c r="L39" s="310"/>
      <c r="M39" s="743"/>
      <c r="N39" s="78" t="s">
        <v>1554</v>
      </c>
      <c r="O39" s="457">
        <v>429</v>
      </c>
      <c r="P39" s="78" t="s">
        <v>1558</v>
      </c>
      <c r="Q39" s="274">
        <v>16546667</v>
      </c>
      <c r="R39" s="46"/>
      <c r="S39" s="329">
        <v>981</v>
      </c>
      <c r="T39" s="273">
        <v>44778</v>
      </c>
      <c r="U39" s="274">
        <v>16546667</v>
      </c>
      <c r="V39" s="329">
        <v>4413</v>
      </c>
      <c r="W39" s="273">
        <v>44782</v>
      </c>
      <c r="X39" s="274">
        <v>16546667</v>
      </c>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row>
    <row r="40" spans="1:129" s="50" customFormat="1" ht="15" x14ac:dyDescent="0.25">
      <c r="A40" s="693"/>
      <c r="B40" s="767"/>
      <c r="C40" s="690"/>
      <c r="D40" s="309"/>
      <c r="E40" s="318"/>
      <c r="F40" s="312"/>
      <c r="G40" s="316"/>
      <c r="H40" s="309"/>
      <c r="I40" s="48"/>
      <c r="J40" s="312"/>
      <c r="K40" s="324"/>
      <c r="L40" s="310"/>
      <c r="M40" s="743"/>
      <c r="N40" s="78" t="s">
        <v>1555</v>
      </c>
      <c r="O40" s="457">
        <v>511</v>
      </c>
      <c r="P40" s="78" t="s">
        <v>1559</v>
      </c>
      <c r="Q40" s="274">
        <v>13623333</v>
      </c>
      <c r="R40" s="46"/>
      <c r="S40" s="329">
        <v>1019</v>
      </c>
      <c r="T40" s="273">
        <v>44783</v>
      </c>
      <c r="U40" s="274">
        <v>13623333</v>
      </c>
      <c r="V40" s="329">
        <v>4751</v>
      </c>
      <c r="W40" s="273">
        <v>44805</v>
      </c>
      <c r="X40" s="274">
        <v>13623333</v>
      </c>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row>
    <row r="41" spans="1:129" s="50" customFormat="1" ht="15" x14ac:dyDescent="0.25">
      <c r="A41" s="693"/>
      <c r="B41" s="767"/>
      <c r="C41" s="690"/>
      <c r="D41" s="309"/>
      <c r="E41" s="318"/>
      <c r="F41" s="312"/>
      <c r="G41" s="316"/>
      <c r="H41" s="309"/>
      <c r="I41" s="48"/>
      <c r="J41" s="312"/>
      <c r="K41" s="324"/>
      <c r="L41" s="310"/>
      <c r="M41" s="743"/>
      <c r="N41" s="78" t="s">
        <v>1556</v>
      </c>
      <c r="O41" s="457">
        <v>513</v>
      </c>
      <c r="P41" s="78" t="s">
        <v>1560</v>
      </c>
      <c r="Q41" s="274">
        <v>17893333</v>
      </c>
      <c r="R41" s="46"/>
      <c r="S41" s="329">
        <v>1066</v>
      </c>
      <c r="T41" s="273">
        <v>44797</v>
      </c>
      <c r="U41" s="274">
        <v>17893333</v>
      </c>
      <c r="V41" s="329">
        <v>4868</v>
      </c>
      <c r="W41" s="273">
        <v>44806</v>
      </c>
      <c r="X41" s="274">
        <v>17893333</v>
      </c>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row>
    <row r="42" spans="1:129" s="50" customFormat="1" ht="15" x14ac:dyDescent="0.25">
      <c r="A42" s="693"/>
      <c r="B42" s="767"/>
      <c r="C42" s="690"/>
      <c r="D42" s="309"/>
      <c r="E42" s="318"/>
      <c r="F42" s="312"/>
      <c r="G42" s="316"/>
      <c r="H42" s="309"/>
      <c r="I42" s="48"/>
      <c r="J42" s="312"/>
      <c r="K42" s="324"/>
      <c r="L42" s="310"/>
      <c r="M42" s="743"/>
      <c r="N42" s="78" t="s">
        <v>2267</v>
      </c>
      <c r="O42" s="457" t="s">
        <v>2268</v>
      </c>
      <c r="P42" s="78" t="s">
        <v>2269</v>
      </c>
      <c r="Q42" s="274">
        <v>4870000</v>
      </c>
      <c r="R42" s="46"/>
      <c r="S42" s="329">
        <v>1358</v>
      </c>
      <c r="T42" s="273" t="s">
        <v>2774</v>
      </c>
      <c r="U42" s="274">
        <v>4870000</v>
      </c>
      <c r="V42" s="329">
        <v>5693</v>
      </c>
      <c r="W42" s="273" t="s">
        <v>2771</v>
      </c>
      <c r="X42" s="274">
        <v>4870000</v>
      </c>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row>
    <row r="43" spans="1:129" s="50" customFormat="1" ht="15" x14ac:dyDescent="0.25">
      <c r="A43" s="693"/>
      <c r="B43" s="767"/>
      <c r="C43" s="690"/>
      <c r="D43" s="309"/>
      <c r="E43" s="318"/>
      <c r="F43" s="312"/>
      <c r="G43" s="316"/>
      <c r="H43" s="309"/>
      <c r="I43" s="48"/>
      <c r="J43" s="312"/>
      <c r="K43" s="324"/>
      <c r="L43" s="310"/>
      <c r="M43" s="743"/>
      <c r="N43" s="78" t="s">
        <v>2270</v>
      </c>
      <c r="O43" s="457" t="s">
        <v>2271</v>
      </c>
      <c r="P43" s="78" t="s">
        <v>2272</v>
      </c>
      <c r="Q43" s="274">
        <v>1704000</v>
      </c>
      <c r="R43" s="46"/>
      <c r="S43" s="329">
        <v>1515</v>
      </c>
      <c r="T43" s="273" t="s">
        <v>2784</v>
      </c>
      <c r="U43" s="274">
        <v>1704000</v>
      </c>
      <c r="V43" s="329">
        <v>6045</v>
      </c>
      <c r="W43" s="273" t="s">
        <v>2789</v>
      </c>
      <c r="X43" s="274">
        <v>1704000</v>
      </c>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row>
    <row r="44" spans="1:129" s="50" customFormat="1" ht="15" x14ac:dyDescent="0.25">
      <c r="A44" s="693"/>
      <c r="B44" s="767"/>
      <c r="C44" s="690"/>
      <c r="D44" s="409"/>
      <c r="E44" s="414"/>
      <c r="F44" s="422"/>
      <c r="G44" s="417"/>
      <c r="H44" s="409"/>
      <c r="I44" s="48"/>
      <c r="J44" s="422"/>
      <c r="K44" s="430"/>
      <c r="L44" s="426"/>
      <c r="M44" s="743"/>
      <c r="N44" s="78" t="s">
        <v>2273</v>
      </c>
      <c r="O44" s="457" t="s">
        <v>2274</v>
      </c>
      <c r="P44" s="78" t="s">
        <v>2275</v>
      </c>
      <c r="Q44" s="274">
        <v>1400000</v>
      </c>
      <c r="R44" s="46"/>
      <c r="S44" s="443">
        <v>1517</v>
      </c>
      <c r="T44" s="273" t="s">
        <v>2784</v>
      </c>
      <c r="U44" s="274">
        <v>1400000</v>
      </c>
      <c r="V44" s="443">
        <v>6046</v>
      </c>
      <c r="W44" s="273" t="s">
        <v>2789</v>
      </c>
      <c r="X44" s="274">
        <v>1400000</v>
      </c>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row>
    <row r="45" spans="1:129" s="50" customFormat="1" ht="27" x14ac:dyDescent="0.25">
      <c r="A45" s="693"/>
      <c r="B45" s="767"/>
      <c r="C45" s="690"/>
      <c r="D45" s="44" t="s">
        <v>760</v>
      </c>
      <c r="E45" s="69" t="s">
        <v>119</v>
      </c>
      <c r="F45" s="289">
        <v>2000000</v>
      </c>
      <c r="G45" s="66">
        <v>0</v>
      </c>
      <c r="H45" s="44"/>
      <c r="I45" s="45"/>
      <c r="J45" s="191"/>
      <c r="K45" s="191"/>
      <c r="L45" s="65">
        <f>+F45+G45+H45+J45-K45</f>
        <v>2000000</v>
      </c>
      <c r="M45" s="743"/>
      <c r="N45" s="78" t="s">
        <v>893</v>
      </c>
      <c r="O45" s="467" t="s">
        <v>929</v>
      </c>
      <c r="P45" s="442" t="s">
        <v>932</v>
      </c>
      <c r="Q45" s="274">
        <v>1949034</v>
      </c>
      <c r="R45" s="46"/>
      <c r="S45" s="268">
        <v>517</v>
      </c>
      <c r="T45" s="79">
        <v>44670</v>
      </c>
      <c r="U45" s="267">
        <v>1949034</v>
      </c>
      <c r="V45" s="44">
        <v>3413</v>
      </c>
      <c r="W45" s="79">
        <v>44748</v>
      </c>
      <c r="X45" s="274">
        <v>1949034</v>
      </c>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row>
    <row r="46" spans="1:129" s="50" customFormat="1" ht="27" x14ac:dyDescent="0.25">
      <c r="A46" s="694"/>
      <c r="B46" s="768"/>
      <c r="C46" s="691"/>
      <c r="D46" s="44" t="s">
        <v>761</v>
      </c>
      <c r="E46" s="69" t="s">
        <v>120</v>
      </c>
      <c r="F46" s="289">
        <v>12000000</v>
      </c>
      <c r="G46" s="66">
        <v>0</v>
      </c>
      <c r="H46" s="44"/>
      <c r="I46" s="45"/>
      <c r="J46" s="191"/>
      <c r="K46" s="274">
        <v>12000000</v>
      </c>
      <c r="L46" s="65">
        <f>+F46+G46+H46+J46-K46</f>
        <v>0</v>
      </c>
      <c r="M46" s="744"/>
      <c r="N46" s="44"/>
      <c r="O46" s="44"/>
      <c r="P46" s="44"/>
      <c r="Q46" s="44"/>
      <c r="R46" s="46"/>
      <c r="S46" s="44"/>
      <c r="T46" s="79"/>
      <c r="U46" s="44"/>
      <c r="V46" s="44"/>
      <c r="W46" s="79"/>
      <c r="X46" s="44"/>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row>
    <row r="47" spans="1:129" s="107" customFormat="1" ht="15" x14ac:dyDescent="0.25">
      <c r="A47" s="92"/>
      <c r="B47" s="92"/>
      <c r="C47" s="92"/>
      <c r="D47" s="92"/>
      <c r="E47" s="104"/>
      <c r="F47" s="101"/>
      <c r="G47" s="101"/>
      <c r="H47" s="92"/>
      <c r="I47" s="93"/>
      <c r="J47" s="101"/>
      <c r="K47" s="101"/>
      <c r="L47" s="102">
        <f>SUM(L8:L46)</f>
        <v>644719116</v>
      </c>
      <c r="M47" s="101"/>
      <c r="N47" s="105"/>
      <c r="O47" s="86"/>
      <c r="P47" s="95"/>
      <c r="Q47" s="103">
        <f>SUM(Q8:Q46)</f>
        <v>622436474</v>
      </c>
      <c r="R47" s="89"/>
      <c r="S47" s="86"/>
      <c r="T47" s="95"/>
      <c r="U47" s="103">
        <f>SUM(U8:U46)</f>
        <v>622436474</v>
      </c>
      <c r="V47" s="86"/>
      <c r="W47" s="95"/>
      <c r="X47" s="103">
        <f>SUM(X8:X46)</f>
        <v>622436474</v>
      </c>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row>
    <row r="48" spans="1:129" s="50" customFormat="1" ht="63" customHeight="1" x14ac:dyDescent="0.25">
      <c r="A48" s="692" t="s">
        <v>1054</v>
      </c>
      <c r="B48" s="760" t="s">
        <v>249</v>
      </c>
      <c r="C48" s="689" t="s">
        <v>169</v>
      </c>
      <c r="D48" s="176" t="s">
        <v>811</v>
      </c>
      <c r="E48" s="177" t="s">
        <v>244</v>
      </c>
      <c r="F48" s="174">
        <v>0</v>
      </c>
      <c r="G48" s="288">
        <v>167206900</v>
      </c>
      <c r="H48" s="176"/>
      <c r="I48" s="85"/>
      <c r="J48" s="288">
        <v>132000000</v>
      </c>
      <c r="K48" s="181"/>
      <c r="L48" s="175">
        <f>+F48+G48+H48+J48-K48</f>
        <v>299206900</v>
      </c>
      <c r="M48" s="742">
        <v>1366938381</v>
      </c>
      <c r="N48" s="78" t="s">
        <v>1339</v>
      </c>
      <c r="O48" s="457">
        <v>296</v>
      </c>
      <c r="P48" s="78" t="s">
        <v>1340</v>
      </c>
      <c r="Q48" s="274">
        <v>294843920</v>
      </c>
      <c r="R48" s="46"/>
      <c r="S48" s="178">
        <v>601</v>
      </c>
      <c r="T48" s="79">
        <v>44697</v>
      </c>
      <c r="U48" s="267">
        <v>294843920</v>
      </c>
      <c r="V48" s="178">
        <v>4901</v>
      </c>
      <c r="W48" s="79">
        <v>44812</v>
      </c>
      <c r="X48" s="274">
        <v>294843920</v>
      </c>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row>
    <row r="49" spans="1:129" s="50" customFormat="1" ht="27" x14ac:dyDescent="0.25">
      <c r="A49" s="693"/>
      <c r="B49" s="761"/>
      <c r="C49" s="690"/>
      <c r="D49" s="178" t="s">
        <v>812</v>
      </c>
      <c r="E49" s="8" t="s">
        <v>165</v>
      </c>
      <c r="F49" s="66">
        <v>0</v>
      </c>
      <c r="G49" s="289">
        <v>689086841</v>
      </c>
      <c r="H49" s="178"/>
      <c r="I49" s="45"/>
      <c r="J49" s="191"/>
      <c r="K49" s="289">
        <v>16000000</v>
      </c>
      <c r="L49" s="65">
        <f>+F49+G49+H49+J49-K49</f>
        <v>673086841</v>
      </c>
      <c r="M49" s="743"/>
      <c r="N49" s="78" t="s">
        <v>1341</v>
      </c>
      <c r="O49" s="457" t="s">
        <v>1342</v>
      </c>
      <c r="P49" s="78" t="s">
        <v>1343</v>
      </c>
      <c r="Q49" s="274">
        <v>671041000</v>
      </c>
      <c r="R49" s="46"/>
      <c r="S49" s="178">
        <v>610</v>
      </c>
      <c r="T49" s="79">
        <v>44701</v>
      </c>
      <c r="U49" s="267">
        <v>671041000</v>
      </c>
      <c r="V49" s="178">
        <v>5890</v>
      </c>
      <c r="W49" s="79" t="s">
        <v>2806</v>
      </c>
      <c r="X49" s="274">
        <v>671041000</v>
      </c>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row>
    <row r="50" spans="1:129" s="50" customFormat="1" ht="25.5" x14ac:dyDescent="0.25">
      <c r="A50" s="694"/>
      <c r="B50" s="762"/>
      <c r="C50" s="691"/>
      <c r="D50" s="178" t="s">
        <v>814</v>
      </c>
      <c r="E50" s="8" t="s">
        <v>123</v>
      </c>
      <c r="F50" s="66">
        <v>0</v>
      </c>
      <c r="G50" s="289">
        <v>510644640</v>
      </c>
      <c r="H50" s="178"/>
      <c r="I50" s="45"/>
      <c r="J50" s="191"/>
      <c r="K50" s="289">
        <v>116000000</v>
      </c>
      <c r="L50" s="65">
        <f>+F50+G50+H50+J50-K50</f>
        <v>394644640</v>
      </c>
      <c r="M50" s="744"/>
      <c r="N50" s="78" t="s">
        <v>1344</v>
      </c>
      <c r="O50" s="457" t="s">
        <v>1345</v>
      </c>
      <c r="P50" s="78" t="s">
        <v>1346</v>
      </c>
      <c r="Q50" s="274">
        <v>384277542</v>
      </c>
      <c r="R50" s="46"/>
      <c r="S50" s="178">
        <v>592</v>
      </c>
      <c r="T50" s="79">
        <v>44687</v>
      </c>
      <c r="U50" s="267">
        <v>384277542</v>
      </c>
      <c r="V50" s="178">
        <v>4605</v>
      </c>
      <c r="W50" s="79">
        <v>44797</v>
      </c>
      <c r="X50" s="274">
        <v>384277542</v>
      </c>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row>
    <row r="51" spans="1:129" s="50" customFormat="1" ht="15.75" thickBot="1" x14ac:dyDescent="0.3">
      <c r="A51" s="86"/>
      <c r="B51" s="86"/>
      <c r="C51" s="86"/>
      <c r="D51" s="86"/>
      <c r="E51" s="118"/>
      <c r="F51" s="96"/>
      <c r="G51" s="96"/>
      <c r="H51" s="86"/>
      <c r="I51" s="87"/>
      <c r="J51" s="103"/>
      <c r="K51" s="103"/>
      <c r="L51" s="88">
        <f>SUM(L48:L50)</f>
        <v>1366938381</v>
      </c>
      <c r="M51" s="86"/>
      <c r="N51" s="86"/>
      <c r="O51" s="86"/>
      <c r="P51" s="86"/>
      <c r="Q51" s="103">
        <f>SUM(Q48:Q50)</f>
        <v>1350162462</v>
      </c>
      <c r="R51" s="89"/>
      <c r="S51" s="90"/>
      <c r="T51" s="91"/>
      <c r="U51" s="94">
        <f>SUM(U48:U50)</f>
        <v>1350162462</v>
      </c>
      <c r="V51" s="90"/>
      <c r="W51" s="91"/>
      <c r="X51" s="121">
        <f>SUM(X48:X50)</f>
        <v>1350162462</v>
      </c>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row>
    <row r="52" spans="1:129" s="63" customFormat="1" ht="17.25" thickBot="1" x14ac:dyDescent="0.35">
      <c r="A52" s="51"/>
      <c r="B52" s="51"/>
      <c r="C52" s="42"/>
      <c r="D52" s="42"/>
      <c r="E52" s="42"/>
      <c r="F52" s="52"/>
      <c r="G52" s="42"/>
      <c r="H52" s="42"/>
      <c r="I52" s="43"/>
      <c r="J52" s="207" t="s">
        <v>29</v>
      </c>
      <c r="K52" s="208"/>
      <c r="L52" s="55">
        <f>+L47+L51</f>
        <v>2011657497</v>
      </c>
      <c r="M52" s="56"/>
      <c r="N52" s="56"/>
      <c r="O52" s="56"/>
      <c r="P52" s="56"/>
      <c r="Q52" s="67">
        <f>+Q47+Q51</f>
        <v>1972598936</v>
      </c>
      <c r="R52" s="57">
        <f>(Q52*1)/L52</f>
        <v>0.98058389111553612</v>
      </c>
      <c r="S52" s="58"/>
      <c r="T52" s="59"/>
      <c r="U52" s="60">
        <f>+U47+U51</f>
        <v>1972598936</v>
      </c>
      <c r="V52" s="58"/>
      <c r="W52" s="59"/>
      <c r="X52" s="61">
        <f>+X47+X51</f>
        <v>1972598936</v>
      </c>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row>
    <row r="53" spans="1:129" ht="15" x14ac:dyDescent="0.25">
      <c r="R53" s="4"/>
    </row>
    <row r="54" spans="1:129" ht="15" x14ac:dyDescent="0.25">
      <c r="Q54" s="39"/>
      <c r="R54" s="6"/>
      <c r="S54" s="39"/>
    </row>
    <row r="55" spans="1:129" ht="15" x14ac:dyDescent="0.25">
      <c r="L55" s="610"/>
      <c r="Q55" s="39"/>
      <c r="R55" s="6"/>
      <c r="S55" s="39"/>
    </row>
    <row r="56" spans="1:129" ht="15" x14ac:dyDescent="0.25">
      <c r="Q56" s="39"/>
      <c r="R56" s="6"/>
      <c r="S56" s="39"/>
    </row>
    <row r="57" spans="1:129" ht="15" x14ac:dyDescent="0.25">
      <c r="Q57" s="39"/>
      <c r="R57" s="6"/>
      <c r="S57" s="39"/>
    </row>
    <row r="58" spans="1:129" ht="15" x14ac:dyDescent="0.25">
      <c r="Q58" s="39"/>
      <c r="R58" s="6"/>
      <c r="S58" s="39"/>
    </row>
    <row r="59" spans="1:129" ht="15" x14ac:dyDescent="0.25">
      <c r="Q59" s="39"/>
      <c r="R59" s="6"/>
      <c r="S59" s="39"/>
    </row>
    <row r="60" spans="1:129" ht="15" x14ac:dyDescent="0.25">
      <c r="Q60" s="39"/>
      <c r="R60" s="6"/>
      <c r="S60" s="39"/>
    </row>
    <row r="61" spans="1:129" ht="15" x14ac:dyDescent="0.25">
      <c r="Q61" s="39"/>
      <c r="R61" s="6"/>
      <c r="S61" s="39"/>
    </row>
    <row r="62" spans="1:129" ht="15" x14ac:dyDescent="0.25">
      <c r="Q62" s="39"/>
      <c r="R62" s="7"/>
      <c r="S62" s="39"/>
    </row>
    <row r="63" spans="1:129" ht="15" x14ac:dyDescent="0.25"/>
    <row r="64" spans="1:129"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customHeight="1" x14ac:dyDescent="0.25"/>
    <row r="106" ht="15"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sheetData>
  <sheetProtection algorithmName="SHA-512" hashValue="LJ1W571y98Kc8E7+xgYXdglihbOaI0EYHPDi+oSgqYW503B1FvbfMAOxFSa9Cb9FISPYgq1YdIga/u2zGlcmqw==" saltValue="Kcz/q5ZVju7Vr1qs50l36w==" spinCount="100000" sheet="1" objects="1" scenarios="1" selectLockedCells="1" selectUnlockedCells="1"/>
  <mergeCells count="34">
    <mergeCell ref="I8:I9"/>
    <mergeCell ref="J8:J9"/>
    <mergeCell ref="K8:K9"/>
    <mergeCell ref="L8:L9"/>
    <mergeCell ref="H8:H9"/>
    <mergeCell ref="F8:F9"/>
    <mergeCell ref="E8:E9"/>
    <mergeCell ref="D8:D9"/>
    <mergeCell ref="G8:G9"/>
    <mergeCell ref="E11:E38"/>
    <mergeCell ref="F11:F38"/>
    <mergeCell ref="G11:G38"/>
    <mergeCell ref="L11:L38"/>
    <mergeCell ref="D11:D38"/>
    <mergeCell ref="H11:H38"/>
    <mergeCell ref="I11:I38"/>
    <mergeCell ref="J11:J38"/>
    <mergeCell ref="K11:K38"/>
    <mergeCell ref="A48:A50"/>
    <mergeCell ref="B48:B50"/>
    <mergeCell ref="C48:C50"/>
    <mergeCell ref="M48:M50"/>
    <mergeCell ref="W2:X2"/>
    <mergeCell ref="B3:V3"/>
    <mergeCell ref="W3:X3"/>
    <mergeCell ref="B4:V5"/>
    <mergeCell ref="W4:X4"/>
    <mergeCell ref="W5:X5"/>
    <mergeCell ref="A8:A46"/>
    <mergeCell ref="B8:B46"/>
    <mergeCell ref="C8:C46"/>
    <mergeCell ref="M8:M46"/>
    <mergeCell ref="A2:A5"/>
    <mergeCell ref="B2:V2"/>
  </mergeCells>
  <conditionalFormatting sqref="R62:R1048576 R52 R7:R46">
    <cfRule type="cellIs" dxfId="1069" priority="21" operator="between">
      <formula>0.51</formula>
      <formula>0.69</formula>
    </cfRule>
    <cfRule type="cellIs" dxfId="1068" priority="22" operator="between">
      <formula>0.51</formula>
      <formula>0.69</formula>
    </cfRule>
    <cfRule type="cellIs" dxfId="1067" priority="23" operator="lessThan">
      <formula>0.5</formula>
    </cfRule>
    <cfRule type="cellIs" dxfId="1066" priority="24" operator="greaterThan">
      <formula>0.7</formula>
    </cfRule>
    <cfRule type="cellIs" dxfId="1065" priority="25" operator="between">
      <formula>0.51</formula>
      <formula>0.69</formula>
    </cfRule>
    <cfRule type="cellIs" dxfId="1064" priority="26" operator="lessThan">
      <formula>50</formula>
    </cfRule>
    <cfRule type="cellIs" dxfId="1063" priority="27" operator="greaterThan">
      <formula>0.7</formula>
    </cfRule>
    <cfRule type="cellIs" dxfId="1062" priority="28" operator="between">
      <formula>0.51</formula>
      <formula>0.69</formula>
    </cfRule>
    <cfRule type="cellIs" dxfId="1061" priority="29" operator="lessThan">
      <formula>0.5</formula>
    </cfRule>
    <cfRule type="cellIs" dxfId="1060" priority="30" operator="greaterThan">
      <formula>0.7</formula>
    </cfRule>
  </conditionalFormatting>
  <conditionalFormatting sqref="R47">
    <cfRule type="cellIs" dxfId="1059" priority="11" operator="between">
      <formula>0.51</formula>
      <formula>0.69</formula>
    </cfRule>
    <cfRule type="cellIs" dxfId="1058" priority="12" operator="between">
      <formula>0.51</formula>
      <formula>0.69</formula>
    </cfRule>
    <cfRule type="cellIs" dxfId="1057" priority="13" operator="lessThan">
      <formula>0.5</formula>
    </cfRule>
    <cfRule type="cellIs" dxfId="1056" priority="14" operator="greaterThan">
      <formula>0.7</formula>
    </cfRule>
    <cfRule type="cellIs" dxfId="1055" priority="15" operator="between">
      <formula>0.51</formula>
      <formula>0.69</formula>
    </cfRule>
    <cfRule type="cellIs" dxfId="1054" priority="16" operator="lessThan">
      <formula>50</formula>
    </cfRule>
    <cfRule type="cellIs" dxfId="1053" priority="17" operator="greaterThan">
      <formula>0.7</formula>
    </cfRule>
    <cfRule type="cellIs" dxfId="1052" priority="18" operator="between">
      <formula>0.51</formula>
      <formula>0.69</formula>
    </cfRule>
    <cfRule type="cellIs" dxfId="1051" priority="19" operator="lessThan">
      <formula>0.5</formula>
    </cfRule>
    <cfRule type="cellIs" dxfId="1050" priority="20" operator="greaterThan">
      <formula>0.7</formula>
    </cfRule>
  </conditionalFormatting>
  <conditionalFormatting sqref="R48:R51">
    <cfRule type="cellIs" dxfId="1049" priority="1" operator="between">
      <formula>0.51</formula>
      <formula>0.69</formula>
    </cfRule>
    <cfRule type="cellIs" dxfId="1048" priority="2" operator="between">
      <formula>0.51</formula>
      <formula>0.69</formula>
    </cfRule>
    <cfRule type="cellIs" dxfId="1047" priority="3" operator="lessThan">
      <formula>0.5</formula>
    </cfRule>
    <cfRule type="cellIs" dxfId="1046" priority="4" operator="greaterThan">
      <formula>0.7</formula>
    </cfRule>
    <cfRule type="cellIs" dxfId="1045" priority="5" operator="between">
      <formula>0.51</formula>
      <formula>0.69</formula>
    </cfRule>
    <cfRule type="cellIs" dxfId="1044" priority="6" operator="lessThan">
      <formula>50</formula>
    </cfRule>
    <cfRule type="cellIs" dxfId="1043" priority="7" operator="greaterThan">
      <formula>0.7</formula>
    </cfRule>
    <cfRule type="cellIs" dxfId="1042" priority="8" operator="between">
      <formula>0.51</formula>
      <formula>0.69</formula>
    </cfRule>
    <cfRule type="cellIs" dxfId="1041" priority="9" operator="lessThan">
      <formula>0.5</formula>
    </cfRule>
    <cfRule type="cellIs" dxfId="1040" priority="10" operator="greaterThan">
      <formula>0.7</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482B"/>
  </sheetPr>
  <dimension ref="A1:EB853"/>
  <sheetViews>
    <sheetView showGridLines="0" topLeftCell="A7" zoomScale="80" zoomScaleNormal="80" workbookViewId="0">
      <selection activeCell="U13" sqref="U13"/>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6.85546875" style="40" hidden="1" customWidth="1"/>
    <col min="9" max="9" width="12.7109375" style="40" hidden="1" customWidth="1"/>
    <col min="10" max="10" width="15.140625" style="40" hidden="1" customWidth="1"/>
    <col min="11" max="11" width="15" style="40" hidden="1" customWidth="1"/>
    <col min="12" max="12" width="18.7109375" style="40" customWidth="1"/>
    <col min="13" max="13" width="17.7109375" style="40" bestFit="1" customWidth="1"/>
    <col min="14" max="14" width="15.7109375" style="40" customWidth="1"/>
    <col min="15" max="15" width="11.42578125" style="40" customWidth="1"/>
    <col min="16" max="16" width="15.42578125" style="40" customWidth="1"/>
    <col min="17" max="17" width="16.5703125" style="40" bestFit="1" customWidth="1"/>
    <col min="18" max="18" width="11.5703125" style="3" bestFit="1" customWidth="1"/>
    <col min="19" max="19" width="11.42578125" style="40" customWidth="1"/>
    <col min="20" max="20" width="16.7109375" style="35" bestFit="1" customWidth="1"/>
    <col min="21" max="21" width="16.5703125" style="40" bestFit="1" customWidth="1"/>
    <col min="22" max="22" width="11.42578125" style="40" customWidth="1"/>
    <col min="23" max="23" width="14.5703125" style="35" customWidth="1"/>
    <col min="24" max="24" width="19" style="40" bestFit="1" customWidth="1"/>
    <col min="25" max="129" width="11.5703125" style="39" hidden="1" customWidth="1"/>
    <col min="130" max="132" width="11.5703125" style="40" hidden="1" customWidth="1"/>
    <col min="133" max="16384" width="11.42578125" style="40" hidden="1"/>
  </cols>
  <sheetData>
    <row r="1" spans="1:129" ht="15" hidden="1" x14ac:dyDescent="0.25">
      <c r="A1" s="24"/>
      <c r="B1" s="25"/>
      <c r="C1" s="25"/>
      <c r="D1" s="26"/>
      <c r="E1" s="26"/>
      <c r="F1" s="27"/>
      <c r="G1" s="28"/>
      <c r="H1" s="28"/>
      <c r="I1" s="28"/>
      <c r="J1" s="28"/>
      <c r="K1" s="29"/>
      <c r="L1" s="24"/>
      <c r="M1" s="24"/>
      <c r="N1" s="24"/>
      <c r="O1" s="24"/>
      <c r="P1" s="24"/>
      <c r="Q1" s="24"/>
      <c r="R1" s="24"/>
      <c r="S1" s="24"/>
      <c r="T1" s="36"/>
      <c r="U1" s="24"/>
      <c r="V1" s="24"/>
      <c r="W1" s="36"/>
    </row>
    <row r="2" spans="1:129"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hidden="1"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97</v>
      </c>
      <c r="H7" s="41" t="s">
        <v>1134</v>
      </c>
      <c r="I7" s="41"/>
      <c r="J7" s="41" t="s">
        <v>98</v>
      </c>
      <c r="K7" s="41" t="s">
        <v>99</v>
      </c>
      <c r="L7" s="41" t="s">
        <v>3</v>
      </c>
      <c r="M7" s="41" t="s">
        <v>4</v>
      </c>
      <c r="N7" s="41" t="s">
        <v>28</v>
      </c>
      <c r="O7" s="41" t="s">
        <v>21</v>
      </c>
      <c r="P7" s="41" t="s">
        <v>65</v>
      </c>
      <c r="Q7" s="41" t="s">
        <v>31</v>
      </c>
      <c r="R7" s="32" t="s">
        <v>62</v>
      </c>
      <c r="S7" s="125" t="s">
        <v>22</v>
      </c>
      <c r="T7" s="126" t="s">
        <v>23</v>
      </c>
      <c r="U7" s="125" t="s">
        <v>24</v>
      </c>
      <c r="V7" s="125" t="s">
        <v>25</v>
      </c>
      <c r="W7" s="126" t="s">
        <v>26</v>
      </c>
      <c r="X7" s="125"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127" customFormat="1" ht="25.5" x14ac:dyDescent="0.25">
      <c r="A8" s="692" t="s">
        <v>148</v>
      </c>
      <c r="B8" s="760" t="s">
        <v>149</v>
      </c>
      <c r="C8" s="689" t="s">
        <v>9</v>
      </c>
      <c r="D8" s="44" t="s">
        <v>752</v>
      </c>
      <c r="E8" s="8" t="s">
        <v>150</v>
      </c>
      <c r="F8" s="289">
        <v>7487700</v>
      </c>
      <c r="G8" s="66">
        <v>0</v>
      </c>
      <c r="H8" s="44"/>
      <c r="I8" s="45"/>
      <c r="J8" s="44"/>
      <c r="K8" s="44"/>
      <c r="L8" s="65">
        <f>+F8+G8+H8+J8-K8</f>
        <v>7487700</v>
      </c>
      <c r="M8" s="742">
        <v>41881000</v>
      </c>
      <c r="N8" s="80" t="s">
        <v>1776</v>
      </c>
      <c r="O8" s="457">
        <v>538</v>
      </c>
      <c r="P8" s="80" t="s">
        <v>1777</v>
      </c>
      <c r="Q8" s="345">
        <v>7412700</v>
      </c>
      <c r="R8" s="46"/>
      <c r="S8" s="44">
        <v>1057</v>
      </c>
      <c r="T8" s="79">
        <v>44795</v>
      </c>
      <c r="U8" s="345">
        <v>7412700</v>
      </c>
      <c r="V8" s="44">
        <v>4962</v>
      </c>
      <c r="W8" s="79">
        <v>44818</v>
      </c>
      <c r="X8" s="274">
        <v>7412700</v>
      </c>
    </row>
    <row r="9" spans="1:129" s="127" customFormat="1" ht="40.5" x14ac:dyDescent="0.25">
      <c r="A9" s="693"/>
      <c r="B9" s="761"/>
      <c r="C9" s="690"/>
      <c r="D9" s="44" t="s">
        <v>753</v>
      </c>
      <c r="E9" s="8" t="s">
        <v>151</v>
      </c>
      <c r="F9" s="289">
        <v>9112300</v>
      </c>
      <c r="G9" s="64">
        <v>0</v>
      </c>
      <c r="H9" s="44"/>
      <c r="I9" s="45"/>
      <c r="J9" s="44"/>
      <c r="K9" s="44"/>
      <c r="L9" s="65">
        <f t="shared" ref="L9:L11" si="0">+F9+G9+H9+J9-K9</f>
        <v>9112300</v>
      </c>
      <c r="M9" s="743"/>
      <c r="N9" s="80" t="s">
        <v>1947</v>
      </c>
      <c r="O9" s="457" t="s">
        <v>1951</v>
      </c>
      <c r="P9" s="80" t="s">
        <v>1949</v>
      </c>
      <c r="Q9" s="345">
        <v>5577104</v>
      </c>
      <c r="R9" s="46"/>
      <c r="S9" s="44">
        <v>1112</v>
      </c>
      <c r="T9" s="79">
        <v>44798</v>
      </c>
      <c r="U9" s="345">
        <v>5577104</v>
      </c>
      <c r="V9" s="44">
        <v>5034</v>
      </c>
      <c r="W9" s="79">
        <v>44826</v>
      </c>
      <c r="X9" s="274">
        <v>5577104</v>
      </c>
    </row>
    <row r="10" spans="1:129" s="127" customFormat="1" ht="15" x14ac:dyDescent="0.25">
      <c r="A10" s="693"/>
      <c r="B10" s="761"/>
      <c r="C10" s="690"/>
      <c r="D10" s="330"/>
      <c r="E10" s="8"/>
      <c r="F10" s="289"/>
      <c r="G10" s="244"/>
      <c r="H10" s="330"/>
      <c r="I10" s="45"/>
      <c r="J10" s="330"/>
      <c r="K10" s="330"/>
      <c r="L10" s="65"/>
      <c r="M10" s="743"/>
      <c r="N10" s="80" t="s">
        <v>1948</v>
      </c>
      <c r="O10" s="457" t="s">
        <v>1952</v>
      </c>
      <c r="P10" s="80" t="s">
        <v>1950</v>
      </c>
      <c r="Q10" s="345">
        <v>2799000</v>
      </c>
      <c r="R10" s="46"/>
      <c r="S10" s="330">
        <v>1190</v>
      </c>
      <c r="T10" s="79">
        <v>44826</v>
      </c>
      <c r="U10" s="345">
        <v>2799000</v>
      </c>
      <c r="V10" s="330">
        <v>5574</v>
      </c>
      <c r="W10" s="79" t="s">
        <v>2779</v>
      </c>
      <c r="X10" s="345">
        <v>2799000</v>
      </c>
    </row>
    <row r="11" spans="1:129" s="127" customFormat="1" ht="40.5" x14ac:dyDescent="0.25">
      <c r="A11" s="694"/>
      <c r="B11" s="762"/>
      <c r="C11" s="691"/>
      <c r="D11" s="44" t="s">
        <v>754</v>
      </c>
      <c r="E11" s="69" t="s">
        <v>152</v>
      </c>
      <c r="F11" s="289">
        <v>25281000</v>
      </c>
      <c r="G11" s="66">
        <v>0</v>
      </c>
      <c r="H11" s="44"/>
      <c r="I11" s="45"/>
      <c r="J11" s="44"/>
      <c r="K11" s="44"/>
      <c r="L11" s="65">
        <f t="shared" si="0"/>
        <v>25281000</v>
      </c>
      <c r="M11" s="744"/>
      <c r="N11" s="78" t="s">
        <v>1957</v>
      </c>
      <c r="O11" s="457" t="s">
        <v>1958</v>
      </c>
      <c r="P11" s="80" t="s">
        <v>1955</v>
      </c>
      <c r="Q11" s="345">
        <v>4340100</v>
      </c>
      <c r="R11" s="46"/>
      <c r="S11" s="44">
        <v>1151</v>
      </c>
      <c r="T11" s="79">
        <v>44810</v>
      </c>
      <c r="U11" s="345">
        <v>4340100</v>
      </c>
      <c r="V11" s="44">
        <v>5347</v>
      </c>
      <c r="W11" s="79" t="s">
        <v>2811</v>
      </c>
      <c r="X11" s="345">
        <v>4340100</v>
      </c>
    </row>
    <row r="12" spans="1:129" s="49" customFormat="1" ht="15" x14ac:dyDescent="0.25">
      <c r="A12" s="303"/>
      <c r="B12" s="323"/>
      <c r="C12" s="306"/>
      <c r="D12" s="303"/>
      <c r="E12" s="137"/>
      <c r="F12" s="313"/>
      <c r="G12" s="317"/>
      <c r="H12" s="303"/>
      <c r="I12" s="85"/>
      <c r="J12" s="303"/>
      <c r="K12" s="303"/>
      <c r="L12" s="304"/>
      <c r="M12" s="305"/>
      <c r="N12" s="78" t="s">
        <v>1948</v>
      </c>
      <c r="O12" s="457" t="s">
        <v>1959</v>
      </c>
      <c r="P12" s="80" t="s">
        <v>1956</v>
      </c>
      <c r="Q12" s="345">
        <v>20268000</v>
      </c>
      <c r="R12" s="46"/>
      <c r="S12" s="330">
        <v>1190</v>
      </c>
      <c r="T12" s="79">
        <v>44826</v>
      </c>
      <c r="U12" s="345">
        <v>20268000</v>
      </c>
      <c r="V12" s="330">
        <v>5574</v>
      </c>
      <c r="W12" s="79" t="s">
        <v>2779</v>
      </c>
      <c r="X12" s="345">
        <v>20268000</v>
      </c>
    </row>
    <row r="13" spans="1:129" s="107" customFormat="1" ht="15" x14ac:dyDescent="0.25">
      <c r="A13" s="92"/>
      <c r="B13" s="92"/>
      <c r="C13" s="92"/>
      <c r="D13" s="92"/>
      <c r="E13" s="104"/>
      <c r="F13" s="101"/>
      <c r="G13" s="101"/>
      <c r="H13" s="92"/>
      <c r="I13" s="93"/>
      <c r="J13" s="92"/>
      <c r="K13" s="92"/>
      <c r="L13" s="102">
        <f>SUM(L8:L11)</f>
        <v>41881000</v>
      </c>
      <c r="M13" s="101"/>
      <c r="N13" s="105"/>
      <c r="O13" s="86"/>
      <c r="P13" s="95"/>
      <c r="Q13" s="103">
        <f>SUM(Q8:Q12)</f>
        <v>40396904</v>
      </c>
      <c r="R13" s="89"/>
      <c r="S13" s="86"/>
      <c r="T13" s="95"/>
      <c r="U13" s="103">
        <f>SUM(U8:U12)</f>
        <v>40396904</v>
      </c>
      <c r="V13" s="86"/>
      <c r="W13" s="95"/>
      <c r="X13" s="103">
        <f>SUM(X8:X12)</f>
        <v>40396904</v>
      </c>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row>
    <row r="14" spans="1:129" s="112" customFormat="1" ht="27" x14ac:dyDescent="0.25">
      <c r="A14" s="692" t="s">
        <v>1084</v>
      </c>
      <c r="B14" s="770" t="s">
        <v>1085</v>
      </c>
      <c r="C14" s="699" t="s">
        <v>1087</v>
      </c>
      <c r="D14" s="183" t="s">
        <v>1153</v>
      </c>
      <c r="E14" s="192" t="s">
        <v>978</v>
      </c>
      <c r="F14" s="198"/>
      <c r="G14" s="198"/>
      <c r="H14" s="288">
        <v>1000000</v>
      </c>
      <c r="I14" s="228"/>
      <c r="J14" s="228"/>
      <c r="K14" s="228"/>
      <c r="L14" s="65">
        <f t="shared" ref="L14:L37" si="1">+F14+G14+H14+J14-K14</f>
        <v>1000000</v>
      </c>
      <c r="M14" s="742">
        <v>49010000</v>
      </c>
      <c r="N14" s="78" t="s">
        <v>2276</v>
      </c>
      <c r="O14" s="457" t="s">
        <v>2279</v>
      </c>
      <c r="P14" s="81" t="s">
        <v>2280</v>
      </c>
      <c r="Q14" s="345">
        <v>995316</v>
      </c>
      <c r="R14" s="46"/>
      <c r="S14" s="330">
        <v>1283</v>
      </c>
      <c r="T14" s="79" t="s">
        <v>2785</v>
      </c>
      <c r="U14" s="345">
        <v>995316</v>
      </c>
      <c r="V14" s="182">
        <v>5571</v>
      </c>
      <c r="W14" s="47" t="s">
        <v>2779</v>
      </c>
      <c r="X14" s="345">
        <v>995316</v>
      </c>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row>
    <row r="15" spans="1:129" s="112" customFormat="1" ht="40.5" x14ac:dyDescent="0.25">
      <c r="A15" s="693"/>
      <c r="B15" s="771"/>
      <c r="C15" s="700"/>
      <c r="D15" s="197" t="s">
        <v>1154</v>
      </c>
      <c r="E15" s="192" t="s">
        <v>138</v>
      </c>
      <c r="F15" s="198"/>
      <c r="G15" s="198"/>
      <c r="H15" s="288">
        <v>2000000</v>
      </c>
      <c r="I15" s="228"/>
      <c r="J15" s="228"/>
      <c r="K15" s="228"/>
      <c r="L15" s="223">
        <f t="shared" si="1"/>
        <v>2000000</v>
      </c>
      <c r="M15" s="743"/>
      <c r="N15" s="468"/>
      <c r="O15" s="197"/>
      <c r="P15" s="469"/>
      <c r="Q15" s="470"/>
      <c r="R15" s="46"/>
      <c r="S15" s="330"/>
      <c r="T15" s="79"/>
      <c r="U15" s="432"/>
      <c r="V15" s="196"/>
      <c r="W15" s="47"/>
      <c r="X15" s="210"/>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row>
    <row r="16" spans="1:129" s="112" customFormat="1" ht="27" x14ac:dyDescent="0.25">
      <c r="A16" s="693"/>
      <c r="B16" s="771"/>
      <c r="C16" s="700"/>
      <c r="D16" s="197" t="s">
        <v>1155</v>
      </c>
      <c r="E16" s="192" t="s">
        <v>116</v>
      </c>
      <c r="F16" s="198"/>
      <c r="G16" s="198"/>
      <c r="H16" s="288">
        <v>4000000</v>
      </c>
      <c r="I16" s="228"/>
      <c r="J16" s="228"/>
      <c r="K16" s="228"/>
      <c r="L16" s="223">
        <f t="shared" si="1"/>
        <v>4000000</v>
      </c>
      <c r="M16" s="743"/>
      <c r="N16" s="468"/>
      <c r="O16" s="197"/>
      <c r="P16" s="469"/>
      <c r="Q16" s="470"/>
      <c r="R16" s="46"/>
      <c r="S16" s="330"/>
      <c r="T16" s="79"/>
      <c r="U16" s="432"/>
      <c r="V16" s="196"/>
      <c r="W16" s="47"/>
      <c r="X16" s="210"/>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row>
    <row r="17" spans="1:129" s="112" customFormat="1" ht="27" x14ac:dyDescent="0.25">
      <c r="A17" s="693"/>
      <c r="B17" s="771"/>
      <c r="C17" s="700"/>
      <c r="D17" s="197" t="s">
        <v>1156</v>
      </c>
      <c r="E17" s="192" t="s">
        <v>165</v>
      </c>
      <c r="F17" s="198"/>
      <c r="G17" s="198"/>
      <c r="H17" s="288">
        <v>5500000</v>
      </c>
      <c r="I17" s="228"/>
      <c r="J17" s="228"/>
      <c r="K17" s="228"/>
      <c r="L17" s="223">
        <f t="shared" si="1"/>
        <v>5500000</v>
      </c>
      <c r="M17" s="743"/>
      <c r="N17" s="468" t="s">
        <v>2234</v>
      </c>
      <c r="O17" s="467" t="s">
        <v>2281</v>
      </c>
      <c r="P17" s="469" t="s">
        <v>2236</v>
      </c>
      <c r="Q17" s="432">
        <v>1178271.73</v>
      </c>
      <c r="R17" s="46"/>
      <c r="S17" s="330">
        <v>1364</v>
      </c>
      <c r="T17" s="79" t="s">
        <v>2774</v>
      </c>
      <c r="U17" s="432">
        <v>1178271.73</v>
      </c>
      <c r="V17" s="196">
        <v>5867</v>
      </c>
      <c r="W17" s="47" t="s">
        <v>2804</v>
      </c>
      <c r="X17" s="432">
        <v>1178271.73</v>
      </c>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row>
    <row r="18" spans="1:129" s="112" customFormat="1" ht="25.5" x14ac:dyDescent="0.25">
      <c r="A18" s="693"/>
      <c r="B18" s="771"/>
      <c r="C18" s="700"/>
      <c r="D18" s="197" t="s">
        <v>1157</v>
      </c>
      <c r="E18" s="192" t="s">
        <v>1137</v>
      </c>
      <c r="F18" s="198"/>
      <c r="G18" s="198"/>
      <c r="H18" s="288">
        <v>800000</v>
      </c>
      <c r="I18" s="228"/>
      <c r="J18" s="228"/>
      <c r="K18" s="228"/>
      <c r="L18" s="223">
        <f t="shared" si="1"/>
        <v>800000</v>
      </c>
      <c r="M18" s="743"/>
      <c r="N18" s="468"/>
      <c r="O18" s="197"/>
      <c r="P18" s="469"/>
      <c r="Q18" s="470"/>
      <c r="R18" s="46"/>
      <c r="S18" s="330"/>
      <c r="T18" s="79"/>
      <c r="U18" s="432"/>
      <c r="V18" s="196"/>
      <c r="W18" s="47"/>
      <c r="X18" s="210"/>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row>
    <row r="19" spans="1:129" s="112" customFormat="1" ht="27" x14ac:dyDescent="0.25">
      <c r="A19" s="693"/>
      <c r="B19" s="771"/>
      <c r="C19" s="700"/>
      <c r="D19" s="197" t="s">
        <v>1158</v>
      </c>
      <c r="E19" s="192" t="s">
        <v>117</v>
      </c>
      <c r="F19" s="198"/>
      <c r="G19" s="198"/>
      <c r="H19" s="288">
        <v>12960000</v>
      </c>
      <c r="I19" s="228"/>
      <c r="J19" s="228"/>
      <c r="K19" s="228"/>
      <c r="L19" s="223">
        <f t="shared" si="1"/>
        <v>12960000</v>
      </c>
      <c r="M19" s="743"/>
      <c r="N19" s="468" t="s">
        <v>2276</v>
      </c>
      <c r="O19" s="467" t="s">
        <v>2277</v>
      </c>
      <c r="P19" s="469" t="s">
        <v>2278</v>
      </c>
      <c r="Q19" s="470">
        <v>12960000</v>
      </c>
      <c r="R19" s="46"/>
      <c r="S19" s="330">
        <v>1283</v>
      </c>
      <c r="T19" s="79" t="s">
        <v>2785</v>
      </c>
      <c r="U19" s="345">
        <v>12960000</v>
      </c>
      <c r="V19" s="196">
        <v>5571</v>
      </c>
      <c r="W19" s="47" t="s">
        <v>2779</v>
      </c>
      <c r="X19" s="345">
        <v>12960000</v>
      </c>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row>
    <row r="20" spans="1:129" s="112" customFormat="1" ht="25.5" x14ac:dyDescent="0.25">
      <c r="A20" s="693"/>
      <c r="B20" s="771"/>
      <c r="C20" s="700"/>
      <c r="D20" s="197" t="s">
        <v>1159</v>
      </c>
      <c r="E20" s="192" t="s">
        <v>140</v>
      </c>
      <c r="F20" s="198"/>
      <c r="G20" s="198"/>
      <c r="H20" s="288">
        <v>3250000</v>
      </c>
      <c r="I20" s="228"/>
      <c r="J20" s="228"/>
      <c r="K20" s="228"/>
      <c r="L20" s="223">
        <f t="shared" si="1"/>
        <v>3250000</v>
      </c>
      <c r="M20" s="743"/>
      <c r="N20" s="468" t="s">
        <v>2288</v>
      </c>
      <c r="O20" s="467" t="s">
        <v>2289</v>
      </c>
      <c r="P20" s="469" t="s">
        <v>2290</v>
      </c>
      <c r="Q20" s="470">
        <v>3250000</v>
      </c>
      <c r="R20" s="46"/>
      <c r="S20" s="330">
        <v>1283</v>
      </c>
      <c r="T20" s="79" t="s">
        <v>2785</v>
      </c>
      <c r="U20" s="345">
        <v>3250000</v>
      </c>
      <c r="V20" s="196">
        <v>5571</v>
      </c>
      <c r="W20" s="47" t="s">
        <v>2779</v>
      </c>
      <c r="X20" s="345">
        <v>3250000</v>
      </c>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row>
    <row r="21" spans="1:129" s="112" customFormat="1" ht="27" x14ac:dyDescent="0.25">
      <c r="A21" s="693"/>
      <c r="B21" s="771"/>
      <c r="C21" s="700"/>
      <c r="D21" s="197" t="s">
        <v>1160</v>
      </c>
      <c r="E21" s="192" t="s">
        <v>143</v>
      </c>
      <c r="F21" s="198"/>
      <c r="G21" s="198"/>
      <c r="H21" s="288">
        <v>3000000</v>
      </c>
      <c r="I21" s="228"/>
      <c r="J21" s="228"/>
      <c r="K21" s="228"/>
      <c r="L21" s="223">
        <f t="shared" si="1"/>
        <v>3000000</v>
      </c>
      <c r="M21" s="743"/>
      <c r="N21" s="468"/>
      <c r="O21" s="197"/>
      <c r="P21" s="469"/>
      <c r="Q21" s="470"/>
      <c r="R21" s="46"/>
      <c r="S21" s="330"/>
      <c r="T21" s="79"/>
      <c r="U21" s="432"/>
      <c r="V21" s="196"/>
      <c r="W21" s="47"/>
      <c r="X21" s="210"/>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row>
    <row r="22" spans="1:129" s="112" customFormat="1" ht="67.5" x14ac:dyDescent="0.25">
      <c r="A22" s="693"/>
      <c r="B22" s="771"/>
      <c r="C22" s="700"/>
      <c r="D22" s="197" t="s">
        <v>1161</v>
      </c>
      <c r="E22" s="192" t="s">
        <v>100</v>
      </c>
      <c r="F22" s="198"/>
      <c r="G22" s="198"/>
      <c r="H22" s="288">
        <v>5000000</v>
      </c>
      <c r="I22" s="228"/>
      <c r="J22" s="228"/>
      <c r="K22" s="228"/>
      <c r="L22" s="223">
        <f t="shared" si="1"/>
        <v>5000000</v>
      </c>
      <c r="M22" s="743"/>
      <c r="N22" s="468" t="s">
        <v>2276</v>
      </c>
      <c r="O22" s="467" t="s">
        <v>2282</v>
      </c>
      <c r="P22" s="469" t="s">
        <v>2283</v>
      </c>
      <c r="Q22" s="470">
        <v>4750000</v>
      </c>
      <c r="R22" s="46"/>
      <c r="S22" s="330">
        <v>1283</v>
      </c>
      <c r="T22" s="79" t="s">
        <v>2785</v>
      </c>
      <c r="U22" s="345">
        <v>4750000</v>
      </c>
      <c r="V22" s="196">
        <v>5571</v>
      </c>
      <c r="W22" s="47" t="s">
        <v>2779</v>
      </c>
      <c r="X22" s="345">
        <v>4750000</v>
      </c>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row>
    <row r="23" spans="1:129" s="112" customFormat="1" ht="40.5" x14ac:dyDescent="0.25">
      <c r="A23" s="693"/>
      <c r="B23" s="771"/>
      <c r="C23" s="700"/>
      <c r="D23" s="197" t="s">
        <v>1162</v>
      </c>
      <c r="E23" s="192" t="s">
        <v>151</v>
      </c>
      <c r="F23" s="198"/>
      <c r="G23" s="198"/>
      <c r="H23" s="288">
        <v>500000</v>
      </c>
      <c r="I23" s="228"/>
      <c r="J23" s="228"/>
      <c r="K23" s="228"/>
      <c r="L23" s="223">
        <f t="shared" si="1"/>
        <v>500000</v>
      </c>
      <c r="M23" s="743"/>
      <c r="N23" s="468" t="s">
        <v>2276</v>
      </c>
      <c r="O23" s="467" t="s">
        <v>2284</v>
      </c>
      <c r="P23" s="469" t="s">
        <v>2285</v>
      </c>
      <c r="Q23" s="470">
        <v>214000</v>
      </c>
      <c r="R23" s="46"/>
      <c r="S23" s="330">
        <v>1283</v>
      </c>
      <c r="T23" s="79" t="s">
        <v>2785</v>
      </c>
      <c r="U23" s="345">
        <v>214000</v>
      </c>
      <c r="V23" s="196">
        <v>5571</v>
      </c>
      <c r="W23" s="47" t="s">
        <v>2779</v>
      </c>
      <c r="X23" s="345">
        <v>214000</v>
      </c>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row>
    <row r="24" spans="1:129" s="112" customFormat="1" ht="54" x14ac:dyDescent="0.25">
      <c r="A24" s="693"/>
      <c r="B24" s="771"/>
      <c r="C24" s="700"/>
      <c r="D24" s="197" t="s">
        <v>1163</v>
      </c>
      <c r="E24" s="192" t="s">
        <v>230</v>
      </c>
      <c r="F24" s="198"/>
      <c r="G24" s="198"/>
      <c r="H24" s="288">
        <v>4000000</v>
      </c>
      <c r="I24" s="228"/>
      <c r="J24" s="228"/>
      <c r="K24" s="228"/>
      <c r="L24" s="223">
        <f t="shared" si="1"/>
        <v>4000000</v>
      </c>
      <c r="M24" s="743"/>
      <c r="N24" s="468"/>
      <c r="O24" s="197"/>
      <c r="P24" s="469"/>
      <c r="Q24" s="470"/>
      <c r="R24" s="46"/>
      <c r="S24" s="330"/>
      <c r="T24" s="79"/>
      <c r="U24" s="432"/>
      <c r="V24" s="196"/>
      <c r="W24" s="47"/>
      <c r="X24" s="210"/>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row>
    <row r="25" spans="1:129" s="112" customFormat="1" ht="27" x14ac:dyDescent="0.25">
      <c r="A25" s="693"/>
      <c r="B25" s="771"/>
      <c r="C25" s="700"/>
      <c r="D25" s="197" t="s">
        <v>1164</v>
      </c>
      <c r="E25" s="192" t="s">
        <v>120</v>
      </c>
      <c r="F25" s="198"/>
      <c r="G25" s="198"/>
      <c r="H25" s="288">
        <v>1000000</v>
      </c>
      <c r="I25" s="228"/>
      <c r="J25" s="228"/>
      <c r="K25" s="228"/>
      <c r="L25" s="223">
        <f t="shared" si="1"/>
        <v>1000000</v>
      </c>
      <c r="M25" s="743"/>
      <c r="N25" s="468" t="s">
        <v>2276</v>
      </c>
      <c r="O25" s="467" t="s">
        <v>2286</v>
      </c>
      <c r="P25" s="469" t="s">
        <v>2287</v>
      </c>
      <c r="Q25" s="470">
        <v>714000</v>
      </c>
      <c r="R25" s="46"/>
      <c r="S25" s="330">
        <v>1283</v>
      </c>
      <c r="T25" s="79" t="s">
        <v>2785</v>
      </c>
      <c r="U25" s="345">
        <v>714000</v>
      </c>
      <c r="V25" s="196">
        <v>5571</v>
      </c>
      <c r="W25" s="47" t="s">
        <v>2779</v>
      </c>
      <c r="X25" s="345">
        <v>714000</v>
      </c>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row>
    <row r="26" spans="1:129" s="112" customFormat="1" ht="25.5" x14ac:dyDescent="0.25">
      <c r="A26" s="694"/>
      <c r="B26" s="772"/>
      <c r="C26" s="701"/>
      <c r="D26" s="197" t="s">
        <v>1165</v>
      </c>
      <c r="E26" s="192" t="s">
        <v>102</v>
      </c>
      <c r="F26" s="198"/>
      <c r="G26" s="198"/>
      <c r="H26" s="288">
        <v>6000000</v>
      </c>
      <c r="I26" s="228"/>
      <c r="J26" s="228"/>
      <c r="K26" s="228"/>
      <c r="L26" s="223">
        <f t="shared" si="1"/>
        <v>6000000</v>
      </c>
      <c r="M26" s="744"/>
      <c r="N26" s="468"/>
      <c r="O26" s="197"/>
      <c r="P26" s="218"/>
      <c r="Q26" s="195"/>
      <c r="R26" s="46"/>
      <c r="S26" s="330"/>
      <c r="T26" s="79"/>
      <c r="U26" s="432"/>
      <c r="V26" s="196"/>
      <c r="W26" s="47"/>
      <c r="X26" s="210"/>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row>
    <row r="27" spans="1:129" s="107" customFormat="1" ht="15" x14ac:dyDescent="0.25">
      <c r="A27" s="92"/>
      <c r="B27" s="92"/>
      <c r="C27" s="92"/>
      <c r="D27" s="92"/>
      <c r="E27" s="104"/>
      <c r="F27" s="101"/>
      <c r="G27" s="101"/>
      <c r="H27" s="92"/>
      <c r="I27" s="93"/>
      <c r="J27" s="92"/>
      <c r="K27" s="92"/>
      <c r="L27" s="102">
        <f>SUM(L14:L26)</f>
        <v>49010000</v>
      </c>
      <c r="M27" s="101"/>
      <c r="N27" s="105"/>
      <c r="O27" s="86"/>
      <c r="P27" s="95"/>
      <c r="Q27" s="103">
        <f>SUM(Q14:Q26)</f>
        <v>24061587.73</v>
      </c>
      <c r="R27" s="89"/>
      <c r="S27" s="86"/>
      <c r="T27" s="95"/>
      <c r="U27" s="103">
        <f>SUM(U14:U26)</f>
        <v>24061587.73</v>
      </c>
      <c r="V27" s="86"/>
      <c r="W27" s="95"/>
      <c r="X27" s="103">
        <f>SUM(X14:X26)</f>
        <v>24061587.73</v>
      </c>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row>
    <row r="28" spans="1:129" s="112" customFormat="1" ht="25.5" x14ac:dyDescent="0.25">
      <c r="A28" s="692" t="s">
        <v>1088</v>
      </c>
      <c r="B28" s="770" t="s">
        <v>1086</v>
      </c>
      <c r="C28" s="699" t="s">
        <v>1087</v>
      </c>
      <c r="D28" s="183" t="s">
        <v>1150</v>
      </c>
      <c r="E28" s="192" t="s">
        <v>1149</v>
      </c>
      <c r="F28" s="181"/>
      <c r="G28" s="181"/>
      <c r="H28" s="288">
        <v>4879000</v>
      </c>
      <c r="I28" s="228"/>
      <c r="J28" s="228"/>
      <c r="K28" s="228"/>
      <c r="L28" s="65">
        <f t="shared" si="1"/>
        <v>4879000</v>
      </c>
      <c r="M28" s="769">
        <v>39659000</v>
      </c>
      <c r="N28" s="78" t="s">
        <v>2276</v>
      </c>
      <c r="O28" s="457" t="s">
        <v>2300</v>
      </c>
      <c r="P28" s="81" t="s">
        <v>2301</v>
      </c>
      <c r="Q28" s="345">
        <v>4641000</v>
      </c>
      <c r="R28" s="46"/>
      <c r="S28" s="330">
        <v>1283</v>
      </c>
      <c r="T28" s="79" t="s">
        <v>2785</v>
      </c>
      <c r="U28" s="345">
        <v>4641000</v>
      </c>
      <c r="V28" s="182">
        <v>5571</v>
      </c>
      <c r="W28" s="47" t="s">
        <v>2779</v>
      </c>
      <c r="X28" s="345">
        <v>4641000</v>
      </c>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row>
    <row r="29" spans="1:129" s="112" customFormat="1" ht="40.5" x14ac:dyDescent="0.25">
      <c r="A29" s="693"/>
      <c r="B29" s="771"/>
      <c r="C29" s="700"/>
      <c r="D29" s="197" t="s">
        <v>1152</v>
      </c>
      <c r="E29" s="192" t="s">
        <v>1151</v>
      </c>
      <c r="F29" s="195"/>
      <c r="G29" s="195"/>
      <c r="H29" s="288">
        <v>1280000</v>
      </c>
      <c r="I29" s="228"/>
      <c r="J29" s="228"/>
      <c r="K29" s="228"/>
      <c r="L29" s="65">
        <f t="shared" si="1"/>
        <v>1280000</v>
      </c>
      <c r="M29" s="769"/>
      <c r="N29" s="78" t="s">
        <v>2276</v>
      </c>
      <c r="O29" s="457" t="s">
        <v>2302</v>
      </c>
      <c r="P29" s="81" t="s">
        <v>2303</v>
      </c>
      <c r="Q29" s="345">
        <v>1100750</v>
      </c>
      <c r="R29" s="46"/>
      <c r="S29" s="330">
        <v>1283</v>
      </c>
      <c r="T29" s="79" t="s">
        <v>2785</v>
      </c>
      <c r="U29" s="345">
        <v>1100750</v>
      </c>
      <c r="V29" s="196">
        <v>5571</v>
      </c>
      <c r="W29" s="47" t="s">
        <v>2779</v>
      </c>
      <c r="X29" s="345">
        <v>1100750</v>
      </c>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row>
    <row r="30" spans="1:129" s="112" customFormat="1" ht="40.5" x14ac:dyDescent="0.25">
      <c r="A30" s="693"/>
      <c r="B30" s="771"/>
      <c r="C30" s="700"/>
      <c r="D30" s="197" t="s">
        <v>1154</v>
      </c>
      <c r="E30" s="192" t="s">
        <v>138</v>
      </c>
      <c r="F30" s="195"/>
      <c r="G30" s="195"/>
      <c r="H30" s="288">
        <v>500000</v>
      </c>
      <c r="I30" s="228"/>
      <c r="J30" s="228"/>
      <c r="K30" s="228"/>
      <c r="L30" s="65">
        <f t="shared" si="1"/>
        <v>500000</v>
      </c>
      <c r="M30" s="769"/>
      <c r="N30" s="78"/>
      <c r="O30" s="330"/>
      <c r="P30" s="81"/>
      <c r="Q30" s="345"/>
      <c r="R30" s="46"/>
      <c r="S30" s="330"/>
      <c r="T30" s="79"/>
      <c r="U30" s="432"/>
      <c r="V30" s="196"/>
      <c r="W30" s="47"/>
      <c r="X30" s="210"/>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row>
    <row r="31" spans="1:129" s="112" customFormat="1" ht="27" x14ac:dyDescent="0.25">
      <c r="A31" s="693"/>
      <c r="B31" s="771"/>
      <c r="C31" s="700"/>
      <c r="D31" s="197" t="s">
        <v>1155</v>
      </c>
      <c r="E31" s="192" t="s">
        <v>116</v>
      </c>
      <c r="F31" s="195"/>
      <c r="G31" s="195"/>
      <c r="H31" s="288">
        <v>2500000</v>
      </c>
      <c r="I31" s="228"/>
      <c r="J31" s="228"/>
      <c r="K31" s="228"/>
      <c r="L31" s="65">
        <f t="shared" si="1"/>
        <v>2500000</v>
      </c>
      <c r="M31" s="769"/>
      <c r="N31" s="78"/>
      <c r="O31" s="330"/>
      <c r="P31" s="81"/>
      <c r="Q31" s="345"/>
      <c r="R31" s="46"/>
      <c r="S31" s="330"/>
      <c r="T31" s="79"/>
      <c r="U31" s="432"/>
      <c r="V31" s="196"/>
      <c r="W31" s="47"/>
      <c r="X31" s="2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row>
    <row r="32" spans="1:129" s="112" customFormat="1" ht="27" x14ac:dyDescent="0.25">
      <c r="A32" s="693"/>
      <c r="B32" s="771"/>
      <c r="C32" s="700"/>
      <c r="D32" s="197" t="s">
        <v>1158</v>
      </c>
      <c r="E32" s="192" t="s">
        <v>117</v>
      </c>
      <c r="F32" s="195"/>
      <c r="G32" s="195"/>
      <c r="H32" s="288">
        <v>2200000</v>
      </c>
      <c r="I32" s="228"/>
      <c r="J32" s="228"/>
      <c r="K32" s="228"/>
      <c r="L32" s="65">
        <f t="shared" si="1"/>
        <v>2200000</v>
      </c>
      <c r="M32" s="769"/>
      <c r="N32" s="78" t="s">
        <v>2276</v>
      </c>
      <c r="O32" s="457" t="s">
        <v>2291</v>
      </c>
      <c r="P32" s="81" t="s">
        <v>2292</v>
      </c>
      <c r="Q32" s="345">
        <v>2160000</v>
      </c>
      <c r="R32" s="46"/>
      <c r="S32" s="330">
        <v>1283</v>
      </c>
      <c r="T32" s="79" t="s">
        <v>2785</v>
      </c>
      <c r="U32" s="345">
        <v>2160000</v>
      </c>
      <c r="V32" s="196">
        <v>5571</v>
      </c>
      <c r="W32" s="47" t="s">
        <v>2779</v>
      </c>
      <c r="X32" s="345">
        <v>2160000</v>
      </c>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row>
    <row r="33" spans="1:129" s="112" customFormat="1" ht="25.5" x14ac:dyDescent="0.25">
      <c r="A33" s="693"/>
      <c r="B33" s="771"/>
      <c r="C33" s="700"/>
      <c r="D33" s="197" t="s">
        <v>1159</v>
      </c>
      <c r="E33" s="192" t="s">
        <v>140</v>
      </c>
      <c r="F33" s="195"/>
      <c r="G33" s="195"/>
      <c r="H33" s="288">
        <v>800000</v>
      </c>
      <c r="I33" s="228"/>
      <c r="J33" s="228"/>
      <c r="K33" s="228"/>
      <c r="L33" s="65">
        <f t="shared" si="1"/>
        <v>800000</v>
      </c>
      <c r="M33" s="769"/>
      <c r="N33" s="78" t="s">
        <v>2276</v>
      </c>
      <c r="O33" s="457" t="s">
        <v>2306</v>
      </c>
      <c r="P33" s="81" t="s">
        <v>2307</v>
      </c>
      <c r="Q33" s="345">
        <v>558000</v>
      </c>
      <c r="R33" s="46"/>
      <c r="S33" s="330">
        <v>1283</v>
      </c>
      <c r="T33" s="79" t="s">
        <v>2785</v>
      </c>
      <c r="U33" s="345">
        <v>558000</v>
      </c>
      <c r="V33" s="196">
        <v>5571</v>
      </c>
      <c r="W33" s="47" t="s">
        <v>2779</v>
      </c>
      <c r="X33" s="345">
        <v>558000</v>
      </c>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row>
    <row r="34" spans="1:129" s="112" customFormat="1" ht="27" x14ac:dyDescent="0.25">
      <c r="A34" s="693"/>
      <c r="B34" s="771"/>
      <c r="C34" s="700"/>
      <c r="D34" s="197" t="s">
        <v>1160</v>
      </c>
      <c r="E34" s="192" t="s">
        <v>143</v>
      </c>
      <c r="F34" s="195"/>
      <c r="G34" s="195"/>
      <c r="H34" s="288">
        <v>16600000</v>
      </c>
      <c r="I34" s="228"/>
      <c r="J34" s="228"/>
      <c r="K34" s="228"/>
      <c r="L34" s="65">
        <f t="shared" si="1"/>
        <v>16600000</v>
      </c>
      <c r="M34" s="769"/>
      <c r="N34" s="78" t="s">
        <v>2276</v>
      </c>
      <c r="O34" s="457" t="s">
        <v>2304</v>
      </c>
      <c r="P34" s="81" t="s">
        <v>2305</v>
      </c>
      <c r="Q34" s="345">
        <v>16305975</v>
      </c>
      <c r="R34" s="46"/>
      <c r="S34" s="330">
        <v>1283</v>
      </c>
      <c r="T34" s="79" t="s">
        <v>2785</v>
      </c>
      <c r="U34" s="345">
        <v>16305975</v>
      </c>
      <c r="V34" s="196">
        <v>5571</v>
      </c>
      <c r="W34" s="47" t="s">
        <v>2779</v>
      </c>
      <c r="X34" s="345">
        <v>16305975</v>
      </c>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row>
    <row r="35" spans="1:129" s="112" customFormat="1" ht="67.5" x14ac:dyDescent="0.25">
      <c r="A35" s="693"/>
      <c r="B35" s="771"/>
      <c r="C35" s="700"/>
      <c r="D35" s="197" t="s">
        <v>1161</v>
      </c>
      <c r="E35" s="192" t="s">
        <v>100</v>
      </c>
      <c r="F35" s="195"/>
      <c r="G35" s="195"/>
      <c r="H35" s="288">
        <v>1200000</v>
      </c>
      <c r="I35" s="228"/>
      <c r="J35" s="228"/>
      <c r="K35" s="228"/>
      <c r="L35" s="65">
        <f t="shared" si="1"/>
        <v>1200000</v>
      </c>
      <c r="M35" s="769"/>
      <c r="N35" s="78" t="s">
        <v>2276</v>
      </c>
      <c r="O35" s="457" t="s">
        <v>2296</v>
      </c>
      <c r="P35" s="81" t="s">
        <v>2297</v>
      </c>
      <c r="Q35" s="345">
        <v>1200000</v>
      </c>
      <c r="R35" s="46"/>
      <c r="S35" s="330">
        <v>1283</v>
      </c>
      <c r="T35" s="79" t="s">
        <v>2785</v>
      </c>
      <c r="U35" s="345">
        <v>1200000</v>
      </c>
      <c r="V35" s="551">
        <v>5571</v>
      </c>
      <c r="W35" s="47" t="s">
        <v>2779</v>
      </c>
      <c r="X35" s="345">
        <v>1200000</v>
      </c>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row>
    <row r="36" spans="1:129" s="112" customFormat="1" ht="40.5" x14ac:dyDescent="0.25">
      <c r="A36" s="693"/>
      <c r="B36" s="771"/>
      <c r="C36" s="700"/>
      <c r="D36" s="197" t="s">
        <v>1162</v>
      </c>
      <c r="E36" s="192" t="s">
        <v>151</v>
      </c>
      <c r="F36" s="195"/>
      <c r="G36" s="195"/>
      <c r="H36" s="288">
        <v>500000</v>
      </c>
      <c r="I36" s="228"/>
      <c r="J36" s="228"/>
      <c r="K36" s="228"/>
      <c r="L36" s="65">
        <f t="shared" si="1"/>
        <v>500000</v>
      </c>
      <c r="M36" s="769"/>
      <c r="N36" s="78" t="s">
        <v>2276</v>
      </c>
      <c r="O36" s="457" t="s">
        <v>2298</v>
      </c>
      <c r="P36" s="81" t="s">
        <v>2299</v>
      </c>
      <c r="Q36" s="345">
        <v>500000</v>
      </c>
      <c r="R36" s="46"/>
      <c r="S36" s="330">
        <v>1283</v>
      </c>
      <c r="T36" s="79" t="s">
        <v>2785</v>
      </c>
      <c r="U36" s="345">
        <v>500000</v>
      </c>
      <c r="V36" s="196">
        <v>5571</v>
      </c>
      <c r="W36" s="47" t="s">
        <v>2779</v>
      </c>
      <c r="X36" s="345">
        <v>500000</v>
      </c>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row>
    <row r="37" spans="1:129" s="112" customFormat="1" ht="25.5" x14ac:dyDescent="0.25">
      <c r="A37" s="694"/>
      <c r="B37" s="772"/>
      <c r="C37" s="701"/>
      <c r="D37" s="197" t="s">
        <v>1165</v>
      </c>
      <c r="E37" s="192" t="s">
        <v>102</v>
      </c>
      <c r="F37" s="195"/>
      <c r="G37" s="195"/>
      <c r="H37" s="288">
        <v>9200000</v>
      </c>
      <c r="I37" s="228"/>
      <c r="J37" s="228"/>
      <c r="K37" s="228"/>
      <c r="L37" s="65">
        <f t="shared" si="1"/>
        <v>9200000</v>
      </c>
      <c r="M37" s="769"/>
      <c r="N37" s="78" t="s">
        <v>2293</v>
      </c>
      <c r="O37" s="457" t="s">
        <v>2294</v>
      </c>
      <c r="P37" s="81" t="s">
        <v>2295</v>
      </c>
      <c r="Q37" s="345">
        <v>9192750</v>
      </c>
      <c r="R37" s="46"/>
      <c r="S37" s="330">
        <v>1352</v>
      </c>
      <c r="T37" s="79" t="s">
        <v>2781</v>
      </c>
      <c r="U37" s="345">
        <v>9192750</v>
      </c>
      <c r="V37" s="196">
        <v>5654</v>
      </c>
      <c r="W37" s="47" t="s">
        <v>2800</v>
      </c>
      <c r="X37" s="210">
        <v>9192750</v>
      </c>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row>
    <row r="38" spans="1:129" s="107" customFormat="1" ht="15.75" thickBot="1" x14ac:dyDescent="0.3">
      <c r="A38" s="92"/>
      <c r="B38" s="92"/>
      <c r="C38" s="92"/>
      <c r="D38" s="92"/>
      <c r="E38" s="104"/>
      <c r="F38" s="101"/>
      <c r="G38" s="101"/>
      <c r="H38" s="92"/>
      <c r="I38" s="93"/>
      <c r="J38" s="92"/>
      <c r="K38" s="92"/>
      <c r="L38" s="102">
        <f>SUM(L28:L37)</f>
        <v>39659000</v>
      </c>
      <c r="M38" s="101"/>
      <c r="N38" s="105"/>
      <c r="O38" s="86"/>
      <c r="P38" s="95"/>
      <c r="Q38" s="103">
        <f>SUM(Q28:Q37)</f>
        <v>35658475</v>
      </c>
      <c r="R38" s="89"/>
      <c r="S38" s="86"/>
      <c r="T38" s="95"/>
      <c r="U38" s="103">
        <f>SUM(U28:U37)</f>
        <v>35658475</v>
      </c>
      <c r="V38" s="86"/>
      <c r="W38" s="95"/>
      <c r="X38" s="103">
        <f>SUM(X28:X37)</f>
        <v>35658475</v>
      </c>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row>
    <row r="39" spans="1:129" s="63" customFormat="1" ht="17.25" thickBot="1" x14ac:dyDescent="0.35">
      <c r="A39" s="51"/>
      <c r="B39" s="51"/>
      <c r="C39" s="42"/>
      <c r="D39" s="42"/>
      <c r="E39" s="42"/>
      <c r="F39" s="52"/>
      <c r="G39" s="42"/>
      <c r="H39" s="42"/>
      <c r="I39" s="217"/>
      <c r="J39" s="53" t="s">
        <v>29</v>
      </c>
      <c r="K39" s="54"/>
      <c r="L39" s="55">
        <f>+L13+L27+L38</f>
        <v>130550000</v>
      </c>
      <c r="M39" s="56"/>
      <c r="N39" s="56"/>
      <c r="O39" s="56"/>
      <c r="P39" s="56"/>
      <c r="Q39" s="67">
        <f>+Q13+Q27+Q38</f>
        <v>100116966.73</v>
      </c>
      <c r="R39" s="57">
        <f>(Q39*1)/L39</f>
        <v>0.76688599563385684</v>
      </c>
      <c r="S39" s="84"/>
      <c r="T39" s="113"/>
      <c r="U39" s="114">
        <f>+U13+U27+U38</f>
        <v>100116966.73</v>
      </c>
      <c r="V39" s="84"/>
      <c r="W39" s="113"/>
      <c r="X39" s="115">
        <f>+X13+X27+X38</f>
        <v>100116966.73</v>
      </c>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row>
    <row r="40" spans="1:129" ht="15" x14ac:dyDescent="0.25">
      <c r="R40" s="4"/>
    </row>
    <row r="41" spans="1:129" ht="15" x14ac:dyDescent="0.25">
      <c r="Q41" s="39"/>
      <c r="R41" s="6"/>
      <c r="S41" s="39"/>
    </row>
    <row r="42" spans="1:129" ht="15" x14ac:dyDescent="0.25">
      <c r="Q42" s="39"/>
      <c r="R42" s="6"/>
      <c r="S42" s="39"/>
    </row>
    <row r="43" spans="1:129" ht="15" x14ac:dyDescent="0.25">
      <c r="Q43" s="39"/>
      <c r="R43" s="6"/>
      <c r="S43" s="39"/>
    </row>
    <row r="44" spans="1:129" ht="15" x14ac:dyDescent="0.25">
      <c r="Q44" s="39"/>
      <c r="R44" s="6"/>
      <c r="S44" s="39"/>
    </row>
    <row r="45" spans="1:129" ht="15" x14ac:dyDescent="0.25">
      <c r="Q45" s="39"/>
      <c r="R45" s="6"/>
      <c r="S45" s="39"/>
    </row>
    <row r="46" spans="1:129" ht="15" x14ac:dyDescent="0.25">
      <c r="Q46" s="39"/>
      <c r="R46" s="6"/>
      <c r="S46" s="39"/>
    </row>
    <row r="47" spans="1:129" ht="15" x14ac:dyDescent="0.25">
      <c r="Q47" s="39"/>
      <c r="R47" s="6"/>
      <c r="S47" s="39"/>
    </row>
    <row r="48" spans="1:129" ht="15" x14ac:dyDescent="0.25">
      <c r="Q48" s="39"/>
      <c r="R48" s="6"/>
      <c r="S48" s="39"/>
    </row>
    <row r="49" spans="17:19" ht="15" x14ac:dyDescent="0.25">
      <c r="Q49" s="39"/>
      <c r="R49" s="7"/>
      <c r="S49" s="39"/>
    </row>
    <row r="50" spans="17:19" ht="15" x14ac:dyDescent="0.25"/>
    <row r="51" spans="17:19" ht="15" x14ac:dyDescent="0.25"/>
    <row r="52" spans="17:19" ht="15" x14ac:dyDescent="0.25"/>
    <row r="53" spans="17:19" ht="15" x14ac:dyDescent="0.25"/>
    <row r="54" spans="17:19" ht="15" x14ac:dyDescent="0.25"/>
    <row r="55" spans="17:19" ht="15" x14ac:dyDescent="0.25"/>
    <row r="56" spans="17:19" ht="15" x14ac:dyDescent="0.25"/>
    <row r="57" spans="17:19" ht="15" x14ac:dyDescent="0.25"/>
    <row r="58" spans="17:19" ht="15" x14ac:dyDescent="0.25"/>
    <row r="59" spans="17:19" ht="15" x14ac:dyDescent="0.25"/>
    <row r="60" spans="17:19" ht="15" x14ac:dyDescent="0.25"/>
    <row r="61" spans="17:19" ht="15" x14ac:dyDescent="0.25"/>
    <row r="62" spans="17:19" ht="15" x14ac:dyDescent="0.25"/>
    <row r="63" spans="17:19" ht="15" x14ac:dyDescent="0.25"/>
    <row r="64" spans="17:19"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customHeight="1" x14ac:dyDescent="0.25"/>
    <row r="93" ht="15"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sheetData>
  <sheetProtection algorithmName="SHA-512" hashValue="qXTStul6sqDqTjs3TlI/zb8nakUQsHKX4PdewrRDszwnJvk+uzh9xyKD/tC4ZVqUPdnNTqbG4sRuLIUwlsfhGg==" saltValue="2b6KwpFZ802osVzSBrq6aw==" spinCount="100000" sheet="1" objects="1" scenarios="1" selectLockedCells="1" selectUnlockedCells="1"/>
  <mergeCells count="20">
    <mergeCell ref="A8:A11"/>
    <mergeCell ref="B8:B11"/>
    <mergeCell ref="C8:C11"/>
    <mergeCell ref="M8:M11"/>
    <mergeCell ref="A2:A5"/>
    <mergeCell ref="B2:V2"/>
    <mergeCell ref="W2:X2"/>
    <mergeCell ref="B3:V3"/>
    <mergeCell ref="W3:X3"/>
    <mergeCell ref="B4:V5"/>
    <mergeCell ref="W4:X4"/>
    <mergeCell ref="W5:X5"/>
    <mergeCell ref="M14:M26"/>
    <mergeCell ref="M28:M37"/>
    <mergeCell ref="A14:A26"/>
    <mergeCell ref="B14:B26"/>
    <mergeCell ref="C14:C26"/>
    <mergeCell ref="C28:C37"/>
    <mergeCell ref="B28:B37"/>
    <mergeCell ref="A28:A37"/>
  </mergeCells>
  <conditionalFormatting sqref="R49:R1048576 R7:R12 R39">
    <cfRule type="cellIs" dxfId="1039" priority="31" operator="between">
      <formula>0.51</formula>
      <formula>0.69</formula>
    </cfRule>
    <cfRule type="cellIs" dxfId="1038" priority="32" operator="between">
      <formula>0.51</formula>
      <formula>0.69</formula>
    </cfRule>
    <cfRule type="cellIs" dxfId="1037" priority="33" operator="lessThan">
      <formula>0.5</formula>
    </cfRule>
    <cfRule type="cellIs" dxfId="1036" priority="34" operator="greaterThan">
      <formula>0.7</formula>
    </cfRule>
    <cfRule type="cellIs" dxfId="1035" priority="35" operator="between">
      <formula>0.51</formula>
      <formula>0.69</formula>
    </cfRule>
    <cfRule type="cellIs" dxfId="1034" priority="36" operator="lessThan">
      <formula>50</formula>
    </cfRule>
    <cfRule type="cellIs" dxfId="1033" priority="37" operator="greaterThan">
      <formula>0.7</formula>
    </cfRule>
    <cfRule type="cellIs" dxfId="1032" priority="38" operator="between">
      <formula>0.51</formula>
      <formula>0.69</formula>
    </cfRule>
    <cfRule type="cellIs" dxfId="1031" priority="39" operator="lessThan">
      <formula>0.5</formula>
    </cfRule>
    <cfRule type="cellIs" dxfId="1030" priority="40" operator="greaterThan">
      <formula>0.7</formula>
    </cfRule>
  </conditionalFormatting>
  <conditionalFormatting sqref="R13:R26 R28:R37">
    <cfRule type="cellIs" dxfId="1029" priority="21" operator="between">
      <formula>0.51</formula>
      <formula>0.69</formula>
    </cfRule>
    <cfRule type="cellIs" dxfId="1028" priority="22" operator="between">
      <formula>0.51</formula>
      <formula>0.69</formula>
    </cfRule>
    <cfRule type="cellIs" dxfId="1027" priority="23" operator="lessThan">
      <formula>0.5</formula>
    </cfRule>
    <cfRule type="cellIs" dxfId="1026" priority="24" operator="greaterThan">
      <formula>0.7</formula>
    </cfRule>
    <cfRule type="cellIs" dxfId="1025" priority="25" operator="between">
      <formula>0.51</formula>
      <formula>0.69</formula>
    </cfRule>
    <cfRule type="cellIs" dxfId="1024" priority="26" operator="lessThan">
      <formula>50</formula>
    </cfRule>
    <cfRule type="cellIs" dxfId="1023" priority="27" operator="greaterThan">
      <formula>0.7</formula>
    </cfRule>
    <cfRule type="cellIs" dxfId="1022" priority="28" operator="between">
      <formula>0.51</formula>
      <formula>0.69</formula>
    </cfRule>
    <cfRule type="cellIs" dxfId="1021" priority="29" operator="lessThan">
      <formula>0.5</formula>
    </cfRule>
    <cfRule type="cellIs" dxfId="1020" priority="30" operator="greaterThan">
      <formula>0.7</formula>
    </cfRule>
  </conditionalFormatting>
  <conditionalFormatting sqref="R27">
    <cfRule type="cellIs" dxfId="1019" priority="11" operator="between">
      <formula>0.51</formula>
      <formula>0.69</formula>
    </cfRule>
    <cfRule type="cellIs" dxfId="1018" priority="12" operator="between">
      <formula>0.51</formula>
      <formula>0.69</formula>
    </cfRule>
    <cfRule type="cellIs" dxfId="1017" priority="13" operator="lessThan">
      <formula>0.5</formula>
    </cfRule>
    <cfRule type="cellIs" dxfId="1016" priority="14" operator="greaterThan">
      <formula>0.7</formula>
    </cfRule>
    <cfRule type="cellIs" dxfId="1015" priority="15" operator="between">
      <formula>0.51</formula>
      <formula>0.69</formula>
    </cfRule>
    <cfRule type="cellIs" dxfId="1014" priority="16" operator="lessThan">
      <formula>50</formula>
    </cfRule>
    <cfRule type="cellIs" dxfId="1013" priority="17" operator="greaterThan">
      <formula>0.7</formula>
    </cfRule>
    <cfRule type="cellIs" dxfId="1012" priority="18" operator="between">
      <formula>0.51</formula>
      <formula>0.69</formula>
    </cfRule>
    <cfRule type="cellIs" dxfId="1011" priority="19" operator="lessThan">
      <formula>0.5</formula>
    </cfRule>
    <cfRule type="cellIs" dxfId="1010" priority="20" operator="greaterThan">
      <formula>0.7</formula>
    </cfRule>
  </conditionalFormatting>
  <conditionalFormatting sqref="R38">
    <cfRule type="cellIs" dxfId="1009" priority="1" operator="between">
      <formula>0.51</formula>
      <formula>0.69</formula>
    </cfRule>
    <cfRule type="cellIs" dxfId="1008" priority="2" operator="between">
      <formula>0.51</formula>
      <formula>0.69</formula>
    </cfRule>
    <cfRule type="cellIs" dxfId="1007" priority="3" operator="lessThan">
      <formula>0.5</formula>
    </cfRule>
    <cfRule type="cellIs" dxfId="1006" priority="4" operator="greaterThan">
      <formula>0.7</formula>
    </cfRule>
    <cfRule type="cellIs" dxfId="1005" priority="5" operator="between">
      <formula>0.51</formula>
      <formula>0.69</formula>
    </cfRule>
    <cfRule type="cellIs" dxfId="1004" priority="6" operator="lessThan">
      <formula>50</formula>
    </cfRule>
    <cfRule type="cellIs" dxfId="1003" priority="7" operator="greaterThan">
      <formula>0.7</formula>
    </cfRule>
    <cfRule type="cellIs" dxfId="1002" priority="8" operator="between">
      <formula>0.51</formula>
      <formula>0.69</formula>
    </cfRule>
    <cfRule type="cellIs" dxfId="1001" priority="9" operator="lessThan">
      <formula>0.5</formula>
    </cfRule>
    <cfRule type="cellIs" dxfId="1000" priority="10" operator="greaterThan">
      <formula>0.7</formula>
    </cfRule>
  </conditionalFormatting>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482B"/>
  </sheetPr>
  <dimension ref="A1:EB858"/>
  <sheetViews>
    <sheetView showGridLines="0" zoomScale="80" zoomScaleNormal="80" workbookViewId="0">
      <selection activeCell="U44" sqref="U44"/>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1.42578125" style="40" hidden="1" customWidth="1"/>
    <col min="9" max="9" width="12.7109375" style="40" hidden="1" customWidth="1"/>
    <col min="10" max="10" width="15.140625" style="40" hidden="1" customWidth="1"/>
    <col min="11" max="11" width="15" style="40" hidden="1" customWidth="1"/>
    <col min="12" max="12" width="18.7109375" style="40" bestFit="1" customWidth="1"/>
    <col min="13" max="13" width="17.7109375" style="40" bestFit="1" customWidth="1"/>
    <col min="14" max="14" width="15.7109375" style="40" customWidth="1"/>
    <col min="15" max="15" width="14.28515625" style="40" customWidth="1"/>
    <col min="16" max="16" width="15.42578125" style="40" bestFit="1" customWidth="1"/>
    <col min="17" max="17" width="19.140625" style="40" bestFit="1" customWidth="1"/>
    <col min="18" max="18" width="11.5703125" style="3" bestFit="1" customWidth="1"/>
    <col min="19" max="19" width="11.42578125" style="40" customWidth="1"/>
    <col min="20" max="20" width="16.7109375" style="35" bestFit="1" customWidth="1"/>
    <col min="21" max="21" width="19.140625" style="40" bestFit="1" customWidth="1"/>
    <col min="22" max="22" width="11.42578125" style="40" customWidth="1"/>
    <col min="23" max="23" width="14.5703125" style="35" customWidth="1"/>
    <col min="24" max="24" width="19" style="40" bestFit="1" customWidth="1"/>
    <col min="25" max="129" width="11.5703125" style="39" hidden="1" customWidth="1"/>
    <col min="130" max="132" width="11.5703125" style="40" hidden="1" customWidth="1"/>
    <col min="133" max="16384" width="11.42578125" style="40"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97</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76.5" customHeight="1" x14ac:dyDescent="0.25">
      <c r="A8" s="692" t="s">
        <v>157</v>
      </c>
      <c r="B8" s="766" t="s">
        <v>158</v>
      </c>
      <c r="C8" s="689" t="s">
        <v>74</v>
      </c>
      <c r="D8" s="44" t="s">
        <v>755</v>
      </c>
      <c r="E8" s="8" t="s">
        <v>156</v>
      </c>
      <c r="F8" s="289">
        <v>64000002</v>
      </c>
      <c r="G8" s="66">
        <v>0</v>
      </c>
      <c r="H8" s="44"/>
      <c r="I8" s="45"/>
      <c r="J8" s="44"/>
      <c r="K8" s="274">
        <v>64000002</v>
      </c>
      <c r="L8" s="65">
        <f>+F8+G8+H8+J8-K8</f>
        <v>0</v>
      </c>
      <c r="M8" s="742">
        <v>221600002</v>
      </c>
      <c r="N8" s="44"/>
      <c r="O8" s="44"/>
      <c r="P8" s="44"/>
      <c r="Q8" s="44"/>
      <c r="R8" s="46"/>
      <c r="S8" s="44"/>
      <c r="T8" s="79"/>
      <c r="U8" s="44"/>
      <c r="V8" s="44"/>
      <c r="W8" s="79"/>
      <c r="X8" s="44"/>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42" customHeight="1" x14ac:dyDescent="0.25">
      <c r="A9" s="694"/>
      <c r="B9" s="768"/>
      <c r="C9" s="691"/>
      <c r="D9" s="692" t="s">
        <v>756</v>
      </c>
      <c r="E9" s="689" t="s">
        <v>144</v>
      </c>
      <c r="F9" s="289">
        <v>249600000</v>
      </c>
      <c r="G9" s="64">
        <v>0</v>
      </c>
      <c r="H9" s="44"/>
      <c r="I9" s="45"/>
      <c r="J9" s="44"/>
      <c r="K9" s="274">
        <f>92000000+54076000</f>
        <v>146076000</v>
      </c>
      <c r="L9" s="758">
        <f>+F9+G9+H9+J9-K9</f>
        <v>103524000</v>
      </c>
      <c r="M9" s="743"/>
      <c r="N9" s="78" t="s">
        <v>1984</v>
      </c>
      <c r="O9" s="457" t="s">
        <v>1989</v>
      </c>
      <c r="P9" s="80" t="s">
        <v>1780</v>
      </c>
      <c r="Q9" s="528">
        <v>1000000</v>
      </c>
      <c r="R9" s="46"/>
      <c r="S9" s="44"/>
      <c r="T9" s="79"/>
      <c r="U9" s="44"/>
      <c r="V9" s="44"/>
      <c r="W9" s="79"/>
      <c r="X9" s="44"/>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42" customHeight="1" x14ac:dyDescent="0.25">
      <c r="A10" s="303"/>
      <c r="B10" s="306"/>
      <c r="C10" s="306"/>
      <c r="D10" s="693"/>
      <c r="E10" s="690"/>
      <c r="F10" s="313"/>
      <c r="G10" s="320"/>
      <c r="H10" s="303"/>
      <c r="I10" s="85"/>
      <c r="J10" s="303"/>
      <c r="K10" s="317"/>
      <c r="L10" s="763"/>
      <c r="M10" s="743"/>
      <c r="N10" s="78" t="s">
        <v>1985</v>
      </c>
      <c r="O10" s="457" t="s">
        <v>1990</v>
      </c>
      <c r="P10" s="80" t="s">
        <v>1980</v>
      </c>
      <c r="Q10" s="345">
        <v>10893333</v>
      </c>
      <c r="R10" s="46"/>
      <c r="S10" s="330">
        <v>1114</v>
      </c>
      <c r="T10" s="79">
        <v>44798</v>
      </c>
      <c r="U10" s="345">
        <v>10893333</v>
      </c>
      <c r="V10" s="330">
        <v>5011</v>
      </c>
      <c r="W10" s="79">
        <v>44824</v>
      </c>
      <c r="X10" s="274">
        <v>10893333</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42" customHeight="1" x14ac:dyDescent="0.25">
      <c r="A11" s="303"/>
      <c r="B11" s="306"/>
      <c r="C11" s="306"/>
      <c r="D11" s="693"/>
      <c r="E11" s="690"/>
      <c r="F11" s="313"/>
      <c r="G11" s="320"/>
      <c r="H11" s="303"/>
      <c r="I11" s="85"/>
      <c r="J11" s="303"/>
      <c r="K11" s="317"/>
      <c r="L11" s="763"/>
      <c r="M11" s="743"/>
      <c r="N11" s="78" t="s">
        <v>1986</v>
      </c>
      <c r="O11" s="457" t="s">
        <v>1991</v>
      </c>
      <c r="P11" s="80" t="s">
        <v>1981</v>
      </c>
      <c r="Q11" s="345">
        <v>9416667</v>
      </c>
      <c r="R11" s="46"/>
      <c r="S11" s="330">
        <v>1111</v>
      </c>
      <c r="T11" s="79">
        <v>44798</v>
      </c>
      <c r="U11" s="274">
        <v>9416667</v>
      </c>
      <c r="V11" s="330">
        <v>4869</v>
      </c>
      <c r="W11" s="79">
        <v>44809</v>
      </c>
      <c r="X11" s="274">
        <v>9416667</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42" customHeight="1" x14ac:dyDescent="0.25">
      <c r="A12" s="303"/>
      <c r="B12" s="306"/>
      <c r="C12" s="306"/>
      <c r="D12" s="693"/>
      <c r="E12" s="690"/>
      <c r="F12" s="313"/>
      <c r="G12" s="320"/>
      <c r="H12" s="303"/>
      <c r="I12" s="85"/>
      <c r="J12" s="303"/>
      <c r="K12" s="317"/>
      <c r="L12" s="763"/>
      <c r="M12" s="743"/>
      <c r="N12" s="78" t="s">
        <v>1987</v>
      </c>
      <c r="O12" s="457" t="s">
        <v>1992</v>
      </c>
      <c r="P12" s="80" t="s">
        <v>1982</v>
      </c>
      <c r="Q12" s="345">
        <v>9893333</v>
      </c>
      <c r="R12" s="46"/>
      <c r="S12" s="330">
        <v>1169</v>
      </c>
      <c r="T12" s="79">
        <v>44817</v>
      </c>
      <c r="U12" s="274">
        <v>9893333</v>
      </c>
      <c r="V12" s="330">
        <v>5010</v>
      </c>
      <c r="W12" s="79">
        <v>44824</v>
      </c>
      <c r="X12" s="274">
        <v>9893333</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42" customHeight="1" x14ac:dyDescent="0.25">
      <c r="A13" s="303"/>
      <c r="B13" s="306"/>
      <c r="C13" s="306"/>
      <c r="D13" s="693"/>
      <c r="E13" s="690"/>
      <c r="F13" s="313"/>
      <c r="G13" s="320"/>
      <c r="H13" s="303"/>
      <c r="I13" s="85"/>
      <c r="J13" s="303"/>
      <c r="K13" s="317"/>
      <c r="L13" s="763"/>
      <c r="M13" s="743"/>
      <c r="N13" s="78" t="s">
        <v>1988</v>
      </c>
      <c r="O13" s="457" t="s">
        <v>1993</v>
      </c>
      <c r="P13" s="80" t="s">
        <v>1983</v>
      </c>
      <c r="Q13" s="345">
        <v>10500000</v>
      </c>
      <c r="R13" s="46"/>
      <c r="S13" s="330">
        <v>1245</v>
      </c>
      <c r="T13" s="79">
        <v>44832</v>
      </c>
      <c r="U13" s="274">
        <v>10500000</v>
      </c>
      <c r="V13" s="330">
        <v>5187</v>
      </c>
      <c r="W13" s="79">
        <v>44833</v>
      </c>
      <c r="X13" s="274">
        <v>10500000</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42" customHeight="1" x14ac:dyDescent="0.25">
      <c r="A14" s="303"/>
      <c r="B14" s="306"/>
      <c r="C14" s="306"/>
      <c r="D14" s="693"/>
      <c r="E14" s="690"/>
      <c r="F14" s="313"/>
      <c r="G14" s="320"/>
      <c r="H14" s="303"/>
      <c r="I14" s="85"/>
      <c r="J14" s="303"/>
      <c r="K14" s="317"/>
      <c r="L14" s="763"/>
      <c r="M14" s="743"/>
      <c r="N14" s="80" t="s">
        <v>2308</v>
      </c>
      <c r="O14" s="457" t="s">
        <v>2309</v>
      </c>
      <c r="P14" s="80" t="s">
        <v>2310</v>
      </c>
      <c r="Q14" s="274">
        <v>7950000</v>
      </c>
      <c r="R14" s="46"/>
      <c r="S14" s="330">
        <v>1288</v>
      </c>
      <c r="T14" s="79" t="s">
        <v>2786</v>
      </c>
      <c r="U14" s="274">
        <v>7950000</v>
      </c>
      <c r="V14" s="330">
        <v>5561</v>
      </c>
      <c r="W14" s="79" t="s">
        <v>2779</v>
      </c>
      <c r="X14" s="274">
        <v>7950000</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42" customHeight="1" x14ac:dyDescent="0.25">
      <c r="A15" s="410"/>
      <c r="B15" s="415"/>
      <c r="C15" s="415"/>
      <c r="D15" s="693"/>
      <c r="E15" s="690"/>
      <c r="F15" s="423"/>
      <c r="G15" s="431"/>
      <c r="H15" s="410"/>
      <c r="I15" s="85"/>
      <c r="J15" s="410"/>
      <c r="K15" s="418"/>
      <c r="L15" s="763"/>
      <c r="M15" s="743"/>
      <c r="N15" s="80" t="s">
        <v>2311</v>
      </c>
      <c r="O15" s="457" t="s">
        <v>2312</v>
      </c>
      <c r="P15" s="80" t="s">
        <v>2313</v>
      </c>
      <c r="Q15" s="274">
        <v>7950000</v>
      </c>
      <c r="R15" s="46"/>
      <c r="S15" s="330">
        <v>1290</v>
      </c>
      <c r="T15" s="79" t="s">
        <v>2786</v>
      </c>
      <c r="U15" s="274">
        <v>7950000</v>
      </c>
      <c r="V15" s="330">
        <v>5560</v>
      </c>
      <c r="W15" s="79" t="s">
        <v>2779</v>
      </c>
      <c r="X15" s="274">
        <v>7950000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42" customHeight="1" x14ac:dyDescent="0.25">
      <c r="A16" s="410"/>
      <c r="B16" s="415"/>
      <c r="C16" s="415"/>
      <c r="D16" s="693"/>
      <c r="E16" s="690"/>
      <c r="F16" s="423"/>
      <c r="G16" s="431"/>
      <c r="H16" s="410"/>
      <c r="I16" s="85"/>
      <c r="J16" s="410"/>
      <c r="K16" s="418"/>
      <c r="L16" s="763"/>
      <c r="M16" s="743"/>
      <c r="N16" s="80" t="s">
        <v>2314</v>
      </c>
      <c r="O16" s="457" t="s">
        <v>2315</v>
      </c>
      <c r="P16" s="80" t="s">
        <v>2316</v>
      </c>
      <c r="Q16" s="274">
        <v>7950000</v>
      </c>
      <c r="R16" s="46"/>
      <c r="S16" s="330">
        <v>1289</v>
      </c>
      <c r="T16" s="79" t="s">
        <v>2786</v>
      </c>
      <c r="U16" s="274">
        <v>7950000</v>
      </c>
      <c r="V16" s="330">
        <v>5567</v>
      </c>
      <c r="W16" s="79" t="s">
        <v>2779</v>
      </c>
      <c r="X16" s="274">
        <v>7950000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42" customHeight="1" x14ac:dyDescent="0.25">
      <c r="A17" s="410"/>
      <c r="B17" s="415"/>
      <c r="C17" s="415"/>
      <c r="D17" s="693"/>
      <c r="E17" s="690"/>
      <c r="F17" s="423"/>
      <c r="G17" s="431"/>
      <c r="H17" s="410"/>
      <c r="I17" s="85"/>
      <c r="J17" s="410"/>
      <c r="K17" s="418"/>
      <c r="L17" s="763"/>
      <c r="M17" s="743"/>
      <c r="N17" s="80" t="s">
        <v>2317</v>
      </c>
      <c r="O17" s="457" t="s">
        <v>2318</v>
      </c>
      <c r="P17" s="80" t="s">
        <v>2319</v>
      </c>
      <c r="Q17" s="274">
        <v>4500000</v>
      </c>
      <c r="R17" s="46"/>
      <c r="S17" s="330">
        <v>1287</v>
      </c>
      <c r="T17" s="79" t="s">
        <v>2786</v>
      </c>
      <c r="U17" s="274">
        <v>4500000</v>
      </c>
      <c r="V17" s="330">
        <v>5746</v>
      </c>
      <c r="W17" s="79" t="s">
        <v>2795</v>
      </c>
      <c r="X17" s="274">
        <v>4500000</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42" customHeight="1" x14ac:dyDescent="0.25">
      <c r="A18" s="410"/>
      <c r="B18" s="415"/>
      <c r="C18" s="415"/>
      <c r="D18" s="693"/>
      <c r="E18" s="690"/>
      <c r="F18" s="423"/>
      <c r="G18" s="431"/>
      <c r="H18" s="410"/>
      <c r="I18" s="85"/>
      <c r="J18" s="410"/>
      <c r="K18" s="418"/>
      <c r="L18" s="763"/>
      <c r="M18" s="743"/>
      <c r="N18" s="80" t="s">
        <v>2320</v>
      </c>
      <c r="O18" s="457" t="s">
        <v>2321</v>
      </c>
      <c r="P18" s="80" t="s">
        <v>2322</v>
      </c>
      <c r="Q18" s="274">
        <v>4500000</v>
      </c>
      <c r="R18" s="46"/>
      <c r="S18" s="330">
        <v>1397</v>
      </c>
      <c r="T18" s="79" t="s">
        <v>2787</v>
      </c>
      <c r="U18" s="274">
        <v>4500000</v>
      </c>
      <c r="V18" s="330">
        <v>5747</v>
      </c>
      <c r="W18" s="79" t="s">
        <v>2795</v>
      </c>
      <c r="X18" s="274">
        <v>4500000</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42" customHeight="1" x14ac:dyDescent="0.25">
      <c r="A19" s="303"/>
      <c r="B19" s="306"/>
      <c r="C19" s="306"/>
      <c r="D19" s="693"/>
      <c r="E19" s="690"/>
      <c r="F19" s="313"/>
      <c r="G19" s="320"/>
      <c r="H19" s="303"/>
      <c r="I19" s="85"/>
      <c r="J19" s="303"/>
      <c r="K19" s="317"/>
      <c r="L19" s="763"/>
      <c r="M19" s="743"/>
      <c r="N19" s="80" t="s">
        <v>2323</v>
      </c>
      <c r="O19" s="457" t="s">
        <v>2324</v>
      </c>
      <c r="P19" s="80" t="s">
        <v>2325</v>
      </c>
      <c r="Q19" s="528">
        <v>6450000</v>
      </c>
      <c r="R19" s="46"/>
      <c r="S19" s="330"/>
      <c r="T19" s="79"/>
      <c r="U19" s="330"/>
      <c r="V19" s="330"/>
      <c r="W19" s="79"/>
      <c r="X19" s="330"/>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50" customFormat="1" ht="42" customHeight="1" x14ac:dyDescent="0.25">
      <c r="A20" s="303"/>
      <c r="B20" s="306"/>
      <c r="C20" s="306"/>
      <c r="D20" s="694"/>
      <c r="E20" s="691"/>
      <c r="F20" s="313"/>
      <c r="G20" s="320"/>
      <c r="H20" s="303"/>
      <c r="I20" s="85"/>
      <c r="J20" s="303"/>
      <c r="K20" s="317"/>
      <c r="L20" s="759"/>
      <c r="M20" s="744"/>
      <c r="N20" s="80" t="s">
        <v>2323</v>
      </c>
      <c r="O20" s="457" t="s">
        <v>2326</v>
      </c>
      <c r="P20" s="80" t="s">
        <v>2214</v>
      </c>
      <c r="Q20" s="274">
        <v>3450000</v>
      </c>
      <c r="R20" s="46"/>
      <c r="S20" s="330">
        <v>1450</v>
      </c>
      <c r="T20" s="79" t="s">
        <v>2788</v>
      </c>
      <c r="U20" s="274">
        <v>3450000</v>
      </c>
      <c r="V20" s="330">
        <v>5888</v>
      </c>
      <c r="W20" s="79" t="s">
        <v>2806</v>
      </c>
      <c r="X20" s="274">
        <v>3450000</v>
      </c>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row>
    <row r="21" spans="1:129" s="107" customFormat="1" ht="15" x14ac:dyDescent="0.25">
      <c r="A21" s="92"/>
      <c r="B21" s="92"/>
      <c r="C21" s="92"/>
      <c r="D21" s="92"/>
      <c r="E21" s="104"/>
      <c r="F21" s="101"/>
      <c r="G21" s="101"/>
      <c r="H21" s="92"/>
      <c r="I21" s="93"/>
      <c r="J21" s="92"/>
      <c r="K21" s="92"/>
      <c r="L21" s="102">
        <f>SUM(L8:L9)</f>
        <v>103524000</v>
      </c>
      <c r="M21" s="101"/>
      <c r="N21" s="105"/>
      <c r="O21" s="86"/>
      <c r="P21" s="95"/>
      <c r="Q21" s="103">
        <f>SUM(Q9:Q20)</f>
        <v>84453333</v>
      </c>
      <c r="R21" s="89"/>
      <c r="S21" s="86"/>
      <c r="T21" s="95"/>
      <c r="U21" s="103">
        <f>SUM(U10:U20)</f>
        <v>77003333</v>
      </c>
      <c r="V21" s="86"/>
      <c r="W21" s="95"/>
      <c r="X21" s="103">
        <f>SUM(X8:X20)</f>
        <v>77003333</v>
      </c>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row>
    <row r="22" spans="1:129" s="50" customFormat="1" ht="36.75" customHeight="1" x14ac:dyDescent="0.25">
      <c r="A22" s="692" t="s">
        <v>160</v>
      </c>
      <c r="B22" s="766" t="s">
        <v>161</v>
      </c>
      <c r="C22" s="689" t="s">
        <v>74</v>
      </c>
      <c r="D22" s="692" t="s">
        <v>756</v>
      </c>
      <c r="E22" s="689" t="s">
        <v>144</v>
      </c>
      <c r="F22" s="710">
        <v>33600000</v>
      </c>
      <c r="G22" s="728">
        <v>0</v>
      </c>
      <c r="H22" s="692"/>
      <c r="I22" s="692"/>
      <c r="J22" s="692"/>
      <c r="K22" s="692"/>
      <c r="L22" s="758">
        <f>+F22+G22+H24+J24-K24</f>
        <v>33600000</v>
      </c>
      <c r="M22" s="742">
        <v>112800000</v>
      </c>
      <c r="N22" s="80" t="s">
        <v>1516</v>
      </c>
      <c r="O22" s="154" t="s">
        <v>885</v>
      </c>
      <c r="P22" s="250" t="s">
        <v>1517</v>
      </c>
      <c r="Q22" s="364">
        <v>0</v>
      </c>
      <c r="R22" s="46"/>
      <c r="S22" s="404"/>
      <c r="T22" s="273"/>
      <c r="U22" s="274"/>
      <c r="V22" s="404"/>
      <c r="W22" s="273"/>
      <c r="X22" s="274"/>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row>
    <row r="23" spans="1:129" s="50" customFormat="1" ht="36.75" customHeight="1" x14ac:dyDescent="0.25">
      <c r="A23" s="693"/>
      <c r="B23" s="767"/>
      <c r="C23" s="690"/>
      <c r="D23" s="693"/>
      <c r="E23" s="690"/>
      <c r="F23" s="711"/>
      <c r="G23" s="735"/>
      <c r="H23" s="693"/>
      <c r="I23" s="693"/>
      <c r="J23" s="693"/>
      <c r="K23" s="693"/>
      <c r="L23" s="763"/>
      <c r="M23" s="743"/>
      <c r="N23" s="80" t="s">
        <v>1518</v>
      </c>
      <c r="O23" s="154" t="s">
        <v>885</v>
      </c>
      <c r="P23" s="250" t="s">
        <v>1519</v>
      </c>
      <c r="Q23" s="364">
        <v>0</v>
      </c>
      <c r="R23" s="46"/>
      <c r="S23" s="404"/>
      <c r="T23" s="273"/>
      <c r="U23" s="274"/>
      <c r="V23" s="404"/>
      <c r="W23" s="273"/>
      <c r="X23" s="274"/>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row>
    <row r="24" spans="1:129" s="50" customFormat="1" ht="36.75" customHeight="1" x14ac:dyDescent="0.25">
      <c r="A24" s="693"/>
      <c r="B24" s="767"/>
      <c r="C24" s="690"/>
      <c r="D24" s="693"/>
      <c r="E24" s="690"/>
      <c r="F24" s="712"/>
      <c r="G24" s="729"/>
      <c r="H24" s="694"/>
      <c r="I24" s="694"/>
      <c r="J24" s="694"/>
      <c r="K24" s="694"/>
      <c r="L24" s="763"/>
      <c r="M24" s="743"/>
      <c r="N24" s="80" t="s">
        <v>1520</v>
      </c>
      <c r="O24" s="457" t="s">
        <v>1521</v>
      </c>
      <c r="P24" s="250" t="s">
        <v>1522</v>
      </c>
      <c r="Q24" s="364">
        <v>1755000</v>
      </c>
      <c r="R24" s="46"/>
      <c r="S24" s="404">
        <v>824</v>
      </c>
      <c r="T24" s="273">
        <v>44760</v>
      </c>
      <c r="U24" s="274">
        <v>1755000</v>
      </c>
      <c r="V24" s="404">
        <v>4891</v>
      </c>
      <c r="W24" s="273">
        <v>44811</v>
      </c>
      <c r="X24" s="274">
        <v>1755000</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row>
    <row r="25" spans="1:129" s="50" customFormat="1" ht="36.75" customHeight="1" x14ac:dyDescent="0.25">
      <c r="A25" s="693"/>
      <c r="B25" s="767"/>
      <c r="C25" s="690"/>
      <c r="D25" s="693"/>
      <c r="E25" s="690"/>
      <c r="F25" s="313"/>
      <c r="G25" s="317"/>
      <c r="H25" s="303"/>
      <c r="I25" s="85"/>
      <c r="J25" s="303"/>
      <c r="K25" s="303"/>
      <c r="L25" s="763"/>
      <c r="M25" s="743"/>
      <c r="N25" s="80" t="s">
        <v>2013</v>
      </c>
      <c r="O25" s="457" t="s">
        <v>2021</v>
      </c>
      <c r="P25" s="329" t="s">
        <v>2005</v>
      </c>
      <c r="Q25" s="529">
        <v>4500000</v>
      </c>
      <c r="R25" s="46"/>
      <c r="S25" s="404">
        <v>1021</v>
      </c>
      <c r="T25" s="273">
        <v>44783</v>
      </c>
      <c r="U25" s="274">
        <v>4500000</v>
      </c>
      <c r="V25" s="404">
        <v>4892</v>
      </c>
      <c r="W25" s="273" t="s">
        <v>2846</v>
      </c>
      <c r="X25" s="274">
        <v>4500000</v>
      </c>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row>
    <row r="26" spans="1:129" s="50" customFormat="1" ht="36.75" customHeight="1" x14ac:dyDescent="0.25">
      <c r="A26" s="693"/>
      <c r="B26" s="767"/>
      <c r="C26" s="690"/>
      <c r="D26" s="693"/>
      <c r="E26" s="690"/>
      <c r="F26" s="313"/>
      <c r="G26" s="317"/>
      <c r="H26" s="303"/>
      <c r="I26" s="85"/>
      <c r="J26" s="303"/>
      <c r="K26" s="303"/>
      <c r="L26" s="763"/>
      <c r="M26" s="743"/>
      <c r="N26" s="80" t="s">
        <v>2014</v>
      </c>
      <c r="O26" s="457" t="s">
        <v>2022</v>
      </c>
      <c r="P26" s="329" t="s">
        <v>2006</v>
      </c>
      <c r="Q26" s="364">
        <v>1275000</v>
      </c>
      <c r="R26" s="46"/>
      <c r="S26" s="404">
        <v>1043</v>
      </c>
      <c r="T26" s="273">
        <v>44792</v>
      </c>
      <c r="U26" s="274">
        <v>1275000</v>
      </c>
      <c r="V26" s="404">
        <v>4646</v>
      </c>
      <c r="W26" s="273">
        <v>44798</v>
      </c>
      <c r="X26" s="274">
        <v>1275000</v>
      </c>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row>
    <row r="27" spans="1:129" s="50" customFormat="1" ht="36.75" customHeight="1" x14ac:dyDescent="0.25">
      <c r="A27" s="693"/>
      <c r="B27" s="767"/>
      <c r="C27" s="690"/>
      <c r="D27" s="693"/>
      <c r="E27" s="690"/>
      <c r="F27" s="313"/>
      <c r="G27" s="317"/>
      <c r="H27" s="303"/>
      <c r="I27" s="85"/>
      <c r="J27" s="303"/>
      <c r="K27" s="303"/>
      <c r="L27" s="763"/>
      <c r="M27" s="743"/>
      <c r="N27" s="80" t="s">
        <v>2015</v>
      </c>
      <c r="O27" s="154" t="s">
        <v>885</v>
      </c>
      <c r="P27" s="329" t="s">
        <v>2007</v>
      </c>
      <c r="Q27" s="364">
        <v>0</v>
      </c>
      <c r="R27" s="46"/>
      <c r="S27" s="404"/>
      <c r="T27" s="273"/>
      <c r="U27" s="274"/>
      <c r="V27" s="404"/>
      <c r="W27" s="273"/>
      <c r="X27" s="274"/>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row>
    <row r="28" spans="1:129" s="50" customFormat="1" ht="36.75" customHeight="1" x14ac:dyDescent="0.25">
      <c r="A28" s="693"/>
      <c r="B28" s="767"/>
      <c r="C28" s="690"/>
      <c r="D28" s="693"/>
      <c r="E28" s="690"/>
      <c r="F28" s="313"/>
      <c r="G28" s="317"/>
      <c r="H28" s="303"/>
      <c r="I28" s="85"/>
      <c r="J28" s="303"/>
      <c r="K28" s="303"/>
      <c r="L28" s="763"/>
      <c r="M28" s="743"/>
      <c r="N28" s="80" t="s">
        <v>2016</v>
      </c>
      <c r="O28" s="457" t="s">
        <v>2023</v>
      </c>
      <c r="P28" s="329" t="s">
        <v>2008</v>
      </c>
      <c r="Q28" s="529">
        <v>2427600</v>
      </c>
      <c r="R28" s="46"/>
      <c r="S28" s="404">
        <v>1026</v>
      </c>
      <c r="T28" s="273">
        <v>44790</v>
      </c>
      <c r="U28" s="274">
        <v>2427600</v>
      </c>
      <c r="V28" s="404">
        <v>4521</v>
      </c>
      <c r="W28" s="273">
        <v>44792</v>
      </c>
      <c r="X28" s="274">
        <v>2427600</v>
      </c>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row>
    <row r="29" spans="1:129" s="50" customFormat="1" ht="36.75" customHeight="1" x14ac:dyDescent="0.25">
      <c r="A29" s="693"/>
      <c r="B29" s="767"/>
      <c r="C29" s="690"/>
      <c r="D29" s="693"/>
      <c r="E29" s="690"/>
      <c r="F29" s="313"/>
      <c r="G29" s="317"/>
      <c r="H29" s="303"/>
      <c r="I29" s="85"/>
      <c r="J29" s="303"/>
      <c r="K29" s="303"/>
      <c r="L29" s="763"/>
      <c r="M29" s="743"/>
      <c r="N29" s="80" t="s">
        <v>2017</v>
      </c>
      <c r="O29" s="457" t="s">
        <v>2024</v>
      </c>
      <c r="P29" s="329" t="s">
        <v>2009</v>
      </c>
      <c r="Q29" s="364">
        <v>400000</v>
      </c>
      <c r="R29" s="46"/>
      <c r="S29" s="404">
        <v>1056</v>
      </c>
      <c r="T29" s="273">
        <v>44795</v>
      </c>
      <c r="U29" s="274">
        <v>400000</v>
      </c>
      <c r="V29" s="404">
        <v>4966</v>
      </c>
      <c r="W29" s="273">
        <v>44819</v>
      </c>
      <c r="X29" s="274">
        <v>400000</v>
      </c>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row>
    <row r="30" spans="1:129" s="50" customFormat="1" ht="36.75" customHeight="1" x14ac:dyDescent="0.25">
      <c r="A30" s="693"/>
      <c r="B30" s="767"/>
      <c r="C30" s="690"/>
      <c r="D30" s="693"/>
      <c r="E30" s="690"/>
      <c r="F30" s="313"/>
      <c r="G30" s="317"/>
      <c r="H30" s="303"/>
      <c r="I30" s="85"/>
      <c r="J30" s="303"/>
      <c r="K30" s="303"/>
      <c r="L30" s="763"/>
      <c r="M30" s="743"/>
      <c r="N30" s="80" t="s">
        <v>2018</v>
      </c>
      <c r="O30" s="154" t="s">
        <v>885</v>
      </c>
      <c r="P30" s="329" t="s">
        <v>2010</v>
      </c>
      <c r="Q30" s="364">
        <v>0</v>
      </c>
      <c r="R30" s="46"/>
      <c r="S30" s="404"/>
      <c r="T30" s="273"/>
      <c r="U30" s="274"/>
      <c r="V30" s="404"/>
      <c r="W30" s="273"/>
      <c r="X30" s="274"/>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row>
    <row r="31" spans="1:129" s="50" customFormat="1" ht="36.75" customHeight="1" x14ac:dyDescent="0.25">
      <c r="A31" s="693"/>
      <c r="B31" s="767"/>
      <c r="C31" s="690"/>
      <c r="D31" s="693"/>
      <c r="E31" s="690"/>
      <c r="F31" s="313"/>
      <c r="G31" s="317"/>
      <c r="H31" s="303"/>
      <c r="I31" s="85"/>
      <c r="J31" s="303"/>
      <c r="K31" s="303"/>
      <c r="L31" s="763"/>
      <c r="M31" s="743"/>
      <c r="N31" s="80" t="s">
        <v>2019</v>
      </c>
      <c r="O31" s="457" t="s">
        <v>2025</v>
      </c>
      <c r="P31" s="329" t="s">
        <v>2011</v>
      </c>
      <c r="Q31" s="364">
        <v>1500000</v>
      </c>
      <c r="R31" s="46"/>
      <c r="S31" s="404">
        <v>1164</v>
      </c>
      <c r="T31" s="273">
        <v>44817</v>
      </c>
      <c r="U31" s="274">
        <v>1500000</v>
      </c>
      <c r="V31" s="404">
        <v>4965</v>
      </c>
      <c r="W31" s="273">
        <v>44818</v>
      </c>
      <c r="X31" s="274">
        <v>1500000</v>
      </c>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row>
    <row r="32" spans="1:129" s="50" customFormat="1" ht="36.75" customHeight="1" x14ac:dyDescent="0.25">
      <c r="A32" s="693"/>
      <c r="B32" s="767"/>
      <c r="C32" s="690"/>
      <c r="D32" s="693"/>
      <c r="E32" s="690"/>
      <c r="F32" s="313"/>
      <c r="G32" s="317"/>
      <c r="H32" s="303"/>
      <c r="I32" s="85"/>
      <c r="J32" s="303"/>
      <c r="K32" s="303"/>
      <c r="L32" s="763"/>
      <c r="M32" s="743"/>
      <c r="N32" s="80" t="s">
        <v>2020</v>
      </c>
      <c r="O32" s="457" t="s">
        <v>2026</v>
      </c>
      <c r="P32" s="329" t="s">
        <v>2012</v>
      </c>
      <c r="Q32" s="364">
        <v>5250000</v>
      </c>
      <c r="R32" s="46"/>
      <c r="S32" s="404">
        <v>1170</v>
      </c>
      <c r="T32" s="273">
        <v>44817</v>
      </c>
      <c r="U32" s="274">
        <v>5250000</v>
      </c>
      <c r="V32" s="404">
        <v>5262</v>
      </c>
      <c r="W32" s="273" t="s">
        <v>2801</v>
      </c>
      <c r="X32" s="274">
        <v>5250000</v>
      </c>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row>
    <row r="33" spans="1:129" s="50" customFormat="1" ht="36.75" customHeight="1" x14ac:dyDescent="0.25">
      <c r="A33" s="693"/>
      <c r="B33" s="767"/>
      <c r="C33" s="690"/>
      <c r="D33" s="694"/>
      <c r="E33" s="691"/>
      <c r="F33" s="313"/>
      <c r="G33" s="317"/>
      <c r="H33" s="303"/>
      <c r="I33" s="85"/>
      <c r="J33" s="303"/>
      <c r="K33" s="303"/>
      <c r="L33" s="759"/>
      <c r="M33" s="743"/>
      <c r="N33" s="80" t="s">
        <v>2327</v>
      </c>
      <c r="O33" s="457" t="s">
        <v>2328</v>
      </c>
      <c r="P33" s="329" t="s">
        <v>2329</v>
      </c>
      <c r="Q33" s="529">
        <v>4500000</v>
      </c>
      <c r="R33" s="46"/>
      <c r="S33" s="330">
        <v>1390</v>
      </c>
      <c r="T33" s="79" t="s">
        <v>2777</v>
      </c>
      <c r="U33" s="274">
        <v>4500000</v>
      </c>
      <c r="V33" s="330">
        <v>5749</v>
      </c>
      <c r="W33" s="79" t="s">
        <v>2795</v>
      </c>
      <c r="X33" s="274">
        <v>4500000</v>
      </c>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row>
    <row r="34" spans="1:129" s="50" customFormat="1" ht="27" x14ac:dyDescent="0.25">
      <c r="A34" s="694"/>
      <c r="B34" s="768"/>
      <c r="C34" s="691"/>
      <c r="D34" s="44" t="s">
        <v>757</v>
      </c>
      <c r="E34" s="69" t="s">
        <v>162</v>
      </c>
      <c r="F34" s="289">
        <v>79200000</v>
      </c>
      <c r="G34" s="66">
        <v>0</v>
      </c>
      <c r="H34" s="44"/>
      <c r="I34" s="45"/>
      <c r="J34" s="44"/>
      <c r="K34" s="44"/>
      <c r="L34" s="65">
        <f t="shared" ref="L34" si="0">+F34+G34+H34+J34-K34</f>
        <v>79200000</v>
      </c>
      <c r="M34" s="744"/>
      <c r="N34" s="80" t="s">
        <v>509</v>
      </c>
      <c r="O34" s="457">
        <v>203</v>
      </c>
      <c r="P34" s="250" t="s">
        <v>510</v>
      </c>
      <c r="Q34" s="274">
        <v>37545400</v>
      </c>
      <c r="R34" s="46"/>
      <c r="S34" s="38">
        <v>346</v>
      </c>
      <c r="T34" s="122">
        <v>44609</v>
      </c>
      <c r="U34" s="66">
        <v>37545400</v>
      </c>
      <c r="V34" s="404">
        <v>2364</v>
      </c>
      <c r="W34" s="273">
        <v>44679</v>
      </c>
      <c r="X34" s="278">
        <v>6750000</v>
      </c>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row>
    <row r="35" spans="1:129" s="50" customFormat="1" ht="15" x14ac:dyDescent="0.25">
      <c r="A35" s="368"/>
      <c r="B35" s="371"/>
      <c r="C35" s="371"/>
      <c r="D35" s="368"/>
      <c r="E35" s="137"/>
      <c r="F35" s="372"/>
      <c r="G35" s="374"/>
      <c r="H35" s="368"/>
      <c r="I35" s="85"/>
      <c r="J35" s="368"/>
      <c r="K35" s="368"/>
      <c r="L35" s="369"/>
      <c r="M35" s="370"/>
      <c r="N35" s="80"/>
      <c r="O35" s="330"/>
      <c r="P35" s="377"/>
      <c r="Q35" s="155"/>
      <c r="R35" s="46"/>
      <c r="S35" s="377"/>
      <c r="T35" s="273"/>
      <c r="U35" s="274"/>
      <c r="V35" s="404">
        <v>4453</v>
      </c>
      <c r="W35" s="273">
        <v>44790</v>
      </c>
      <c r="X35" s="278">
        <v>2745000</v>
      </c>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row>
    <row r="36" spans="1:129" s="50" customFormat="1" ht="15" x14ac:dyDescent="0.25">
      <c r="A36" s="368"/>
      <c r="B36" s="371"/>
      <c r="C36" s="371"/>
      <c r="D36" s="368"/>
      <c r="E36" s="137"/>
      <c r="F36" s="372"/>
      <c r="G36" s="374"/>
      <c r="H36" s="368"/>
      <c r="I36" s="85"/>
      <c r="J36" s="368"/>
      <c r="K36" s="368"/>
      <c r="L36" s="369"/>
      <c r="M36" s="370"/>
      <c r="N36" s="80"/>
      <c r="O36" s="330"/>
      <c r="P36" s="377"/>
      <c r="Q36" s="155"/>
      <c r="R36" s="46"/>
      <c r="S36" s="377"/>
      <c r="T36" s="273"/>
      <c r="U36" s="274"/>
      <c r="V36" s="404">
        <v>4532</v>
      </c>
      <c r="W36" s="273">
        <v>44795</v>
      </c>
      <c r="X36" s="278">
        <v>2473440</v>
      </c>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row>
    <row r="37" spans="1:129" s="50" customFormat="1" ht="15" x14ac:dyDescent="0.25">
      <c r="A37" s="368"/>
      <c r="B37" s="371"/>
      <c r="C37" s="371"/>
      <c r="D37" s="368"/>
      <c r="E37" s="137"/>
      <c r="F37" s="372"/>
      <c r="G37" s="374"/>
      <c r="H37" s="368"/>
      <c r="I37" s="85"/>
      <c r="J37" s="368"/>
      <c r="K37" s="368"/>
      <c r="L37" s="369"/>
      <c r="M37" s="370"/>
      <c r="N37" s="80"/>
      <c r="O37" s="330"/>
      <c r="P37" s="377"/>
      <c r="Q37" s="155"/>
      <c r="R37" s="46"/>
      <c r="S37" s="377"/>
      <c r="T37" s="273"/>
      <c r="U37" s="274"/>
      <c r="V37" s="568">
        <v>4707</v>
      </c>
      <c r="W37" s="273">
        <v>44805</v>
      </c>
      <c r="X37" s="278">
        <v>5007200</v>
      </c>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row>
    <row r="38" spans="1:129" s="50" customFormat="1" ht="15" x14ac:dyDescent="0.25">
      <c r="A38" s="552"/>
      <c r="B38" s="555"/>
      <c r="C38" s="555"/>
      <c r="D38" s="552"/>
      <c r="E38" s="137"/>
      <c r="F38" s="558"/>
      <c r="G38" s="559"/>
      <c r="H38" s="552"/>
      <c r="I38" s="85"/>
      <c r="J38" s="552"/>
      <c r="K38" s="552"/>
      <c r="L38" s="564"/>
      <c r="M38" s="549"/>
      <c r="N38" s="80"/>
      <c r="O38" s="330"/>
      <c r="P38" s="568"/>
      <c r="Q38" s="155"/>
      <c r="R38" s="46"/>
      <c r="S38" s="568"/>
      <c r="T38" s="273"/>
      <c r="U38" s="274"/>
      <c r="V38" s="568">
        <v>5392</v>
      </c>
      <c r="W38" s="273" t="s">
        <v>2785</v>
      </c>
      <c r="X38" s="278">
        <v>6750000</v>
      </c>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row>
    <row r="39" spans="1:129" s="50" customFormat="1" ht="15" x14ac:dyDescent="0.25">
      <c r="A39" s="552"/>
      <c r="B39" s="555"/>
      <c r="C39" s="555"/>
      <c r="D39" s="552"/>
      <c r="E39" s="137"/>
      <c r="F39" s="558"/>
      <c r="G39" s="559"/>
      <c r="H39" s="552"/>
      <c r="I39" s="85"/>
      <c r="J39" s="552"/>
      <c r="K39" s="552"/>
      <c r="L39" s="564"/>
      <c r="M39" s="549"/>
      <c r="N39" s="80"/>
      <c r="O39" s="330"/>
      <c r="P39" s="568"/>
      <c r="Q39" s="155"/>
      <c r="R39" s="46"/>
      <c r="S39" s="568"/>
      <c r="T39" s="273"/>
      <c r="U39" s="274"/>
      <c r="V39" s="568">
        <v>5675</v>
      </c>
      <c r="W39" s="273" t="s">
        <v>2770</v>
      </c>
      <c r="X39" s="278">
        <v>1997447</v>
      </c>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row>
    <row r="40" spans="1:129" s="50" customFormat="1" ht="15" x14ac:dyDescent="0.25">
      <c r="A40" s="552"/>
      <c r="B40" s="555"/>
      <c r="C40" s="555"/>
      <c r="D40" s="552"/>
      <c r="E40" s="137"/>
      <c r="F40" s="558"/>
      <c r="G40" s="559"/>
      <c r="H40" s="552"/>
      <c r="I40" s="85"/>
      <c r="J40" s="552"/>
      <c r="K40" s="552"/>
      <c r="L40" s="564"/>
      <c r="M40" s="549"/>
      <c r="N40" s="80"/>
      <c r="O40" s="330"/>
      <c r="P40" s="568"/>
      <c r="Q40" s="155"/>
      <c r="R40" s="46"/>
      <c r="S40" s="568"/>
      <c r="T40" s="273"/>
      <c r="U40" s="274"/>
      <c r="V40" s="568">
        <v>5875</v>
      </c>
      <c r="W40" s="273" t="s">
        <v>2780</v>
      </c>
      <c r="X40" s="278">
        <v>3726000</v>
      </c>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row>
    <row r="41" spans="1:129" s="50" customFormat="1" ht="15" x14ac:dyDescent="0.25">
      <c r="A41" s="552"/>
      <c r="B41" s="555"/>
      <c r="C41" s="555"/>
      <c r="D41" s="552"/>
      <c r="E41" s="137"/>
      <c r="F41" s="558"/>
      <c r="G41" s="559"/>
      <c r="H41" s="552"/>
      <c r="I41" s="85"/>
      <c r="J41" s="552"/>
      <c r="K41" s="552"/>
      <c r="L41" s="564"/>
      <c r="M41" s="549"/>
      <c r="N41" s="80"/>
      <c r="O41" s="330"/>
      <c r="P41" s="568"/>
      <c r="Q41" s="155"/>
      <c r="R41" s="46"/>
      <c r="S41" s="568"/>
      <c r="T41" s="273"/>
      <c r="U41" s="274"/>
      <c r="V41" s="568">
        <v>6049</v>
      </c>
      <c r="W41" s="273" t="s">
        <v>2789</v>
      </c>
      <c r="X41" s="278">
        <v>4012405</v>
      </c>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row>
    <row r="42" spans="1:129" s="50" customFormat="1" ht="15" x14ac:dyDescent="0.25">
      <c r="A42" s="552"/>
      <c r="B42" s="555"/>
      <c r="C42" s="555"/>
      <c r="D42" s="552"/>
      <c r="E42" s="137"/>
      <c r="F42" s="558"/>
      <c r="G42" s="559"/>
      <c r="H42" s="552"/>
      <c r="I42" s="85"/>
      <c r="J42" s="552"/>
      <c r="K42" s="552"/>
      <c r="L42" s="564"/>
      <c r="M42" s="549"/>
      <c r="N42" s="80"/>
      <c r="O42" s="330"/>
      <c r="P42" s="568"/>
      <c r="Q42" s="155"/>
      <c r="R42" s="46"/>
      <c r="S42" s="568"/>
      <c r="T42" s="273"/>
      <c r="U42" s="274"/>
      <c r="V42" s="568">
        <v>6050</v>
      </c>
      <c r="W42" s="273" t="s">
        <v>2789</v>
      </c>
      <c r="X42" s="278">
        <v>3495000</v>
      </c>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row>
    <row r="43" spans="1:129" s="50" customFormat="1" ht="15" x14ac:dyDescent="0.25">
      <c r="A43" s="368"/>
      <c r="B43" s="371"/>
      <c r="C43" s="371"/>
      <c r="D43" s="368"/>
      <c r="E43" s="137"/>
      <c r="F43" s="372"/>
      <c r="G43" s="374"/>
      <c r="H43" s="368"/>
      <c r="I43" s="85"/>
      <c r="J43" s="368"/>
      <c r="K43" s="368"/>
      <c r="L43" s="369"/>
      <c r="M43" s="370"/>
      <c r="N43" s="80"/>
      <c r="O43" s="330"/>
      <c r="P43" s="377"/>
      <c r="Q43" s="155"/>
      <c r="R43" s="46"/>
      <c r="S43" s="377"/>
      <c r="T43" s="273"/>
      <c r="U43" s="274"/>
      <c r="V43" s="404">
        <v>6133</v>
      </c>
      <c r="W43" s="273" t="s">
        <v>2799</v>
      </c>
      <c r="X43" s="278">
        <v>588908</v>
      </c>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row>
    <row r="44" spans="1:129" s="107" customFormat="1" ht="15.75" thickBot="1" x14ac:dyDescent="0.3">
      <c r="A44" s="92"/>
      <c r="B44" s="92"/>
      <c r="C44" s="92"/>
      <c r="D44" s="92"/>
      <c r="E44" s="104"/>
      <c r="F44" s="101"/>
      <c r="G44" s="101"/>
      <c r="H44" s="92"/>
      <c r="I44" s="93"/>
      <c r="J44" s="92"/>
      <c r="K44" s="92"/>
      <c r="L44" s="102">
        <f>SUM(L22:L34)</f>
        <v>112800000</v>
      </c>
      <c r="M44" s="101"/>
      <c r="N44" s="105"/>
      <c r="O44" s="86"/>
      <c r="P44" s="95"/>
      <c r="Q44" s="103">
        <f>SUM(Q22:Q34)</f>
        <v>59153000</v>
      </c>
      <c r="R44" s="89"/>
      <c r="S44" s="86"/>
      <c r="T44" s="95"/>
      <c r="U44" s="103">
        <f>SUM(U22:U43)</f>
        <v>59153000</v>
      </c>
      <c r="V44" s="86"/>
      <c r="W44" s="95"/>
      <c r="X44" s="103">
        <f>SUM(X22:XFD43)</f>
        <v>59153000</v>
      </c>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row>
    <row r="45" spans="1:129" s="63" customFormat="1" ht="17.25" thickBot="1" x14ac:dyDescent="0.35">
      <c r="A45" s="51"/>
      <c r="B45" s="51"/>
      <c r="C45" s="42"/>
      <c r="D45" s="42"/>
      <c r="E45" s="42"/>
      <c r="F45" s="52"/>
      <c r="G45" s="42"/>
      <c r="H45" s="42"/>
      <c r="I45" s="43"/>
      <c r="J45" s="53" t="s">
        <v>29</v>
      </c>
      <c r="K45" s="54"/>
      <c r="L45" s="55">
        <f>+L21+L44</f>
        <v>216324000</v>
      </c>
      <c r="M45" s="56"/>
      <c r="N45" s="56"/>
      <c r="O45" s="56"/>
      <c r="P45" s="56"/>
      <c r="Q45" s="67">
        <f>+Q21+Q44</f>
        <v>143606333</v>
      </c>
      <c r="R45" s="57">
        <f>(Q45*1)/L45</f>
        <v>0.66384836171668427</v>
      </c>
      <c r="S45" s="84"/>
      <c r="T45" s="113"/>
      <c r="U45" s="114">
        <f>+U44+U21</f>
        <v>136156333</v>
      </c>
      <c r="V45" s="84"/>
      <c r="W45" s="113"/>
      <c r="X45" s="171">
        <f>+X44+X21</f>
        <v>136156333</v>
      </c>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row>
    <row r="46" spans="1:129" ht="15" x14ac:dyDescent="0.25">
      <c r="R46" s="4"/>
    </row>
    <row r="47" spans="1:129" ht="15" x14ac:dyDescent="0.25">
      <c r="Q47" s="39"/>
      <c r="R47" s="6"/>
      <c r="S47" s="39"/>
    </row>
    <row r="48" spans="1:129" ht="15" x14ac:dyDescent="0.25">
      <c r="Q48" s="39"/>
      <c r="R48" s="6"/>
      <c r="S48" s="39"/>
    </row>
    <row r="49" spans="17:19" ht="15" x14ac:dyDescent="0.25">
      <c r="Q49" s="39"/>
      <c r="R49" s="6"/>
      <c r="S49" s="39"/>
    </row>
    <row r="50" spans="17:19" ht="15" x14ac:dyDescent="0.25">
      <c r="Q50" s="39"/>
      <c r="R50" s="6"/>
      <c r="S50" s="39"/>
    </row>
    <row r="51" spans="17:19" ht="15" x14ac:dyDescent="0.25">
      <c r="Q51" s="39"/>
      <c r="R51" s="6"/>
      <c r="S51" s="39"/>
    </row>
    <row r="52" spans="17:19" ht="15" x14ac:dyDescent="0.25">
      <c r="Q52" s="39"/>
      <c r="R52" s="6"/>
      <c r="S52" s="39"/>
    </row>
    <row r="53" spans="17:19" ht="15" x14ac:dyDescent="0.25">
      <c r="Q53" s="39"/>
      <c r="R53" s="6"/>
      <c r="S53" s="39"/>
    </row>
    <row r="54" spans="17:19" ht="15" x14ac:dyDescent="0.25">
      <c r="Q54" s="39"/>
      <c r="R54" s="6"/>
      <c r="S54" s="39"/>
    </row>
    <row r="55" spans="17:19" ht="15" x14ac:dyDescent="0.25">
      <c r="Q55" s="39"/>
      <c r="R55" s="7"/>
      <c r="S55" s="39"/>
    </row>
    <row r="56" spans="17:19" ht="15" x14ac:dyDescent="0.25"/>
    <row r="57" spans="17:19" ht="15" x14ac:dyDescent="0.25"/>
    <row r="58" spans="17:19" ht="15" x14ac:dyDescent="0.25"/>
    <row r="59" spans="17:19" ht="15" x14ac:dyDescent="0.25"/>
    <row r="60" spans="17:19" ht="15" x14ac:dyDescent="0.25"/>
    <row r="61" spans="17:19" ht="15" x14ac:dyDescent="0.25"/>
    <row r="62" spans="17:19" ht="15" x14ac:dyDescent="0.25"/>
    <row r="63" spans="17:19" ht="15" x14ac:dyDescent="0.25"/>
    <row r="64" spans="17:19"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customHeight="1" x14ac:dyDescent="0.25"/>
    <row r="99" ht="15"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sheetData>
  <sheetProtection algorithmName="SHA-512" hashValue="G8ZJQW9CsSBRq8h4RjcGH0iLzYNe4JAuZ0K+Z/80X7QHtVUZOlagjIsKA9y49C83m4x38NT+Z7EiUsEUHwpTLw==" saltValue="eOuW18MGLJeRH4C9D1GEuQ==" spinCount="100000" sheet="1" objects="1" scenarios="1" selectLockedCells="1" selectUnlockedCells="1"/>
  <mergeCells count="28">
    <mergeCell ref="F22:F24"/>
    <mergeCell ref="M22:M34"/>
    <mergeCell ref="A22:A34"/>
    <mergeCell ref="C22:C34"/>
    <mergeCell ref="B22:B34"/>
    <mergeCell ref="K22:K24"/>
    <mergeCell ref="G22:G24"/>
    <mergeCell ref="H22:H24"/>
    <mergeCell ref="I22:I24"/>
    <mergeCell ref="J22:J24"/>
    <mergeCell ref="D22:D33"/>
    <mergeCell ref="E22:E33"/>
    <mergeCell ref="L22:L33"/>
    <mergeCell ref="W2:X2"/>
    <mergeCell ref="B3:V3"/>
    <mergeCell ref="W3:X3"/>
    <mergeCell ref="B4:V5"/>
    <mergeCell ref="W4:X4"/>
    <mergeCell ref="W5:X5"/>
    <mergeCell ref="A8:A9"/>
    <mergeCell ref="B8:B9"/>
    <mergeCell ref="C8:C9"/>
    <mergeCell ref="A2:A5"/>
    <mergeCell ref="B2:V2"/>
    <mergeCell ref="D9:D20"/>
    <mergeCell ref="E9:E20"/>
    <mergeCell ref="L9:L20"/>
    <mergeCell ref="M8:M20"/>
  </mergeCells>
  <conditionalFormatting sqref="R55:R1048576 R7:R20 R22:R43 R45">
    <cfRule type="cellIs" dxfId="999" priority="21" operator="between">
      <formula>0.51</formula>
      <formula>0.69</formula>
    </cfRule>
    <cfRule type="cellIs" dxfId="998" priority="22" operator="between">
      <formula>0.51</formula>
      <formula>0.69</formula>
    </cfRule>
    <cfRule type="cellIs" dxfId="997" priority="23" operator="lessThan">
      <formula>0.5</formula>
    </cfRule>
    <cfRule type="cellIs" dxfId="996" priority="24" operator="greaterThan">
      <formula>0.7</formula>
    </cfRule>
    <cfRule type="cellIs" dxfId="995" priority="25" operator="between">
      <formula>0.51</formula>
      <formula>0.69</formula>
    </cfRule>
    <cfRule type="cellIs" dxfId="994" priority="26" operator="lessThan">
      <formula>50</formula>
    </cfRule>
    <cfRule type="cellIs" dxfId="993" priority="27" operator="greaterThan">
      <formula>0.7</formula>
    </cfRule>
    <cfRule type="cellIs" dxfId="992" priority="28" operator="between">
      <formula>0.51</formula>
      <formula>0.69</formula>
    </cfRule>
    <cfRule type="cellIs" dxfId="991" priority="29" operator="lessThan">
      <formula>0.5</formula>
    </cfRule>
    <cfRule type="cellIs" dxfId="990" priority="30" operator="greaterThan">
      <formula>0.7</formula>
    </cfRule>
  </conditionalFormatting>
  <conditionalFormatting sqref="R44">
    <cfRule type="cellIs" dxfId="989" priority="1" operator="between">
      <formula>0.51</formula>
      <formula>0.69</formula>
    </cfRule>
    <cfRule type="cellIs" dxfId="988" priority="2" operator="between">
      <formula>0.51</formula>
      <formula>0.69</formula>
    </cfRule>
    <cfRule type="cellIs" dxfId="987" priority="3" operator="lessThan">
      <formula>0.5</formula>
    </cfRule>
    <cfRule type="cellIs" dxfId="986" priority="4" operator="greaterThan">
      <formula>0.7</formula>
    </cfRule>
    <cfRule type="cellIs" dxfId="985" priority="5" operator="between">
      <formula>0.51</formula>
      <formula>0.69</formula>
    </cfRule>
    <cfRule type="cellIs" dxfId="984" priority="6" operator="lessThan">
      <formula>50</formula>
    </cfRule>
    <cfRule type="cellIs" dxfId="983" priority="7" operator="greaterThan">
      <formula>0.7</formula>
    </cfRule>
    <cfRule type="cellIs" dxfId="982" priority="8" operator="between">
      <formula>0.51</formula>
      <formula>0.69</formula>
    </cfRule>
    <cfRule type="cellIs" dxfId="981" priority="9" operator="lessThan">
      <formula>0.5</formula>
    </cfRule>
    <cfRule type="cellIs" dxfId="980" priority="10" operator="greaterThan">
      <formula>0.7</formula>
    </cfRule>
  </conditionalFormatting>
  <conditionalFormatting sqref="R21">
    <cfRule type="cellIs" dxfId="979" priority="11" operator="between">
      <formula>0.51</formula>
      <formula>0.69</formula>
    </cfRule>
    <cfRule type="cellIs" dxfId="978" priority="12" operator="between">
      <formula>0.51</formula>
      <formula>0.69</formula>
    </cfRule>
    <cfRule type="cellIs" dxfId="977" priority="13" operator="lessThan">
      <formula>0.5</formula>
    </cfRule>
    <cfRule type="cellIs" dxfId="976" priority="14" operator="greaterThan">
      <formula>0.7</formula>
    </cfRule>
    <cfRule type="cellIs" dxfId="975" priority="15" operator="between">
      <formula>0.51</formula>
      <formula>0.69</formula>
    </cfRule>
    <cfRule type="cellIs" dxfId="974" priority="16" operator="lessThan">
      <formula>50</formula>
    </cfRule>
    <cfRule type="cellIs" dxfId="973" priority="17" operator="greaterThan">
      <formula>0.7</formula>
    </cfRule>
    <cfRule type="cellIs" dxfId="972" priority="18" operator="between">
      <formula>0.51</formula>
      <formula>0.69</formula>
    </cfRule>
    <cfRule type="cellIs" dxfId="971" priority="19" operator="lessThan">
      <formula>0.5</formula>
    </cfRule>
    <cfRule type="cellIs" dxfId="970" priority="20" operator="greaterThan">
      <formula>0.7</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2B"/>
  </sheetPr>
  <dimension ref="A1:EB876"/>
  <sheetViews>
    <sheetView showGridLines="0" topLeftCell="A7" zoomScale="80" zoomScaleNormal="80" workbookViewId="0">
      <selection activeCell="U60" sqref="U60"/>
    </sheetView>
  </sheetViews>
  <sheetFormatPr baseColWidth="10" defaultColWidth="0" defaultRowHeight="0" customHeight="1" zeroHeight="1" x14ac:dyDescent="0.25"/>
  <cols>
    <col min="1" max="1" width="11.42578125" style="73" customWidth="1"/>
    <col min="2" max="2" width="45.7109375" style="73" customWidth="1"/>
    <col min="3" max="3" width="17.28515625" style="73" customWidth="1"/>
    <col min="4" max="4" width="14.7109375" style="73" customWidth="1"/>
    <col min="5" max="5" width="40.28515625" style="73" customWidth="1"/>
    <col min="6" max="6" width="21.140625" style="1" hidden="1" customWidth="1"/>
    <col min="7" max="7" width="19.85546875" style="73" hidden="1" customWidth="1"/>
    <col min="8" max="8" width="17.7109375" style="73" hidden="1" customWidth="1"/>
    <col min="9" max="9" width="15.7109375" style="73" hidden="1" customWidth="1"/>
    <col min="10" max="10" width="15.140625" style="73" hidden="1" customWidth="1"/>
    <col min="11" max="11" width="15" style="73" hidden="1" customWidth="1"/>
    <col min="12" max="12" width="19.7109375" style="73" customWidth="1"/>
    <col min="13" max="13" width="18.85546875" style="73" customWidth="1"/>
    <col min="14" max="14" width="15.7109375" style="73" customWidth="1"/>
    <col min="15" max="15" width="11.42578125" style="73" customWidth="1"/>
    <col min="16" max="16" width="15.42578125" style="73" customWidth="1"/>
    <col min="17" max="17" width="17.28515625" style="73" bestFit="1" customWidth="1"/>
    <col min="18" max="18" width="11.5703125" style="3" bestFit="1" customWidth="1"/>
    <col min="19" max="19" width="11.42578125" style="73" customWidth="1"/>
    <col min="20" max="20" width="16.7109375" style="35" bestFit="1" customWidth="1"/>
    <col min="21" max="21" width="19.140625" style="73" bestFit="1" customWidth="1"/>
    <col min="22" max="22" width="11.42578125" style="73" customWidth="1"/>
    <col min="23" max="23" width="14.5703125" style="35" customWidth="1"/>
    <col min="24" max="24" width="19" style="73" bestFit="1" customWidth="1"/>
    <col min="25" max="129" width="11.5703125" style="72" hidden="1" customWidth="1"/>
    <col min="130" max="132" width="11.5703125" style="73" hidden="1" customWidth="1"/>
    <col min="133" max="16384" width="11.42578125" style="73" hidden="1"/>
  </cols>
  <sheetData>
    <row r="1" spans="1:129" ht="15" hidden="1" x14ac:dyDescent="0.25">
      <c r="A1" s="24"/>
      <c r="B1" s="25"/>
      <c r="C1" s="25"/>
      <c r="D1" s="26"/>
      <c r="E1" s="26"/>
      <c r="F1" s="27"/>
      <c r="G1" s="28"/>
      <c r="H1" s="28"/>
      <c r="I1" s="28"/>
      <c r="J1" s="28"/>
      <c r="K1" s="29"/>
      <c r="L1" s="24"/>
      <c r="M1" s="24"/>
      <c r="N1" s="24"/>
      <c r="O1" s="24"/>
      <c r="P1" s="24"/>
      <c r="Q1" s="24"/>
      <c r="R1" s="24"/>
      <c r="S1" s="24"/>
      <c r="T1" s="36"/>
      <c r="U1" s="24"/>
      <c r="V1" s="24"/>
      <c r="W1" s="36"/>
    </row>
    <row r="2" spans="1:129"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hidden="1"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87.75" customHeight="1" x14ac:dyDescent="0.25">
      <c r="A7" s="41" t="s">
        <v>0</v>
      </c>
      <c r="B7" s="41" t="s">
        <v>1</v>
      </c>
      <c r="C7" s="41" t="s">
        <v>2</v>
      </c>
      <c r="D7" s="41" t="s">
        <v>103</v>
      </c>
      <c r="E7" s="41" t="s">
        <v>30</v>
      </c>
      <c r="F7" s="41" t="s">
        <v>96</v>
      </c>
      <c r="G7" s="41" t="s">
        <v>97</v>
      </c>
      <c r="H7" s="41" t="s">
        <v>871</v>
      </c>
      <c r="I7" s="41" t="s">
        <v>1135</v>
      </c>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15" x14ac:dyDescent="0.25">
      <c r="A8" s="692" t="s">
        <v>1053</v>
      </c>
      <c r="B8" s="766" t="s">
        <v>248</v>
      </c>
      <c r="C8" s="689" t="s">
        <v>75</v>
      </c>
      <c r="D8" s="736" t="s">
        <v>1166</v>
      </c>
      <c r="E8" s="689" t="s">
        <v>118</v>
      </c>
      <c r="F8" s="728">
        <v>0</v>
      </c>
      <c r="G8" s="710">
        <v>648345228</v>
      </c>
      <c r="H8" s="728">
        <v>0</v>
      </c>
      <c r="I8" s="692"/>
      <c r="J8" s="692"/>
      <c r="K8" s="692"/>
      <c r="L8" s="758">
        <f>+F8+G8+H8+I10+J10-K10</f>
        <v>648345228</v>
      </c>
      <c r="M8" s="742">
        <v>648345228</v>
      </c>
      <c r="N8" s="80" t="s">
        <v>1347</v>
      </c>
      <c r="O8" s="457" t="s">
        <v>1348</v>
      </c>
      <c r="P8" s="122">
        <v>44694</v>
      </c>
      <c r="Q8" s="274">
        <v>76454000</v>
      </c>
      <c r="R8" s="46"/>
      <c r="S8" s="568">
        <v>611</v>
      </c>
      <c r="T8" s="273">
        <v>44701</v>
      </c>
      <c r="U8" s="274">
        <v>76454000</v>
      </c>
      <c r="V8" s="377">
        <v>2823</v>
      </c>
      <c r="W8" s="273">
        <v>44718</v>
      </c>
      <c r="X8" s="274">
        <v>76454000</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15" x14ac:dyDescent="0.25">
      <c r="A9" s="693"/>
      <c r="B9" s="767"/>
      <c r="C9" s="690"/>
      <c r="D9" s="693"/>
      <c r="E9" s="690"/>
      <c r="F9" s="735"/>
      <c r="G9" s="711"/>
      <c r="H9" s="735"/>
      <c r="I9" s="693"/>
      <c r="J9" s="693"/>
      <c r="K9" s="693"/>
      <c r="L9" s="763"/>
      <c r="M9" s="743"/>
      <c r="N9" s="80" t="s">
        <v>1349</v>
      </c>
      <c r="O9" s="457" t="s">
        <v>1350</v>
      </c>
      <c r="P9" s="122">
        <v>44705</v>
      </c>
      <c r="Q9" s="155">
        <v>250019000</v>
      </c>
      <c r="R9" s="46"/>
      <c r="S9" s="568">
        <v>678</v>
      </c>
      <c r="T9" s="273">
        <v>44718</v>
      </c>
      <c r="U9" s="274">
        <v>250019000</v>
      </c>
      <c r="V9" s="377">
        <v>4706</v>
      </c>
      <c r="W9" s="273">
        <v>44804</v>
      </c>
      <c r="X9" s="274">
        <v>250019000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15" x14ac:dyDescent="0.25">
      <c r="A10" s="694"/>
      <c r="B10" s="768"/>
      <c r="C10" s="691"/>
      <c r="D10" s="694"/>
      <c r="E10" s="691"/>
      <c r="F10" s="729"/>
      <c r="G10" s="712"/>
      <c r="H10" s="729"/>
      <c r="I10" s="694"/>
      <c r="J10" s="694"/>
      <c r="K10" s="694"/>
      <c r="L10" s="759"/>
      <c r="M10" s="744"/>
      <c r="N10" s="80" t="s">
        <v>2330</v>
      </c>
      <c r="O10" s="459" t="s">
        <v>2331</v>
      </c>
      <c r="P10" s="80" t="s">
        <v>2332</v>
      </c>
      <c r="Q10" s="465">
        <v>310029197</v>
      </c>
      <c r="R10" s="46"/>
      <c r="S10" s="568">
        <v>1369</v>
      </c>
      <c r="T10" s="273" t="s">
        <v>2770</v>
      </c>
      <c r="U10" s="465">
        <v>310029197</v>
      </c>
      <c r="V10" s="568">
        <v>6350</v>
      </c>
      <c r="W10" s="273" t="s">
        <v>2816</v>
      </c>
      <c r="X10" s="465">
        <v>310029197</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107" customFormat="1" ht="15" x14ac:dyDescent="0.25">
      <c r="A11" s="92"/>
      <c r="B11" s="92"/>
      <c r="C11" s="92"/>
      <c r="D11" s="92"/>
      <c r="E11" s="104"/>
      <c r="F11" s="101"/>
      <c r="G11" s="101"/>
      <c r="H11" s="146"/>
      <c r="I11" s="93"/>
      <c r="J11" s="92"/>
      <c r="K11" s="92"/>
      <c r="L11" s="102">
        <f>+L8</f>
        <v>648345228</v>
      </c>
      <c r="M11" s="101"/>
      <c r="N11" s="105"/>
      <c r="O11" s="86"/>
      <c r="P11" s="95"/>
      <c r="Q11" s="103">
        <f>SUM(Q8:Q10)</f>
        <v>636502197</v>
      </c>
      <c r="R11" s="89"/>
      <c r="S11" s="86"/>
      <c r="T11" s="95"/>
      <c r="U11" s="103">
        <f>SUM(U8:U10)</f>
        <v>636502197</v>
      </c>
      <c r="V11" s="86"/>
      <c r="W11" s="95"/>
      <c r="X11" s="103">
        <f>SUM(X8:X10)</f>
        <v>636502197</v>
      </c>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row>
    <row r="12" spans="1:129" s="50" customFormat="1" ht="15" x14ac:dyDescent="0.25">
      <c r="A12" s="692" t="s">
        <v>1055</v>
      </c>
      <c r="B12" s="766" t="s">
        <v>252</v>
      </c>
      <c r="C12" s="689" t="s">
        <v>75</v>
      </c>
      <c r="D12" s="736" t="s">
        <v>1166</v>
      </c>
      <c r="E12" s="689" t="s">
        <v>118</v>
      </c>
      <c r="F12" s="728">
        <v>0</v>
      </c>
      <c r="G12" s="710">
        <v>879000000</v>
      </c>
      <c r="H12" s="728">
        <v>0</v>
      </c>
      <c r="I12" s="692"/>
      <c r="J12" s="692"/>
      <c r="K12" s="692"/>
      <c r="L12" s="758">
        <f>+F12+G12+H12+I12+J12-K32</f>
        <v>879000000</v>
      </c>
      <c r="M12" s="742">
        <v>879000000</v>
      </c>
      <c r="N12" s="153" t="s">
        <v>901</v>
      </c>
      <c r="O12" s="471" t="s">
        <v>915</v>
      </c>
      <c r="P12" s="157">
        <v>44628</v>
      </c>
      <c r="Q12" s="170">
        <v>22147690</v>
      </c>
      <c r="R12" s="46"/>
      <c r="S12" s="568">
        <v>435</v>
      </c>
      <c r="T12" s="273" t="s">
        <v>1007</v>
      </c>
      <c r="U12" s="170">
        <v>22147690</v>
      </c>
      <c r="V12" s="568">
        <v>2388</v>
      </c>
      <c r="W12" s="273">
        <v>44683</v>
      </c>
      <c r="X12" s="392">
        <v>22147690</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15" x14ac:dyDescent="0.25">
      <c r="A13" s="693"/>
      <c r="B13" s="767"/>
      <c r="C13" s="690"/>
      <c r="D13" s="693"/>
      <c r="E13" s="690"/>
      <c r="F13" s="735"/>
      <c r="G13" s="711"/>
      <c r="H13" s="735"/>
      <c r="I13" s="693"/>
      <c r="J13" s="693"/>
      <c r="K13" s="693"/>
      <c r="L13" s="763"/>
      <c r="M13" s="743"/>
      <c r="N13" s="153" t="s">
        <v>902</v>
      </c>
      <c r="O13" s="154" t="s">
        <v>885</v>
      </c>
      <c r="P13" s="157">
        <v>44628</v>
      </c>
      <c r="Q13" s="170"/>
      <c r="R13" s="46"/>
      <c r="S13" s="568"/>
      <c r="T13" s="273"/>
      <c r="U13" s="167"/>
      <c r="V13" s="568"/>
      <c r="W13" s="273"/>
      <c r="X13" s="274"/>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15" x14ac:dyDescent="0.25">
      <c r="A14" s="693"/>
      <c r="B14" s="767"/>
      <c r="C14" s="690"/>
      <c r="D14" s="693"/>
      <c r="E14" s="690"/>
      <c r="F14" s="735"/>
      <c r="G14" s="711"/>
      <c r="H14" s="735"/>
      <c r="I14" s="693"/>
      <c r="J14" s="693"/>
      <c r="K14" s="693"/>
      <c r="L14" s="763"/>
      <c r="M14" s="743"/>
      <c r="N14" s="153" t="s">
        <v>903</v>
      </c>
      <c r="O14" s="471" t="s">
        <v>916</v>
      </c>
      <c r="P14" s="157">
        <v>44628</v>
      </c>
      <c r="Q14" s="170">
        <v>27162500</v>
      </c>
      <c r="R14" s="46"/>
      <c r="S14" s="568">
        <v>489</v>
      </c>
      <c r="T14" s="273" t="s">
        <v>1008</v>
      </c>
      <c r="U14" s="170">
        <v>27162500</v>
      </c>
      <c r="V14" s="568">
        <v>2799</v>
      </c>
      <c r="W14" s="273">
        <v>44714</v>
      </c>
      <c r="X14" s="392">
        <v>27162500</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15" x14ac:dyDescent="0.25">
      <c r="A15" s="693"/>
      <c r="B15" s="767"/>
      <c r="C15" s="690"/>
      <c r="D15" s="693"/>
      <c r="E15" s="690"/>
      <c r="F15" s="735"/>
      <c r="G15" s="711"/>
      <c r="H15" s="735"/>
      <c r="I15" s="693"/>
      <c r="J15" s="693"/>
      <c r="K15" s="693"/>
      <c r="L15" s="763"/>
      <c r="M15" s="743"/>
      <c r="N15" s="153" t="s">
        <v>904</v>
      </c>
      <c r="O15" s="471" t="s">
        <v>917</v>
      </c>
      <c r="P15" s="157">
        <v>44628</v>
      </c>
      <c r="Q15" s="170">
        <v>5004800</v>
      </c>
      <c r="R15" s="46"/>
      <c r="S15" s="568">
        <v>438</v>
      </c>
      <c r="T15" s="273" t="s">
        <v>1007</v>
      </c>
      <c r="U15" s="170">
        <v>5004800</v>
      </c>
      <c r="V15" s="568">
        <v>3296</v>
      </c>
      <c r="W15" s="273">
        <v>44743</v>
      </c>
      <c r="X15" s="274">
        <v>5004800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15" x14ac:dyDescent="0.25">
      <c r="A16" s="693"/>
      <c r="B16" s="767"/>
      <c r="C16" s="690"/>
      <c r="D16" s="693"/>
      <c r="E16" s="690"/>
      <c r="F16" s="735"/>
      <c r="G16" s="711"/>
      <c r="H16" s="735"/>
      <c r="I16" s="693"/>
      <c r="J16" s="693"/>
      <c r="K16" s="693"/>
      <c r="L16" s="763"/>
      <c r="M16" s="743"/>
      <c r="N16" s="153" t="s">
        <v>905</v>
      </c>
      <c r="O16" s="471" t="s">
        <v>918</v>
      </c>
      <c r="P16" s="157">
        <v>44628</v>
      </c>
      <c r="Q16" s="170">
        <v>30000000</v>
      </c>
      <c r="R16" s="46"/>
      <c r="S16" s="568">
        <v>578</v>
      </c>
      <c r="T16" s="273">
        <v>44683</v>
      </c>
      <c r="U16" s="170">
        <v>30000000</v>
      </c>
      <c r="V16" s="568">
        <v>2800</v>
      </c>
      <c r="W16" s="273">
        <v>44714</v>
      </c>
      <c r="X16" s="392">
        <v>30000000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15" x14ac:dyDescent="0.25">
      <c r="A17" s="693"/>
      <c r="B17" s="767"/>
      <c r="C17" s="690"/>
      <c r="D17" s="693"/>
      <c r="E17" s="690"/>
      <c r="F17" s="735"/>
      <c r="G17" s="711"/>
      <c r="H17" s="735"/>
      <c r="I17" s="693"/>
      <c r="J17" s="693"/>
      <c r="K17" s="693"/>
      <c r="L17" s="763"/>
      <c r="M17" s="743"/>
      <c r="N17" s="153" t="s">
        <v>906</v>
      </c>
      <c r="O17" s="471" t="s">
        <v>919</v>
      </c>
      <c r="P17" s="157">
        <v>44628</v>
      </c>
      <c r="Q17" s="170">
        <v>26506300</v>
      </c>
      <c r="R17" s="46"/>
      <c r="S17" s="568">
        <v>440</v>
      </c>
      <c r="T17" s="273" t="s">
        <v>1009</v>
      </c>
      <c r="U17" s="170">
        <v>26506300</v>
      </c>
      <c r="V17" s="568">
        <v>2386</v>
      </c>
      <c r="W17" s="273">
        <v>44683</v>
      </c>
      <c r="X17" s="392">
        <v>26506300</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15" x14ac:dyDescent="0.25">
      <c r="A18" s="693"/>
      <c r="B18" s="767"/>
      <c r="C18" s="690"/>
      <c r="D18" s="693"/>
      <c r="E18" s="690"/>
      <c r="F18" s="735"/>
      <c r="G18" s="711"/>
      <c r="H18" s="735"/>
      <c r="I18" s="693"/>
      <c r="J18" s="693"/>
      <c r="K18" s="693"/>
      <c r="L18" s="763"/>
      <c r="M18" s="743"/>
      <c r="N18" s="153" t="s">
        <v>907</v>
      </c>
      <c r="O18" s="471" t="s">
        <v>920</v>
      </c>
      <c r="P18" s="157">
        <v>44628</v>
      </c>
      <c r="Q18" s="170">
        <v>18387000</v>
      </c>
      <c r="R18" s="46"/>
      <c r="S18" s="568">
        <v>437</v>
      </c>
      <c r="T18" s="273" t="s">
        <v>1007</v>
      </c>
      <c r="U18" s="170">
        <v>18387000</v>
      </c>
      <c r="V18" s="568">
        <v>2387</v>
      </c>
      <c r="W18" s="273">
        <v>44683</v>
      </c>
      <c r="X18" s="392">
        <v>18387000</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15" x14ac:dyDescent="0.25">
      <c r="A19" s="693"/>
      <c r="B19" s="767"/>
      <c r="C19" s="690"/>
      <c r="D19" s="693"/>
      <c r="E19" s="690"/>
      <c r="F19" s="735"/>
      <c r="G19" s="711"/>
      <c r="H19" s="735"/>
      <c r="I19" s="693"/>
      <c r="J19" s="693"/>
      <c r="K19" s="693"/>
      <c r="L19" s="763"/>
      <c r="M19" s="743"/>
      <c r="N19" s="153" t="s">
        <v>908</v>
      </c>
      <c r="O19" s="471" t="s">
        <v>921</v>
      </c>
      <c r="P19" s="157">
        <v>44628</v>
      </c>
      <c r="Q19" s="170">
        <v>22147690</v>
      </c>
      <c r="R19" s="46"/>
      <c r="S19" s="568">
        <v>434</v>
      </c>
      <c r="T19" s="273" t="s">
        <v>1007</v>
      </c>
      <c r="U19" s="170">
        <v>22147690</v>
      </c>
      <c r="V19" s="568">
        <v>2392</v>
      </c>
      <c r="W19" s="273">
        <v>44683</v>
      </c>
      <c r="X19" s="392">
        <v>22147690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50" customFormat="1" ht="15" x14ac:dyDescent="0.25">
      <c r="A20" s="693"/>
      <c r="B20" s="767"/>
      <c r="C20" s="690"/>
      <c r="D20" s="693"/>
      <c r="E20" s="690"/>
      <c r="F20" s="735"/>
      <c r="G20" s="711"/>
      <c r="H20" s="735"/>
      <c r="I20" s="693"/>
      <c r="J20" s="693"/>
      <c r="K20" s="693"/>
      <c r="L20" s="763"/>
      <c r="M20" s="743"/>
      <c r="N20" s="153" t="s">
        <v>909</v>
      </c>
      <c r="O20" s="154" t="s">
        <v>885</v>
      </c>
      <c r="P20" s="157">
        <v>44637</v>
      </c>
      <c r="Q20" s="170">
        <v>0</v>
      </c>
      <c r="R20" s="46"/>
      <c r="S20" s="568"/>
      <c r="T20" s="273"/>
      <c r="U20" s="167"/>
      <c r="V20" s="568"/>
      <c r="W20" s="273"/>
      <c r="X20" s="274"/>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row>
    <row r="21" spans="1:129" s="50" customFormat="1" ht="15" x14ac:dyDescent="0.25">
      <c r="A21" s="693"/>
      <c r="B21" s="767"/>
      <c r="C21" s="690"/>
      <c r="D21" s="693"/>
      <c r="E21" s="690"/>
      <c r="F21" s="735"/>
      <c r="G21" s="711"/>
      <c r="H21" s="735"/>
      <c r="I21" s="693"/>
      <c r="J21" s="693"/>
      <c r="K21" s="693"/>
      <c r="L21" s="763"/>
      <c r="M21" s="743"/>
      <c r="N21" s="153" t="s">
        <v>910</v>
      </c>
      <c r="O21" s="154" t="s">
        <v>885</v>
      </c>
      <c r="P21" s="157">
        <v>44637</v>
      </c>
      <c r="Q21" s="170">
        <v>0</v>
      </c>
      <c r="R21" s="46"/>
      <c r="S21" s="568"/>
      <c r="T21" s="273"/>
      <c r="U21" s="167"/>
      <c r="V21" s="568"/>
      <c r="W21" s="273"/>
      <c r="X21" s="274"/>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row>
    <row r="22" spans="1:129" s="50" customFormat="1" ht="15" x14ac:dyDescent="0.25">
      <c r="A22" s="693"/>
      <c r="B22" s="767"/>
      <c r="C22" s="690"/>
      <c r="D22" s="693"/>
      <c r="E22" s="690"/>
      <c r="F22" s="735"/>
      <c r="G22" s="711"/>
      <c r="H22" s="735"/>
      <c r="I22" s="693"/>
      <c r="J22" s="693"/>
      <c r="K22" s="693"/>
      <c r="L22" s="763"/>
      <c r="M22" s="743"/>
      <c r="N22" s="153" t="s">
        <v>911</v>
      </c>
      <c r="O22" s="154" t="s">
        <v>885</v>
      </c>
      <c r="P22" s="157">
        <v>44637</v>
      </c>
      <c r="Q22" s="170">
        <v>0</v>
      </c>
      <c r="R22" s="46"/>
      <c r="S22" s="568"/>
      <c r="T22" s="273"/>
      <c r="U22" s="167"/>
      <c r="V22" s="568"/>
      <c r="W22" s="273"/>
      <c r="X22" s="274"/>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row>
    <row r="23" spans="1:129" s="50" customFormat="1" ht="15" x14ac:dyDescent="0.25">
      <c r="A23" s="693"/>
      <c r="B23" s="767"/>
      <c r="C23" s="690"/>
      <c r="D23" s="693"/>
      <c r="E23" s="690"/>
      <c r="F23" s="735"/>
      <c r="G23" s="711"/>
      <c r="H23" s="735"/>
      <c r="I23" s="693"/>
      <c r="J23" s="693"/>
      <c r="K23" s="693"/>
      <c r="L23" s="763"/>
      <c r="M23" s="743"/>
      <c r="N23" s="153" t="s">
        <v>912</v>
      </c>
      <c r="O23" s="471" t="s">
        <v>922</v>
      </c>
      <c r="P23" s="157">
        <v>44637</v>
      </c>
      <c r="Q23" s="170">
        <v>10500000</v>
      </c>
      <c r="R23" s="46"/>
      <c r="S23" s="568">
        <v>480</v>
      </c>
      <c r="T23" s="273" t="s">
        <v>1010</v>
      </c>
      <c r="U23" s="170">
        <v>10500000</v>
      </c>
      <c r="V23" s="568">
        <v>3098</v>
      </c>
      <c r="W23" s="273">
        <v>44740</v>
      </c>
      <c r="X23" s="392">
        <v>10500000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row>
    <row r="24" spans="1:129" s="50" customFormat="1" ht="15" x14ac:dyDescent="0.25">
      <c r="A24" s="693"/>
      <c r="B24" s="767"/>
      <c r="C24" s="690"/>
      <c r="D24" s="693"/>
      <c r="E24" s="690"/>
      <c r="F24" s="735"/>
      <c r="G24" s="711"/>
      <c r="H24" s="735"/>
      <c r="I24" s="693"/>
      <c r="J24" s="693"/>
      <c r="K24" s="693"/>
      <c r="L24" s="763"/>
      <c r="M24" s="743"/>
      <c r="N24" s="153" t="s">
        <v>913</v>
      </c>
      <c r="O24" s="471" t="s">
        <v>923</v>
      </c>
      <c r="P24" s="157">
        <v>44649</v>
      </c>
      <c r="Q24" s="170">
        <v>19840000</v>
      </c>
      <c r="R24" s="46"/>
      <c r="S24" s="568">
        <v>500</v>
      </c>
      <c r="T24" s="273" t="s">
        <v>1005</v>
      </c>
      <c r="U24" s="170">
        <v>19840000</v>
      </c>
      <c r="V24" s="568">
        <v>2801</v>
      </c>
      <c r="W24" s="273">
        <v>44714</v>
      </c>
      <c r="X24" s="392">
        <v>19840000</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row>
    <row r="25" spans="1:129" s="50" customFormat="1" ht="15" x14ac:dyDescent="0.25">
      <c r="A25" s="693"/>
      <c r="B25" s="767"/>
      <c r="C25" s="690"/>
      <c r="D25" s="693"/>
      <c r="E25" s="690"/>
      <c r="F25" s="735"/>
      <c r="G25" s="711"/>
      <c r="H25" s="735"/>
      <c r="I25" s="693"/>
      <c r="J25" s="693"/>
      <c r="K25" s="693"/>
      <c r="L25" s="763"/>
      <c r="M25" s="743"/>
      <c r="N25" s="153" t="s">
        <v>914</v>
      </c>
      <c r="O25" s="471" t="s">
        <v>924</v>
      </c>
      <c r="P25" s="157">
        <v>44649</v>
      </c>
      <c r="Q25" s="170">
        <v>10600000</v>
      </c>
      <c r="R25" s="46"/>
      <c r="S25" s="568">
        <v>501</v>
      </c>
      <c r="T25" s="273" t="s">
        <v>1005</v>
      </c>
      <c r="U25" s="170">
        <v>10600000</v>
      </c>
      <c r="V25" s="568">
        <v>3295</v>
      </c>
      <c r="W25" s="273">
        <v>44743</v>
      </c>
      <c r="X25" s="274">
        <v>10600000</v>
      </c>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row>
    <row r="26" spans="1:129" s="50" customFormat="1" ht="15" x14ac:dyDescent="0.25">
      <c r="A26" s="693"/>
      <c r="B26" s="767"/>
      <c r="C26" s="690"/>
      <c r="D26" s="693"/>
      <c r="E26" s="690"/>
      <c r="F26" s="735"/>
      <c r="G26" s="711"/>
      <c r="H26" s="735"/>
      <c r="I26" s="693"/>
      <c r="J26" s="693"/>
      <c r="K26" s="693"/>
      <c r="L26" s="763"/>
      <c r="M26" s="743"/>
      <c r="N26" s="153" t="s">
        <v>1351</v>
      </c>
      <c r="O26" s="471" t="s">
        <v>1352</v>
      </c>
      <c r="P26" s="157">
        <v>44687</v>
      </c>
      <c r="Q26" s="170">
        <v>18666700</v>
      </c>
      <c r="R26" s="46"/>
      <c r="S26" s="568">
        <v>613</v>
      </c>
      <c r="T26" s="273">
        <v>44701</v>
      </c>
      <c r="U26" s="170">
        <v>18666700</v>
      </c>
      <c r="V26" s="568">
        <v>3100</v>
      </c>
      <c r="W26" s="273">
        <v>44740</v>
      </c>
      <c r="X26" s="392">
        <v>18666700</v>
      </c>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row>
    <row r="27" spans="1:129" s="50" customFormat="1" ht="15" x14ac:dyDescent="0.25">
      <c r="A27" s="693"/>
      <c r="B27" s="767"/>
      <c r="C27" s="690"/>
      <c r="D27" s="693"/>
      <c r="E27" s="690"/>
      <c r="F27" s="735"/>
      <c r="G27" s="711"/>
      <c r="H27" s="735"/>
      <c r="I27" s="693"/>
      <c r="J27" s="693"/>
      <c r="K27" s="693"/>
      <c r="L27" s="763"/>
      <c r="M27" s="743"/>
      <c r="N27" s="153" t="s">
        <v>1353</v>
      </c>
      <c r="O27" s="154" t="s">
        <v>885</v>
      </c>
      <c r="P27" s="157">
        <v>44687</v>
      </c>
      <c r="Q27" s="170">
        <v>0</v>
      </c>
      <c r="R27" s="46"/>
      <c r="S27" s="568"/>
      <c r="T27" s="273"/>
      <c r="U27" s="170"/>
      <c r="V27" s="568"/>
      <c r="W27" s="273"/>
      <c r="X27" s="274"/>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row>
    <row r="28" spans="1:129" s="50" customFormat="1" ht="15" x14ac:dyDescent="0.25">
      <c r="A28" s="693"/>
      <c r="B28" s="767"/>
      <c r="C28" s="690"/>
      <c r="D28" s="693"/>
      <c r="E28" s="690"/>
      <c r="F28" s="735"/>
      <c r="G28" s="711"/>
      <c r="H28" s="735"/>
      <c r="I28" s="693"/>
      <c r="J28" s="693"/>
      <c r="K28" s="693"/>
      <c r="L28" s="763"/>
      <c r="M28" s="743"/>
      <c r="N28" s="153" t="s">
        <v>1354</v>
      </c>
      <c r="O28" s="471" t="s">
        <v>1355</v>
      </c>
      <c r="P28" s="157">
        <v>44726</v>
      </c>
      <c r="Q28" s="170">
        <v>14000000</v>
      </c>
      <c r="R28" s="46"/>
      <c r="S28" s="568">
        <v>760</v>
      </c>
      <c r="T28" s="273">
        <v>44736</v>
      </c>
      <c r="U28" s="170">
        <v>14000000</v>
      </c>
      <c r="V28" s="568">
        <v>4513</v>
      </c>
      <c r="W28" s="273">
        <v>44791</v>
      </c>
      <c r="X28" s="274">
        <v>14000000</v>
      </c>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row>
    <row r="29" spans="1:129" s="50" customFormat="1" ht="15" x14ac:dyDescent="0.25">
      <c r="A29" s="693"/>
      <c r="B29" s="767"/>
      <c r="C29" s="690"/>
      <c r="D29" s="693"/>
      <c r="E29" s="690"/>
      <c r="F29" s="735"/>
      <c r="G29" s="711"/>
      <c r="H29" s="735"/>
      <c r="I29" s="693"/>
      <c r="J29" s="693"/>
      <c r="K29" s="693"/>
      <c r="L29" s="763"/>
      <c r="M29" s="743"/>
      <c r="N29" s="153" t="s">
        <v>1356</v>
      </c>
      <c r="O29" s="154" t="s">
        <v>885</v>
      </c>
      <c r="P29" s="157">
        <v>44726</v>
      </c>
      <c r="Q29" s="170">
        <v>0</v>
      </c>
      <c r="R29" s="46"/>
      <c r="S29" s="568"/>
      <c r="T29" s="273"/>
      <c r="U29" s="167">
        <v>0</v>
      </c>
      <c r="V29" s="568"/>
      <c r="W29" s="273"/>
      <c r="X29" s="274"/>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row>
    <row r="30" spans="1:129" s="50" customFormat="1" ht="15" x14ac:dyDescent="0.25">
      <c r="A30" s="693"/>
      <c r="B30" s="767"/>
      <c r="C30" s="690"/>
      <c r="D30" s="693"/>
      <c r="E30" s="690"/>
      <c r="F30" s="735"/>
      <c r="G30" s="711"/>
      <c r="H30" s="735"/>
      <c r="I30" s="693"/>
      <c r="J30" s="693"/>
      <c r="K30" s="693"/>
      <c r="L30" s="763"/>
      <c r="M30" s="743"/>
      <c r="N30" s="80" t="s">
        <v>1937</v>
      </c>
      <c r="O30" s="154" t="s">
        <v>885</v>
      </c>
      <c r="P30" s="80" t="s">
        <v>1934</v>
      </c>
      <c r="Q30" s="345">
        <v>0</v>
      </c>
      <c r="R30" s="46"/>
      <c r="S30" s="568"/>
      <c r="T30" s="273"/>
      <c r="U30" s="345"/>
      <c r="V30" s="568"/>
      <c r="W30" s="273"/>
      <c r="X30" s="274"/>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row>
    <row r="31" spans="1:129" s="50" customFormat="1" ht="15" x14ac:dyDescent="0.25">
      <c r="A31" s="693"/>
      <c r="B31" s="767"/>
      <c r="C31" s="690"/>
      <c r="D31" s="693"/>
      <c r="E31" s="690"/>
      <c r="F31" s="735"/>
      <c r="G31" s="711"/>
      <c r="H31" s="735"/>
      <c r="I31" s="693"/>
      <c r="J31" s="693"/>
      <c r="K31" s="693"/>
      <c r="L31" s="763"/>
      <c r="M31" s="743"/>
      <c r="N31" s="80" t="s">
        <v>1938</v>
      </c>
      <c r="O31" s="457" t="s">
        <v>1939</v>
      </c>
      <c r="P31" s="80" t="s">
        <v>1935</v>
      </c>
      <c r="Q31" s="345">
        <v>16920000</v>
      </c>
      <c r="R31" s="46"/>
      <c r="S31" s="568">
        <v>1192</v>
      </c>
      <c r="T31" s="273">
        <v>44827</v>
      </c>
      <c r="U31" s="345">
        <v>16920000</v>
      </c>
      <c r="V31" s="568">
        <v>5182</v>
      </c>
      <c r="W31" s="273">
        <v>44833</v>
      </c>
      <c r="X31" s="345">
        <v>16920000</v>
      </c>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row>
    <row r="32" spans="1:129" s="50" customFormat="1" ht="15" x14ac:dyDescent="0.25">
      <c r="A32" s="694"/>
      <c r="B32" s="768"/>
      <c r="C32" s="691"/>
      <c r="D32" s="694"/>
      <c r="E32" s="691"/>
      <c r="F32" s="729"/>
      <c r="G32" s="712"/>
      <c r="H32" s="729"/>
      <c r="I32" s="694"/>
      <c r="J32" s="694"/>
      <c r="K32" s="694"/>
      <c r="L32" s="759"/>
      <c r="M32" s="744"/>
      <c r="N32" s="80" t="s">
        <v>1379</v>
      </c>
      <c r="O32" s="457" t="s">
        <v>1940</v>
      </c>
      <c r="P32" s="80" t="s">
        <v>1936</v>
      </c>
      <c r="Q32" s="345">
        <v>10500000</v>
      </c>
      <c r="R32" s="46"/>
      <c r="S32" s="568">
        <v>1235</v>
      </c>
      <c r="T32" s="273">
        <v>44830</v>
      </c>
      <c r="U32" s="345">
        <v>10500000</v>
      </c>
      <c r="V32" s="568">
        <v>5184</v>
      </c>
      <c r="W32" s="273">
        <v>44833</v>
      </c>
      <c r="X32" s="345">
        <v>10500000</v>
      </c>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row>
    <row r="33" spans="1:129" s="50" customFormat="1" ht="15" x14ac:dyDescent="0.25">
      <c r="A33" s="410"/>
      <c r="B33" s="415"/>
      <c r="C33" s="415"/>
      <c r="D33" s="410"/>
      <c r="E33" s="415"/>
      <c r="F33" s="418"/>
      <c r="G33" s="423"/>
      <c r="H33" s="418"/>
      <c r="I33" s="85"/>
      <c r="J33" s="410"/>
      <c r="K33" s="410"/>
      <c r="L33" s="427"/>
      <c r="M33" s="429"/>
      <c r="N33" s="80" t="s">
        <v>2330</v>
      </c>
      <c r="O33" s="457" t="s">
        <v>2335</v>
      </c>
      <c r="P33" s="80" t="s">
        <v>2336</v>
      </c>
      <c r="Q33" s="345">
        <f>637620253-77000000</f>
        <v>560620253</v>
      </c>
      <c r="R33" s="46"/>
      <c r="S33" s="568">
        <v>1369</v>
      </c>
      <c r="T33" s="273" t="s">
        <v>2770</v>
      </c>
      <c r="U33" s="345">
        <f>637620253-77000000</f>
        <v>560620253</v>
      </c>
      <c r="V33" s="568">
        <v>6350</v>
      </c>
      <c r="W33" s="273" t="s">
        <v>2816</v>
      </c>
      <c r="X33" s="345">
        <f>637620253-77000000</f>
        <v>560620253</v>
      </c>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row>
    <row r="34" spans="1:129" s="107" customFormat="1" ht="15" x14ac:dyDescent="0.25">
      <c r="A34" s="92"/>
      <c r="B34" s="92"/>
      <c r="C34" s="92"/>
      <c r="D34" s="92"/>
      <c r="E34" s="104"/>
      <c r="F34" s="101"/>
      <c r="G34" s="101"/>
      <c r="H34" s="146"/>
      <c r="I34" s="93"/>
      <c r="J34" s="92"/>
      <c r="K34" s="92"/>
      <c r="L34" s="102">
        <f>+L12</f>
        <v>879000000</v>
      </c>
      <c r="M34" s="101"/>
      <c r="N34" s="105"/>
      <c r="O34" s="86"/>
      <c r="P34" s="95"/>
      <c r="Q34" s="103">
        <f>SUM(Q12:Q33)</f>
        <v>813002933</v>
      </c>
      <c r="R34" s="89"/>
      <c r="S34" s="86"/>
      <c r="T34" s="95"/>
      <c r="U34" s="103">
        <f>SUM(U12:U33)</f>
        <v>813002933</v>
      </c>
      <c r="V34" s="86"/>
      <c r="W34" s="95"/>
      <c r="X34" s="103">
        <f>SUM(X12:X33)</f>
        <v>813002933</v>
      </c>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row>
    <row r="35" spans="1:129" s="143" customFormat="1" ht="15" customHeight="1" x14ac:dyDescent="0.25">
      <c r="A35" s="755" t="s">
        <v>948</v>
      </c>
      <c r="B35" s="766" t="s">
        <v>874</v>
      </c>
      <c r="C35" s="689" t="s">
        <v>75</v>
      </c>
      <c r="D35" s="755" t="s">
        <v>875</v>
      </c>
      <c r="E35" s="732" t="s">
        <v>100</v>
      </c>
      <c r="F35" s="742">
        <v>0</v>
      </c>
      <c r="G35" s="742">
        <v>0</v>
      </c>
      <c r="H35" s="710">
        <v>402909588</v>
      </c>
      <c r="I35" s="755"/>
      <c r="J35" s="773"/>
      <c r="K35" s="755"/>
      <c r="L35" s="776">
        <f>+F35+G35+H35+I55+J55-K55</f>
        <v>402909588</v>
      </c>
      <c r="M35" s="742">
        <v>402909588</v>
      </c>
      <c r="N35" s="153" t="s">
        <v>1357</v>
      </c>
      <c r="O35" s="471" t="s">
        <v>1358</v>
      </c>
      <c r="P35" s="157">
        <v>44713</v>
      </c>
      <c r="Q35" s="156">
        <v>16426700</v>
      </c>
      <c r="R35" s="141"/>
      <c r="S35" s="151">
        <v>708</v>
      </c>
      <c r="T35" s="494">
        <v>44722</v>
      </c>
      <c r="U35" s="588">
        <v>16426700</v>
      </c>
      <c r="V35" s="151">
        <v>3294</v>
      </c>
      <c r="W35" s="494">
        <v>44743</v>
      </c>
      <c r="X35" s="531">
        <v>16426700</v>
      </c>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row>
    <row r="36" spans="1:129" s="143" customFormat="1" ht="15" x14ac:dyDescent="0.25">
      <c r="A36" s="756"/>
      <c r="B36" s="767"/>
      <c r="C36" s="690"/>
      <c r="D36" s="756"/>
      <c r="E36" s="733"/>
      <c r="F36" s="743"/>
      <c r="G36" s="743"/>
      <c r="H36" s="711"/>
      <c r="I36" s="756"/>
      <c r="J36" s="774"/>
      <c r="K36" s="756"/>
      <c r="L36" s="777"/>
      <c r="M36" s="743"/>
      <c r="N36" s="153" t="s">
        <v>1359</v>
      </c>
      <c r="O36" s="471" t="s">
        <v>1360</v>
      </c>
      <c r="P36" s="157">
        <v>44713</v>
      </c>
      <c r="Q36" s="530">
        <v>9667000</v>
      </c>
      <c r="R36" s="141"/>
      <c r="S36" s="151">
        <v>717</v>
      </c>
      <c r="T36" s="494">
        <v>44722</v>
      </c>
      <c r="U36" s="588">
        <v>9667000</v>
      </c>
      <c r="V36" s="151">
        <v>3568</v>
      </c>
      <c r="W36" s="494">
        <v>44761</v>
      </c>
      <c r="X36" s="275">
        <v>9667000</v>
      </c>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row>
    <row r="37" spans="1:129" s="143" customFormat="1" ht="15" x14ac:dyDescent="0.25">
      <c r="A37" s="756"/>
      <c r="B37" s="767"/>
      <c r="C37" s="690"/>
      <c r="D37" s="756"/>
      <c r="E37" s="733"/>
      <c r="F37" s="743"/>
      <c r="G37" s="743"/>
      <c r="H37" s="711"/>
      <c r="I37" s="756"/>
      <c r="J37" s="774"/>
      <c r="K37" s="756"/>
      <c r="L37" s="777"/>
      <c r="M37" s="743"/>
      <c r="N37" s="153" t="s">
        <v>1361</v>
      </c>
      <c r="O37" s="154" t="s">
        <v>885</v>
      </c>
      <c r="P37" s="157">
        <v>44713</v>
      </c>
      <c r="Q37" s="156">
        <v>0</v>
      </c>
      <c r="R37" s="141"/>
      <c r="S37" s="151"/>
      <c r="T37" s="494"/>
      <c r="U37" s="588"/>
      <c r="V37" s="151"/>
      <c r="W37" s="494"/>
      <c r="X37" s="275"/>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row>
    <row r="38" spans="1:129" s="143" customFormat="1" ht="15" x14ac:dyDescent="0.25">
      <c r="A38" s="756"/>
      <c r="B38" s="767"/>
      <c r="C38" s="690"/>
      <c r="D38" s="756"/>
      <c r="E38" s="733"/>
      <c r="F38" s="743"/>
      <c r="G38" s="743"/>
      <c r="H38" s="711"/>
      <c r="I38" s="756"/>
      <c r="J38" s="774"/>
      <c r="K38" s="756"/>
      <c r="L38" s="777"/>
      <c r="M38" s="743"/>
      <c r="N38" s="153" t="s">
        <v>1362</v>
      </c>
      <c r="O38" s="471" t="s">
        <v>1363</v>
      </c>
      <c r="P38" s="157">
        <v>44713</v>
      </c>
      <c r="Q38" s="156">
        <v>6000000</v>
      </c>
      <c r="R38" s="141"/>
      <c r="S38" s="151">
        <v>719</v>
      </c>
      <c r="T38" s="494">
        <v>44725</v>
      </c>
      <c r="U38" s="588">
        <v>6000000</v>
      </c>
      <c r="V38" s="151">
        <v>3856</v>
      </c>
      <c r="W38" s="494">
        <v>44774</v>
      </c>
      <c r="X38" s="531">
        <v>6000000</v>
      </c>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row>
    <row r="39" spans="1:129" s="143" customFormat="1" ht="15" x14ac:dyDescent="0.25">
      <c r="A39" s="756"/>
      <c r="B39" s="767"/>
      <c r="C39" s="690"/>
      <c r="D39" s="756"/>
      <c r="E39" s="733"/>
      <c r="F39" s="743"/>
      <c r="G39" s="743"/>
      <c r="H39" s="711"/>
      <c r="I39" s="756"/>
      <c r="J39" s="774"/>
      <c r="K39" s="756"/>
      <c r="L39" s="777"/>
      <c r="M39" s="743"/>
      <c r="N39" s="153" t="s">
        <v>1364</v>
      </c>
      <c r="O39" s="471" t="s">
        <v>1365</v>
      </c>
      <c r="P39" s="157">
        <v>44713</v>
      </c>
      <c r="Q39" s="156">
        <v>6000000</v>
      </c>
      <c r="R39" s="141"/>
      <c r="S39" s="151">
        <v>715</v>
      </c>
      <c r="T39" s="494">
        <v>44725</v>
      </c>
      <c r="U39" s="588">
        <v>6000000</v>
      </c>
      <c r="V39" s="151">
        <v>3293</v>
      </c>
      <c r="W39" s="494">
        <v>44743</v>
      </c>
      <c r="X39" s="531">
        <v>6000000</v>
      </c>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row>
    <row r="40" spans="1:129" s="143" customFormat="1" ht="15" x14ac:dyDescent="0.25">
      <c r="A40" s="756"/>
      <c r="B40" s="767"/>
      <c r="C40" s="690"/>
      <c r="D40" s="756"/>
      <c r="E40" s="733"/>
      <c r="F40" s="743"/>
      <c r="G40" s="743"/>
      <c r="H40" s="711"/>
      <c r="I40" s="756"/>
      <c r="J40" s="774"/>
      <c r="K40" s="756"/>
      <c r="L40" s="777"/>
      <c r="M40" s="743"/>
      <c r="N40" s="153" t="s">
        <v>1366</v>
      </c>
      <c r="O40" s="471" t="s">
        <v>1367</v>
      </c>
      <c r="P40" s="157">
        <v>44713</v>
      </c>
      <c r="Q40" s="156">
        <v>16426700</v>
      </c>
      <c r="R40" s="141"/>
      <c r="S40" s="151">
        <v>706</v>
      </c>
      <c r="T40" s="494">
        <v>44722</v>
      </c>
      <c r="U40" s="588">
        <v>16426700</v>
      </c>
      <c r="V40" s="151">
        <v>3292</v>
      </c>
      <c r="W40" s="494">
        <v>44743</v>
      </c>
      <c r="X40" s="531">
        <v>16426700</v>
      </c>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row>
    <row r="41" spans="1:129" s="143" customFormat="1" ht="15" x14ac:dyDescent="0.25">
      <c r="A41" s="756"/>
      <c r="B41" s="767"/>
      <c r="C41" s="690"/>
      <c r="D41" s="756"/>
      <c r="E41" s="733"/>
      <c r="F41" s="743"/>
      <c r="G41" s="743"/>
      <c r="H41" s="711"/>
      <c r="I41" s="756"/>
      <c r="J41" s="774"/>
      <c r="K41" s="756"/>
      <c r="L41" s="777"/>
      <c r="M41" s="743"/>
      <c r="N41" s="153" t="s">
        <v>1368</v>
      </c>
      <c r="O41" s="471" t="s">
        <v>1369</v>
      </c>
      <c r="P41" s="157">
        <v>44713</v>
      </c>
      <c r="Q41" s="156">
        <v>6000000</v>
      </c>
      <c r="R41" s="141"/>
      <c r="S41" s="151">
        <v>716</v>
      </c>
      <c r="T41" s="494">
        <v>44725</v>
      </c>
      <c r="U41" s="588">
        <v>6000000</v>
      </c>
      <c r="V41" s="151">
        <v>3291</v>
      </c>
      <c r="W41" s="494">
        <v>44743</v>
      </c>
      <c r="X41" s="531">
        <v>6000000</v>
      </c>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row>
    <row r="42" spans="1:129" s="143" customFormat="1" ht="15" x14ac:dyDescent="0.25">
      <c r="A42" s="756"/>
      <c r="B42" s="767"/>
      <c r="C42" s="690"/>
      <c r="D42" s="756"/>
      <c r="E42" s="733"/>
      <c r="F42" s="743"/>
      <c r="G42" s="743"/>
      <c r="H42" s="711"/>
      <c r="I42" s="756"/>
      <c r="J42" s="774"/>
      <c r="K42" s="756"/>
      <c r="L42" s="777"/>
      <c r="M42" s="743"/>
      <c r="N42" s="153" t="s">
        <v>1370</v>
      </c>
      <c r="O42" s="471" t="s">
        <v>1371</v>
      </c>
      <c r="P42" s="157">
        <v>44713</v>
      </c>
      <c r="Q42" s="532">
        <v>6500000</v>
      </c>
      <c r="R42" s="141"/>
      <c r="S42" s="151"/>
      <c r="T42" s="494"/>
      <c r="U42" s="588"/>
      <c r="V42" s="151"/>
      <c r="W42" s="494"/>
      <c r="X42" s="531"/>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row>
    <row r="43" spans="1:129" s="143" customFormat="1" ht="15" x14ac:dyDescent="0.25">
      <c r="A43" s="756"/>
      <c r="B43" s="767"/>
      <c r="C43" s="690"/>
      <c r="D43" s="756"/>
      <c r="E43" s="733"/>
      <c r="F43" s="743"/>
      <c r="G43" s="743"/>
      <c r="H43" s="711"/>
      <c r="I43" s="756"/>
      <c r="J43" s="774"/>
      <c r="K43" s="756"/>
      <c r="L43" s="777"/>
      <c r="M43" s="743"/>
      <c r="N43" s="153" t="s">
        <v>1372</v>
      </c>
      <c r="O43" s="471" t="s">
        <v>1373</v>
      </c>
      <c r="P43" s="157">
        <v>44726</v>
      </c>
      <c r="Q43" s="530">
        <v>20784000</v>
      </c>
      <c r="R43" s="141"/>
      <c r="S43" s="151">
        <v>768</v>
      </c>
      <c r="T43" s="494">
        <v>44736</v>
      </c>
      <c r="U43" s="588">
        <v>20784000</v>
      </c>
      <c r="V43" s="151">
        <v>3569</v>
      </c>
      <c r="W43" s="494">
        <v>44761</v>
      </c>
      <c r="X43" s="275">
        <v>20784000</v>
      </c>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row>
    <row r="44" spans="1:129" s="143" customFormat="1" ht="15" x14ac:dyDescent="0.25">
      <c r="A44" s="756"/>
      <c r="B44" s="767"/>
      <c r="C44" s="690"/>
      <c r="D44" s="756"/>
      <c r="E44" s="733"/>
      <c r="F44" s="743"/>
      <c r="G44" s="743"/>
      <c r="H44" s="711"/>
      <c r="I44" s="756"/>
      <c r="J44" s="774"/>
      <c r="K44" s="756"/>
      <c r="L44" s="777"/>
      <c r="M44" s="743"/>
      <c r="N44" s="153" t="s">
        <v>1374</v>
      </c>
      <c r="O44" s="471" t="s">
        <v>1375</v>
      </c>
      <c r="P44" s="157">
        <v>44726</v>
      </c>
      <c r="Q44" s="532">
        <v>18900000</v>
      </c>
      <c r="R44" s="141"/>
      <c r="S44" s="151"/>
      <c r="T44" s="494"/>
      <c r="U44" s="588"/>
      <c r="V44" s="151"/>
      <c r="W44" s="494"/>
      <c r="X44" s="275"/>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row>
    <row r="45" spans="1:129" s="143" customFormat="1" ht="15" x14ac:dyDescent="0.25">
      <c r="A45" s="756"/>
      <c r="B45" s="767"/>
      <c r="C45" s="690"/>
      <c r="D45" s="756"/>
      <c r="E45" s="733"/>
      <c r="F45" s="743"/>
      <c r="G45" s="743"/>
      <c r="H45" s="711"/>
      <c r="I45" s="756"/>
      <c r="J45" s="774"/>
      <c r="K45" s="756"/>
      <c r="L45" s="777"/>
      <c r="M45" s="743"/>
      <c r="N45" s="153" t="s">
        <v>1376</v>
      </c>
      <c r="O45" s="471" t="s">
        <v>1377</v>
      </c>
      <c r="P45" s="157">
        <v>44726</v>
      </c>
      <c r="Q45" s="530">
        <v>9533000</v>
      </c>
      <c r="R45" s="141"/>
      <c r="S45" s="151">
        <v>770</v>
      </c>
      <c r="T45" s="494">
        <v>44740</v>
      </c>
      <c r="U45" s="588">
        <v>9533000</v>
      </c>
      <c r="V45" s="151">
        <v>3590</v>
      </c>
      <c r="W45" s="494">
        <v>44767</v>
      </c>
      <c r="X45" s="275">
        <v>9533000</v>
      </c>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row>
    <row r="46" spans="1:129" s="143" customFormat="1" ht="15" x14ac:dyDescent="0.25">
      <c r="A46" s="756"/>
      <c r="B46" s="767"/>
      <c r="C46" s="690"/>
      <c r="D46" s="756"/>
      <c r="E46" s="733"/>
      <c r="F46" s="743"/>
      <c r="G46" s="743"/>
      <c r="H46" s="711"/>
      <c r="I46" s="756"/>
      <c r="J46" s="774"/>
      <c r="K46" s="756"/>
      <c r="L46" s="777"/>
      <c r="M46" s="743"/>
      <c r="N46" s="153" t="s">
        <v>1376</v>
      </c>
      <c r="O46" s="471" t="s">
        <v>1378</v>
      </c>
      <c r="P46" s="157">
        <v>44726</v>
      </c>
      <c r="Q46" s="532">
        <v>10200000</v>
      </c>
      <c r="R46" s="141"/>
      <c r="S46" s="151"/>
      <c r="T46" s="494"/>
      <c r="U46" s="588"/>
      <c r="V46" s="151"/>
      <c r="W46" s="494"/>
      <c r="X46" s="275"/>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row>
    <row r="47" spans="1:129" s="143" customFormat="1" ht="15" x14ac:dyDescent="0.25">
      <c r="A47" s="756"/>
      <c r="B47" s="767"/>
      <c r="C47" s="690"/>
      <c r="D47" s="756"/>
      <c r="E47" s="733"/>
      <c r="F47" s="743"/>
      <c r="G47" s="743"/>
      <c r="H47" s="711"/>
      <c r="I47" s="756"/>
      <c r="J47" s="774"/>
      <c r="K47" s="756"/>
      <c r="L47" s="777"/>
      <c r="M47" s="743"/>
      <c r="N47" s="153" t="s">
        <v>1379</v>
      </c>
      <c r="O47" s="154" t="s">
        <v>885</v>
      </c>
      <c r="P47" s="157">
        <v>44726</v>
      </c>
      <c r="Q47" s="156">
        <v>0</v>
      </c>
      <c r="R47" s="141"/>
      <c r="S47" s="151"/>
      <c r="T47" s="494"/>
      <c r="U47" s="588"/>
      <c r="V47" s="151"/>
      <c r="W47" s="494"/>
      <c r="X47" s="275"/>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row>
    <row r="48" spans="1:129" s="143" customFormat="1" ht="15" x14ac:dyDescent="0.25">
      <c r="A48" s="756"/>
      <c r="B48" s="767"/>
      <c r="C48" s="690"/>
      <c r="D48" s="756"/>
      <c r="E48" s="733"/>
      <c r="F48" s="743"/>
      <c r="G48" s="743"/>
      <c r="H48" s="711"/>
      <c r="I48" s="756"/>
      <c r="J48" s="774"/>
      <c r="K48" s="756"/>
      <c r="L48" s="777"/>
      <c r="M48" s="743"/>
      <c r="N48" s="153" t="s">
        <v>1380</v>
      </c>
      <c r="O48" s="471" t="s">
        <v>1381</v>
      </c>
      <c r="P48" s="157">
        <v>44726</v>
      </c>
      <c r="Q48" s="530">
        <v>9533000</v>
      </c>
      <c r="R48" s="141"/>
      <c r="S48" s="151">
        <v>769</v>
      </c>
      <c r="T48" s="494">
        <v>44740</v>
      </c>
      <c r="U48" s="588">
        <v>9533000</v>
      </c>
      <c r="V48" s="151">
        <v>3591</v>
      </c>
      <c r="W48" s="494">
        <v>44767</v>
      </c>
      <c r="X48" s="275">
        <v>9533000</v>
      </c>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row>
    <row r="49" spans="1:129" s="143" customFormat="1" ht="15" x14ac:dyDescent="0.25">
      <c r="A49" s="756"/>
      <c r="B49" s="767"/>
      <c r="C49" s="690"/>
      <c r="D49" s="756"/>
      <c r="E49" s="733"/>
      <c r="F49" s="743"/>
      <c r="G49" s="743"/>
      <c r="H49" s="711"/>
      <c r="I49" s="756"/>
      <c r="J49" s="774"/>
      <c r="K49" s="756"/>
      <c r="L49" s="777"/>
      <c r="M49" s="743"/>
      <c r="N49" s="153" t="s">
        <v>1809</v>
      </c>
      <c r="O49" s="471" t="s">
        <v>1814</v>
      </c>
      <c r="P49" s="157" t="s">
        <v>1804</v>
      </c>
      <c r="Q49" s="530">
        <v>10000000</v>
      </c>
      <c r="R49" s="141"/>
      <c r="S49" s="151">
        <v>846</v>
      </c>
      <c r="T49" s="494">
        <v>44764</v>
      </c>
      <c r="U49" s="588">
        <v>10000000</v>
      </c>
      <c r="V49" s="151">
        <v>3698</v>
      </c>
      <c r="W49" s="494" t="s">
        <v>2855</v>
      </c>
      <c r="X49" s="275">
        <v>2000000</v>
      </c>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row>
    <row r="50" spans="1:129" s="143" customFormat="1" ht="15" x14ac:dyDescent="0.25">
      <c r="A50" s="756"/>
      <c r="B50" s="767"/>
      <c r="C50" s="690"/>
      <c r="D50" s="756"/>
      <c r="E50" s="733"/>
      <c r="F50" s="743"/>
      <c r="G50" s="743"/>
      <c r="H50" s="711"/>
      <c r="I50" s="756"/>
      <c r="J50" s="774"/>
      <c r="K50" s="756"/>
      <c r="L50" s="777"/>
      <c r="M50" s="743"/>
      <c r="N50" s="153"/>
      <c r="O50" s="471"/>
      <c r="P50" s="157"/>
      <c r="Q50" s="475"/>
      <c r="R50" s="141"/>
      <c r="S50" s="151"/>
      <c r="T50" s="494"/>
      <c r="U50" s="588"/>
      <c r="V50" s="151">
        <v>3699</v>
      </c>
      <c r="W50" s="494" t="s">
        <v>2855</v>
      </c>
      <c r="X50" s="275">
        <v>4000000</v>
      </c>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row>
    <row r="51" spans="1:129" s="143" customFormat="1" ht="15" x14ac:dyDescent="0.25">
      <c r="A51" s="756"/>
      <c r="B51" s="767"/>
      <c r="C51" s="690"/>
      <c r="D51" s="756"/>
      <c r="E51" s="733"/>
      <c r="F51" s="743"/>
      <c r="G51" s="743"/>
      <c r="H51" s="711"/>
      <c r="I51" s="756"/>
      <c r="J51" s="774"/>
      <c r="K51" s="756"/>
      <c r="L51" s="777"/>
      <c r="M51" s="743"/>
      <c r="N51" s="153"/>
      <c r="O51" s="471"/>
      <c r="P51" s="157"/>
      <c r="Q51" s="475"/>
      <c r="R51" s="141"/>
      <c r="S51" s="151"/>
      <c r="T51" s="494"/>
      <c r="U51" s="588"/>
      <c r="V51" s="151">
        <v>3700</v>
      </c>
      <c r="W51" s="494" t="s">
        <v>2855</v>
      </c>
      <c r="X51" s="275">
        <v>4000000</v>
      </c>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row>
    <row r="52" spans="1:129" s="143" customFormat="1" ht="15" x14ac:dyDescent="0.25">
      <c r="A52" s="756"/>
      <c r="B52" s="767"/>
      <c r="C52" s="690"/>
      <c r="D52" s="756"/>
      <c r="E52" s="733"/>
      <c r="F52" s="743"/>
      <c r="G52" s="743"/>
      <c r="H52" s="711"/>
      <c r="I52" s="756"/>
      <c r="J52" s="774"/>
      <c r="K52" s="756"/>
      <c r="L52" s="777"/>
      <c r="M52" s="743"/>
      <c r="N52" s="153" t="s">
        <v>1810</v>
      </c>
      <c r="O52" s="471" t="s">
        <v>1815</v>
      </c>
      <c r="P52" s="157" t="s">
        <v>1805</v>
      </c>
      <c r="Q52" s="156">
        <v>7500000</v>
      </c>
      <c r="R52" s="141"/>
      <c r="S52" s="151">
        <v>1173</v>
      </c>
      <c r="T52" s="494">
        <v>44819</v>
      </c>
      <c r="U52" s="275">
        <v>7500000</v>
      </c>
      <c r="V52" s="151">
        <v>5211</v>
      </c>
      <c r="W52" s="494" t="s">
        <v>2856</v>
      </c>
      <c r="X52" s="275">
        <v>7500000</v>
      </c>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row>
    <row r="53" spans="1:129" s="143" customFormat="1" ht="15" x14ac:dyDescent="0.25">
      <c r="A53" s="756"/>
      <c r="B53" s="767"/>
      <c r="C53" s="690"/>
      <c r="D53" s="756"/>
      <c r="E53" s="733"/>
      <c r="F53" s="743"/>
      <c r="G53" s="743"/>
      <c r="H53" s="711"/>
      <c r="I53" s="756"/>
      <c r="J53" s="774"/>
      <c r="K53" s="756"/>
      <c r="L53" s="777"/>
      <c r="M53" s="743"/>
      <c r="N53" s="153" t="s">
        <v>1811</v>
      </c>
      <c r="O53" s="471" t="s">
        <v>1816</v>
      </c>
      <c r="P53" s="157" t="s">
        <v>1806</v>
      </c>
      <c r="Q53" s="156">
        <v>7500000</v>
      </c>
      <c r="R53" s="141"/>
      <c r="S53" s="151">
        <v>1175</v>
      </c>
      <c r="T53" s="494">
        <v>44820</v>
      </c>
      <c r="U53" s="275">
        <v>7500000</v>
      </c>
      <c r="V53" s="151">
        <v>5209</v>
      </c>
      <c r="W53" s="494" t="s">
        <v>2856</v>
      </c>
      <c r="X53" s="275">
        <v>7500000</v>
      </c>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row>
    <row r="54" spans="1:129" s="143" customFormat="1" ht="15" x14ac:dyDescent="0.25">
      <c r="A54" s="756"/>
      <c r="B54" s="767"/>
      <c r="C54" s="690"/>
      <c r="D54" s="756"/>
      <c r="E54" s="733"/>
      <c r="F54" s="743"/>
      <c r="G54" s="743"/>
      <c r="H54" s="711"/>
      <c r="I54" s="756"/>
      <c r="J54" s="774"/>
      <c r="K54" s="756"/>
      <c r="L54" s="777"/>
      <c r="M54" s="743"/>
      <c r="N54" s="153" t="s">
        <v>1812</v>
      </c>
      <c r="O54" s="471" t="s">
        <v>1817</v>
      </c>
      <c r="P54" s="157" t="s">
        <v>1807</v>
      </c>
      <c r="Q54" s="156">
        <v>7000000</v>
      </c>
      <c r="R54" s="141"/>
      <c r="S54" s="151">
        <v>1237</v>
      </c>
      <c r="T54" s="494">
        <v>44830</v>
      </c>
      <c r="U54" s="275">
        <v>7000000</v>
      </c>
      <c r="V54" s="151">
        <v>5183</v>
      </c>
      <c r="W54" s="494">
        <v>44833</v>
      </c>
      <c r="X54" s="275">
        <v>7000000</v>
      </c>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row>
    <row r="55" spans="1:129" s="143" customFormat="1" ht="15" x14ac:dyDescent="0.25">
      <c r="A55" s="757"/>
      <c r="B55" s="768"/>
      <c r="C55" s="691"/>
      <c r="D55" s="757"/>
      <c r="E55" s="734"/>
      <c r="F55" s="744"/>
      <c r="G55" s="744"/>
      <c r="H55" s="712"/>
      <c r="I55" s="757"/>
      <c r="J55" s="775"/>
      <c r="K55" s="757"/>
      <c r="L55" s="778"/>
      <c r="M55" s="744"/>
      <c r="N55" s="153" t="s">
        <v>1813</v>
      </c>
      <c r="O55" s="471" t="s">
        <v>1818</v>
      </c>
      <c r="P55" s="157" t="s">
        <v>1808</v>
      </c>
      <c r="Q55" s="156">
        <v>7000000</v>
      </c>
      <c r="R55" s="141"/>
      <c r="S55" s="151">
        <v>1243</v>
      </c>
      <c r="T55" s="494">
        <v>44831</v>
      </c>
      <c r="U55" s="275">
        <v>7000000</v>
      </c>
      <c r="V55" s="151">
        <v>5185</v>
      </c>
      <c r="W55" s="494">
        <v>44833</v>
      </c>
      <c r="X55" s="275">
        <v>7000000</v>
      </c>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row>
    <row r="56" spans="1:129" s="143" customFormat="1" ht="15" x14ac:dyDescent="0.25">
      <c r="A56" s="435"/>
      <c r="B56" s="412"/>
      <c r="C56" s="415"/>
      <c r="D56" s="435"/>
      <c r="E56" s="412"/>
      <c r="F56" s="429"/>
      <c r="G56" s="429"/>
      <c r="H56" s="423"/>
      <c r="I56" s="140"/>
      <c r="J56" s="436"/>
      <c r="K56" s="435"/>
      <c r="L56" s="437"/>
      <c r="M56" s="429"/>
      <c r="N56" s="472" t="s">
        <v>2330</v>
      </c>
      <c r="O56" s="473" t="s">
        <v>2333</v>
      </c>
      <c r="P56" s="474" t="s">
        <v>2334</v>
      </c>
      <c r="Q56" s="475">
        <v>123606450</v>
      </c>
      <c r="R56" s="141"/>
      <c r="S56" s="151">
        <v>1369</v>
      </c>
      <c r="T56" s="494" t="s">
        <v>2770</v>
      </c>
      <c r="U56" s="275">
        <v>123606450</v>
      </c>
      <c r="V56" s="151">
        <v>6350</v>
      </c>
      <c r="W56" s="494" t="s">
        <v>2816</v>
      </c>
      <c r="X56" s="275">
        <v>123606450</v>
      </c>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row>
    <row r="57" spans="1:129" s="107" customFormat="1" ht="15" x14ac:dyDescent="0.25">
      <c r="A57" s="92"/>
      <c r="B57" s="92"/>
      <c r="C57" s="92"/>
      <c r="D57" s="92"/>
      <c r="E57" s="104"/>
      <c r="F57" s="101"/>
      <c r="G57" s="101"/>
      <c r="H57" s="146"/>
      <c r="I57" s="93"/>
      <c r="J57" s="92"/>
      <c r="K57" s="92"/>
      <c r="L57" s="102">
        <f>+L35</f>
        <v>402909588</v>
      </c>
      <c r="M57" s="101"/>
      <c r="N57" s="105"/>
      <c r="O57" s="86"/>
      <c r="P57" s="95"/>
      <c r="Q57" s="103">
        <f>SUM(Q35:Q56)</f>
        <v>298576850</v>
      </c>
      <c r="R57" s="89"/>
      <c r="S57" s="86"/>
      <c r="T57" s="95"/>
      <c r="U57" s="103">
        <f>SUM(U35:U56)</f>
        <v>262976850</v>
      </c>
      <c r="V57" s="86"/>
      <c r="W57" s="95"/>
      <c r="X57" s="103">
        <f>SUM(X35:X56)</f>
        <v>262976850</v>
      </c>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row>
    <row r="58" spans="1:129" s="112" customFormat="1" ht="42.75" x14ac:dyDescent="0.25">
      <c r="A58" s="183" t="s">
        <v>1528</v>
      </c>
      <c r="B58" s="506" t="s">
        <v>1089</v>
      </c>
      <c r="C58" s="38" t="s">
        <v>75</v>
      </c>
      <c r="D58" s="736" t="s">
        <v>1166</v>
      </c>
      <c r="E58" s="689" t="s">
        <v>118</v>
      </c>
      <c r="F58" s="181"/>
      <c r="G58" s="181"/>
      <c r="H58" s="66"/>
      <c r="I58" s="289">
        <v>77000000</v>
      </c>
      <c r="J58" s="215"/>
      <c r="K58" s="215"/>
      <c r="L58" s="216">
        <f>+F58+G58+H58+I58+J58-K58</f>
        <v>77000000</v>
      </c>
      <c r="M58" s="149">
        <v>77000000</v>
      </c>
      <c r="N58" s="80" t="s">
        <v>1937</v>
      </c>
      <c r="O58" s="154" t="s">
        <v>885</v>
      </c>
      <c r="P58" s="80" t="s">
        <v>1934</v>
      </c>
      <c r="Q58" s="191">
        <v>0</v>
      </c>
      <c r="R58" s="46"/>
      <c r="S58" s="330"/>
      <c r="T58" s="79"/>
      <c r="U58" s="432"/>
      <c r="V58" s="330"/>
      <c r="W58" s="79"/>
      <c r="X58" s="432"/>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row>
    <row r="59" spans="1:129" s="112" customFormat="1" ht="15" x14ac:dyDescent="0.25">
      <c r="A59" s="410"/>
      <c r="B59" s="411"/>
      <c r="C59" s="415"/>
      <c r="D59" s="738"/>
      <c r="E59" s="691"/>
      <c r="F59" s="431"/>
      <c r="G59" s="431"/>
      <c r="H59" s="418"/>
      <c r="I59" s="287"/>
      <c r="J59" s="476"/>
      <c r="K59" s="476"/>
      <c r="L59" s="477"/>
      <c r="M59" s="429"/>
      <c r="N59" s="80" t="s">
        <v>2330</v>
      </c>
      <c r="O59" s="457" t="s">
        <v>2335</v>
      </c>
      <c r="P59" s="80" t="s">
        <v>2336</v>
      </c>
      <c r="Q59" s="432">
        <v>58744100</v>
      </c>
      <c r="R59" s="46"/>
      <c r="S59" s="568">
        <v>1369</v>
      </c>
      <c r="T59" s="273" t="s">
        <v>2770</v>
      </c>
      <c r="U59" s="274">
        <v>58744100</v>
      </c>
      <c r="V59" s="568">
        <v>6350</v>
      </c>
      <c r="W59" s="273" t="s">
        <v>2816</v>
      </c>
      <c r="X59" s="274">
        <v>58744100</v>
      </c>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row>
    <row r="60" spans="1:129" s="107" customFormat="1" ht="15.75" thickBot="1" x14ac:dyDescent="0.3">
      <c r="A60" s="92"/>
      <c r="B60" s="92"/>
      <c r="C60" s="92"/>
      <c r="D60" s="92"/>
      <c r="E60" s="104"/>
      <c r="F60" s="101"/>
      <c r="G60" s="101"/>
      <c r="H60" s="146"/>
      <c r="I60" s="93"/>
      <c r="J60" s="92"/>
      <c r="K60" s="92"/>
      <c r="L60" s="102">
        <f>+L58</f>
        <v>77000000</v>
      </c>
      <c r="M60" s="101"/>
      <c r="N60" s="105"/>
      <c r="O60" s="86"/>
      <c r="P60" s="95"/>
      <c r="Q60" s="103">
        <f>SUM(Q58:Q59)</f>
        <v>58744100</v>
      </c>
      <c r="R60" s="89"/>
      <c r="S60" s="86"/>
      <c r="T60" s="95"/>
      <c r="U60" s="103">
        <f>SUM(U58:U59)</f>
        <v>58744100</v>
      </c>
      <c r="V60" s="86"/>
      <c r="W60" s="95"/>
      <c r="X60" s="103">
        <f>SUM(X59)</f>
        <v>58744100</v>
      </c>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row>
    <row r="61" spans="1:129" s="63" customFormat="1" ht="17.25" thickBot="1" x14ac:dyDescent="0.35">
      <c r="A61" s="51"/>
      <c r="B61" s="51"/>
      <c r="C61" s="42"/>
      <c r="D61" s="42"/>
      <c r="E61" s="42"/>
      <c r="F61" s="52"/>
      <c r="G61" s="42"/>
      <c r="H61" s="220"/>
      <c r="I61" s="217"/>
      <c r="J61" s="53" t="s">
        <v>29</v>
      </c>
      <c r="K61" s="54"/>
      <c r="L61" s="55">
        <f>+L11+L34+L57+L60</f>
        <v>2007254816</v>
      </c>
      <c r="M61" s="75"/>
      <c r="N61" s="75"/>
      <c r="O61" s="75"/>
      <c r="P61" s="75"/>
      <c r="Q61" s="74">
        <f>+Q11+Q34+Q57+Q60</f>
        <v>1806826080</v>
      </c>
      <c r="R61" s="57">
        <f>(Q61*1)/L61</f>
        <v>0.90014783653656461</v>
      </c>
      <c r="S61" s="58"/>
      <c r="T61" s="59"/>
      <c r="U61" s="60">
        <f>+U11+U34+U57+U60</f>
        <v>1771226080</v>
      </c>
      <c r="V61" s="58"/>
      <c r="W61" s="59"/>
      <c r="X61" s="61">
        <f>+X11+X34+X57+X60</f>
        <v>1771226080</v>
      </c>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row>
    <row r="62" spans="1:129" ht="15" x14ac:dyDescent="0.25">
      <c r="R62" s="4"/>
    </row>
    <row r="63" spans="1:129" ht="15" x14ac:dyDescent="0.25">
      <c r="Q63" s="72"/>
      <c r="R63" s="6"/>
      <c r="S63" s="72"/>
    </row>
    <row r="64" spans="1:129" ht="15" x14ac:dyDescent="0.25">
      <c r="Q64" s="72"/>
      <c r="R64" s="6"/>
      <c r="S64" s="72"/>
    </row>
    <row r="65" spans="17:19" ht="15" x14ac:dyDescent="0.25">
      <c r="Q65" s="72"/>
      <c r="R65" s="6"/>
      <c r="S65" s="72"/>
    </row>
    <row r="66" spans="17:19" ht="15" x14ac:dyDescent="0.25">
      <c r="Q66" s="72"/>
      <c r="R66" s="6"/>
      <c r="S66" s="72"/>
    </row>
    <row r="67" spans="17:19" ht="15" x14ac:dyDescent="0.25">
      <c r="Q67" s="72"/>
      <c r="R67" s="6"/>
      <c r="S67" s="72"/>
    </row>
    <row r="68" spans="17:19" ht="15" x14ac:dyDescent="0.25">
      <c r="Q68" s="72"/>
      <c r="R68" s="6"/>
      <c r="S68" s="72"/>
    </row>
    <row r="69" spans="17:19" ht="15" x14ac:dyDescent="0.25">
      <c r="Q69" s="72"/>
      <c r="R69" s="6"/>
      <c r="S69" s="72"/>
    </row>
    <row r="70" spans="17:19" ht="15" x14ac:dyDescent="0.25">
      <c r="Q70" s="72"/>
      <c r="R70" s="6"/>
      <c r="S70" s="72"/>
    </row>
    <row r="71" spans="17:19" ht="15" x14ac:dyDescent="0.25">
      <c r="Q71" s="72"/>
      <c r="R71" s="7"/>
      <c r="S71" s="72"/>
    </row>
    <row r="72" spans="17:19" ht="15" x14ac:dyDescent="0.25"/>
    <row r="73" spans="17:19" ht="15" x14ac:dyDescent="0.25"/>
    <row r="74" spans="17:19" ht="15" x14ac:dyDescent="0.25"/>
    <row r="75" spans="17:19" ht="15" x14ac:dyDescent="0.25"/>
    <row r="76" spans="17:19" ht="15" x14ac:dyDescent="0.25"/>
    <row r="77" spans="17:19" ht="15" x14ac:dyDescent="0.25"/>
    <row r="78" spans="17:19" ht="15" x14ac:dyDescent="0.25"/>
    <row r="79" spans="17:19" ht="15" x14ac:dyDescent="0.25"/>
    <row r="80" spans="17:19"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customHeight="1" x14ac:dyDescent="0.25"/>
    <row r="115" ht="15"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hidden="1" customHeight="1" x14ac:dyDescent="0.25"/>
    <row r="849" ht="15" hidden="1" customHeight="1" x14ac:dyDescent="0.25"/>
    <row r="850" ht="15" hidden="1" customHeight="1" x14ac:dyDescent="0.25"/>
    <row r="851" ht="15" hidden="1" customHeight="1" x14ac:dyDescent="0.25"/>
    <row r="852" ht="15" hidden="1" customHeight="1" x14ac:dyDescent="0.25"/>
    <row r="853" ht="15" hidden="1" customHeight="1" x14ac:dyDescent="0.25"/>
    <row r="854" ht="15" hidden="1" customHeight="1" x14ac:dyDescent="0.25"/>
    <row r="855" ht="15" hidden="1" customHeight="1" x14ac:dyDescent="0.25"/>
    <row r="856" ht="15" hidden="1"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sheetData>
  <sheetProtection algorithmName="SHA-512" hashValue="6fn0AJMv53hSXyqCzUTxzGSBAuGeU0NYrYX4fioeXLAOoFNSXlhGhuQ603XSja4ADuenx3LT+5sWLeMhU5oXQQ==" saltValue="cO2+U/1/nNpbkqPIT5S8LA==" spinCount="100000" sheet="1" objects="1" scenarios="1" selectLockedCells="1" selectUnlockedCells="1"/>
  <mergeCells count="49">
    <mergeCell ref="M35:M55"/>
    <mergeCell ref="E35:E55"/>
    <mergeCell ref="F35:F55"/>
    <mergeCell ref="G35:G55"/>
    <mergeCell ref="H35:H55"/>
    <mergeCell ref="I35:I55"/>
    <mergeCell ref="A35:A55"/>
    <mergeCell ref="B35:B55"/>
    <mergeCell ref="C35:C55"/>
    <mergeCell ref="D35:D55"/>
    <mergeCell ref="E8:E10"/>
    <mergeCell ref="A8:A10"/>
    <mergeCell ref="B8:B10"/>
    <mergeCell ref="C8:C10"/>
    <mergeCell ref="D8:D10"/>
    <mergeCell ref="A12:A32"/>
    <mergeCell ref="B12:B32"/>
    <mergeCell ref="C12:C32"/>
    <mergeCell ref="D12:D32"/>
    <mergeCell ref="M8:M10"/>
    <mergeCell ref="G8:G10"/>
    <mergeCell ref="F8:F10"/>
    <mergeCell ref="H8:H10"/>
    <mergeCell ref="I8:I10"/>
    <mergeCell ref="J8:J10"/>
    <mergeCell ref="K8:K10"/>
    <mergeCell ref="L8:L10"/>
    <mergeCell ref="A2:A5"/>
    <mergeCell ref="B2:V2"/>
    <mergeCell ref="W2:X2"/>
    <mergeCell ref="B3:V3"/>
    <mergeCell ref="W3:X3"/>
    <mergeCell ref="B4:V5"/>
    <mergeCell ref="W4:X4"/>
    <mergeCell ref="W5:X5"/>
    <mergeCell ref="M12:M32"/>
    <mergeCell ref="E12:E32"/>
    <mergeCell ref="F12:F32"/>
    <mergeCell ref="G12:G32"/>
    <mergeCell ref="H12:H32"/>
    <mergeCell ref="I12:I32"/>
    <mergeCell ref="E58:E59"/>
    <mergeCell ref="D58:D59"/>
    <mergeCell ref="J12:J32"/>
    <mergeCell ref="K12:K32"/>
    <mergeCell ref="L12:L32"/>
    <mergeCell ref="J35:J55"/>
    <mergeCell ref="K35:K55"/>
    <mergeCell ref="L35:L55"/>
  </mergeCells>
  <conditionalFormatting sqref="R71:R1048576 R7:R10 R61 R12:R56">
    <cfRule type="cellIs" dxfId="969" priority="41" operator="between">
      <formula>0.51</formula>
      <formula>0.69</formula>
    </cfRule>
    <cfRule type="cellIs" dxfId="968" priority="42" operator="between">
      <formula>0.51</formula>
      <formula>0.69</formula>
    </cfRule>
    <cfRule type="cellIs" dxfId="967" priority="43" operator="lessThan">
      <formula>0.5</formula>
    </cfRule>
    <cfRule type="cellIs" dxfId="966" priority="44" operator="greaterThan">
      <formula>0.7</formula>
    </cfRule>
    <cfRule type="cellIs" dxfId="965" priority="45" operator="between">
      <formula>0.51</formula>
      <formula>0.69</formula>
    </cfRule>
    <cfRule type="cellIs" dxfId="964" priority="46" operator="lessThan">
      <formula>50</formula>
    </cfRule>
    <cfRule type="cellIs" dxfId="963" priority="47" operator="greaterThan">
      <formula>0.7</formula>
    </cfRule>
    <cfRule type="cellIs" dxfId="962" priority="48" operator="between">
      <formula>0.51</formula>
      <formula>0.69</formula>
    </cfRule>
    <cfRule type="cellIs" dxfId="961" priority="49" operator="lessThan">
      <formula>0.5</formula>
    </cfRule>
    <cfRule type="cellIs" dxfId="960" priority="50" operator="greaterThan">
      <formula>0.7</formula>
    </cfRule>
  </conditionalFormatting>
  <conditionalFormatting sqref="R11">
    <cfRule type="cellIs" dxfId="959" priority="31" operator="between">
      <formula>0.51</formula>
      <formula>0.69</formula>
    </cfRule>
    <cfRule type="cellIs" dxfId="958" priority="32" operator="between">
      <formula>0.51</formula>
      <formula>0.69</formula>
    </cfRule>
    <cfRule type="cellIs" dxfId="957" priority="33" operator="lessThan">
      <formula>0.5</formula>
    </cfRule>
    <cfRule type="cellIs" dxfId="956" priority="34" operator="greaterThan">
      <formula>0.7</formula>
    </cfRule>
    <cfRule type="cellIs" dxfId="955" priority="35" operator="between">
      <formula>0.51</formula>
      <formula>0.69</formula>
    </cfRule>
    <cfRule type="cellIs" dxfId="954" priority="36" operator="lessThan">
      <formula>50</formula>
    </cfRule>
    <cfRule type="cellIs" dxfId="953" priority="37" operator="greaterThan">
      <formula>0.7</formula>
    </cfRule>
    <cfRule type="cellIs" dxfId="952" priority="38" operator="between">
      <formula>0.51</formula>
      <formula>0.69</formula>
    </cfRule>
    <cfRule type="cellIs" dxfId="951" priority="39" operator="lessThan">
      <formula>0.5</formula>
    </cfRule>
    <cfRule type="cellIs" dxfId="950" priority="40" operator="greaterThan">
      <formula>0.7</formula>
    </cfRule>
  </conditionalFormatting>
  <conditionalFormatting sqref="R57:R59">
    <cfRule type="cellIs" dxfId="949" priority="11" operator="between">
      <formula>0.51</formula>
      <formula>0.69</formula>
    </cfRule>
    <cfRule type="cellIs" dxfId="948" priority="12" operator="between">
      <formula>0.51</formula>
      <formula>0.69</formula>
    </cfRule>
    <cfRule type="cellIs" dxfId="947" priority="13" operator="lessThan">
      <formula>0.5</formula>
    </cfRule>
    <cfRule type="cellIs" dxfId="946" priority="14" operator="greaterThan">
      <formula>0.7</formula>
    </cfRule>
    <cfRule type="cellIs" dxfId="945" priority="15" operator="between">
      <formula>0.51</formula>
      <formula>0.69</formula>
    </cfRule>
    <cfRule type="cellIs" dxfId="944" priority="16" operator="lessThan">
      <formula>50</formula>
    </cfRule>
    <cfRule type="cellIs" dxfId="943" priority="17" operator="greaterThan">
      <formula>0.7</formula>
    </cfRule>
    <cfRule type="cellIs" dxfId="942" priority="18" operator="between">
      <formula>0.51</formula>
      <formula>0.69</formula>
    </cfRule>
    <cfRule type="cellIs" dxfId="941" priority="19" operator="lessThan">
      <formula>0.5</formula>
    </cfRule>
    <cfRule type="cellIs" dxfId="940" priority="20" operator="greaterThan">
      <formula>0.7</formula>
    </cfRule>
  </conditionalFormatting>
  <conditionalFormatting sqref="R60">
    <cfRule type="cellIs" dxfId="939" priority="1" operator="between">
      <formula>0.51</formula>
      <formula>0.69</formula>
    </cfRule>
    <cfRule type="cellIs" dxfId="938" priority="2" operator="between">
      <formula>0.51</formula>
      <formula>0.69</formula>
    </cfRule>
    <cfRule type="cellIs" dxfId="937" priority="3" operator="lessThan">
      <formula>0.5</formula>
    </cfRule>
    <cfRule type="cellIs" dxfId="936" priority="4" operator="greaterThan">
      <formula>0.7</formula>
    </cfRule>
    <cfRule type="cellIs" dxfId="935" priority="5" operator="between">
      <formula>0.51</formula>
      <formula>0.69</formula>
    </cfRule>
    <cfRule type="cellIs" dxfId="934" priority="6" operator="lessThan">
      <formula>50</formula>
    </cfRule>
    <cfRule type="cellIs" dxfId="933" priority="7" operator="greaterThan">
      <formula>0.7</formula>
    </cfRule>
    <cfRule type="cellIs" dxfId="932" priority="8" operator="between">
      <formula>0.51</formula>
      <formula>0.69</formula>
    </cfRule>
    <cfRule type="cellIs" dxfId="931" priority="9" operator="lessThan">
      <formula>0.5</formula>
    </cfRule>
    <cfRule type="cellIs" dxfId="930" priority="10" operator="greaterThan">
      <formula>0.7</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482B"/>
  </sheetPr>
  <dimension ref="A1:EB91"/>
  <sheetViews>
    <sheetView showGridLines="0" topLeftCell="D1" zoomScale="80" zoomScaleNormal="80" workbookViewId="0">
      <pane ySplit="7" topLeftCell="A8" activePane="bottomLeft" state="frozen"/>
      <selection activeCell="G1" sqref="G1"/>
      <selection pane="bottomLeft" activeCell="T20" sqref="T20"/>
    </sheetView>
  </sheetViews>
  <sheetFormatPr baseColWidth="10" defaultColWidth="0" defaultRowHeight="15" zeroHeight="1" x14ac:dyDescent="0.25"/>
  <cols>
    <col min="1" max="1" width="11.42578125" customWidth="1"/>
    <col min="2" max="2" width="31" customWidth="1"/>
    <col min="3" max="3" width="17.28515625" customWidth="1"/>
    <col min="4" max="4" width="14.7109375" style="40" customWidth="1"/>
    <col min="5" max="5" width="42.85546875" customWidth="1"/>
    <col min="6" max="6" width="21.140625" style="1" hidden="1" customWidth="1"/>
    <col min="7" max="7" width="13" hidden="1" customWidth="1"/>
    <col min="8" max="8" width="16.7109375" hidden="1" customWidth="1"/>
    <col min="9" max="9" width="12.7109375" hidden="1" customWidth="1"/>
    <col min="10" max="10" width="14.5703125" hidden="1" customWidth="1"/>
    <col min="11" max="11" width="15" hidden="1" customWidth="1"/>
    <col min="12" max="12" width="18.7109375" customWidth="1"/>
    <col min="13" max="13" width="17.7109375" bestFit="1" customWidth="1"/>
    <col min="14" max="14" width="15.7109375" customWidth="1"/>
    <col min="15" max="15" width="11.42578125" customWidth="1"/>
    <col min="16" max="16" width="15.42578125" customWidth="1"/>
    <col min="17" max="17" width="18.28515625" customWidth="1"/>
    <col min="18" max="18" width="11.5703125" style="3" bestFit="1" customWidth="1"/>
    <col min="19" max="19" width="11.42578125" customWidth="1"/>
    <col min="20" max="20" width="16.7109375" style="35" bestFit="1" customWidth="1"/>
    <col min="21" max="21" width="18.28515625" bestFit="1" customWidth="1"/>
    <col min="22" max="22" width="11.42578125" customWidth="1"/>
    <col min="23" max="23" width="14.5703125" style="35" customWidth="1"/>
    <col min="24" max="24" width="19" bestFit="1" customWidth="1"/>
    <col min="25" max="129" width="11.5703125" style="5" hidden="1" customWidth="1"/>
    <col min="130" max="132" width="11.5703125" hidden="1" customWidth="1"/>
    <col min="133" max="16384" width="11.42578125" hidden="1"/>
  </cols>
  <sheetData>
    <row r="1" spans="1:129" hidden="1" x14ac:dyDescent="0.25">
      <c r="A1" s="24"/>
      <c r="B1" s="25"/>
      <c r="C1" s="25"/>
      <c r="D1" s="26"/>
      <c r="E1" s="26"/>
      <c r="F1" s="27"/>
      <c r="G1" s="28"/>
      <c r="H1" s="28"/>
      <c r="I1" s="28"/>
      <c r="J1" s="28"/>
      <c r="K1" s="29"/>
      <c r="L1" s="24"/>
      <c r="M1" s="24"/>
      <c r="N1" s="24"/>
      <c r="O1" s="24"/>
      <c r="P1" s="24"/>
      <c r="Q1" s="24"/>
      <c r="R1" s="24"/>
      <c r="S1" s="24"/>
      <c r="T1" s="36"/>
      <c r="U1" s="24"/>
      <c r="V1" s="24"/>
      <c r="W1" s="36"/>
    </row>
    <row r="2" spans="1:129" hidden="1"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idden="1"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idden="1"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31" t="s">
        <v>1</v>
      </c>
      <c r="C7" s="31" t="s">
        <v>2</v>
      </c>
      <c r="D7" s="41" t="s">
        <v>103</v>
      </c>
      <c r="E7" s="31" t="s">
        <v>30</v>
      </c>
      <c r="F7" s="31" t="s">
        <v>96</v>
      </c>
      <c r="G7" s="31" t="s">
        <v>97</v>
      </c>
      <c r="H7" s="31" t="s">
        <v>871</v>
      </c>
      <c r="I7" s="31"/>
      <c r="J7" s="41" t="s">
        <v>98</v>
      </c>
      <c r="K7" s="31" t="s">
        <v>99</v>
      </c>
      <c r="L7" s="31" t="s">
        <v>3</v>
      </c>
      <c r="M7" s="31" t="s">
        <v>4</v>
      </c>
      <c r="N7" s="31" t="s">
        <v>28</v>
      </c>
      <c r="O7" s="31" t="s">
        <v>21</v>
      </c>
      <c r="P7" s="31" t="s">
        <v>65</v>
      </c>
      <c r="Q7" s="31" t="s">
        <v>31</v>
      </c>
      <c r="R7" s="32" t="s">
        <v>62</v>
      </c>
      <c r="S7" s="31" t="s">
        <v>22</v>
      </c>
      <c r="T7" s="37" t="s">
        <v>23</v>
      </c>
      <c r="U7" s="31" t="s">
        <v>24</v>
      </c>
      <c r="V7" s="31" t="s">
        <v>25</v>
      </c>
      <c r="W7" s="37" t="s">
        <v>26</v>
      </c>
      <c r="X7" s="3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15" customHeight="1" x14ac:dyDescent="0.25">
      <c r="A8" s="692" t="s">
        <v>93</v>
      </c>
      <c r="B8" s="766" t="s">
        <v>94</v>
      </c>
      <c r="C8" s="689" t="s">
        <v>95</v>
      </c>
      <c r="D8" s="736" t="s">
        <v>839</v>
      </c>
      <c r="E8" s="689" t="s">
        <v>100</v>
      </c>
      <c r="F8" s="783">
        <v>124950000</v>
      </c>
      <c r="G8" s="786">
        <v>0</v>
      </c>
      <c r="H8" s="710">
        <v>124950000</v>
      </c>
      <c r="I8" s="692"/>
      <c r="J8" s="692"/>
      <c r="K8" s="728">
        <v>6000000</v>
      </c>
      <c r="L8" s="758">
        <f>+F8+G8+J8-K8+H8</f>
        <v>243900000</v>
      </c>
      <c r="M8" s="742">
        <f>+L27</f>
        <v>265900000</v>
      </c>
      <c r="N8" s="78" t="s">
        <v>552</v>
      </c>
      <c r="O8" s="457" t="s">
        <v>558</v>
      </c>
      <c r="P8" s="78" t="s">
        <v>564</v>
      </c>
      <c r="Q8" s="66">
        <v>55985629</v>
      </c>
      <c r="R8" s="46"/>
      <c r="S8" s="38">
        <v>58</v>
      </c>
      <c r="T8" s="122">
        <v>44578</v>
      </c>
      <c r="U8" s="66">
        <v>55985629</v>
      </c>
      <c r="V8" s="38">
        <v>560</v>
      </c>
      <c r="W8" s="122">
        <v>44586</v>
      </c>
      <c r="X8" s="66">
        <v>55985629</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x14ac:dyDescent="0.25">
      <c r="A9" s="693"/>
      <c r="B9" s="767"/>
      <c r="C9" s="690"/>
      <c r="D9" s="737"/>
      <c r="E9" s="690"/>
      <c r="F9" s="784"/>
      <c r="G9" s="787"/>
      <c r="H9" s="711"/>
      <c r="I9" s="693"/>
      <c r="J9" s="693"/>
      <c r="K9" s="735"/>
      <c r="L9" s="763"/>
      <c r="M9" s="743"/>
      <c r="N9" s="78" t="s">
        <v>553</v>
      </c>
      <c r="O9" s="457" t="s">
        <v>559</v>
      </c>
      <c r="P9" s="78" t="s">
        <v>565</v>
      </c>
      <c r="Q9" s="66">
        <v>8973892</v>
      </c>
      <c r="R9" s="46"/>
      <c r="S9" s="38">
        <v>117</v>
      </c>
      <c r="T9" s="122">
        <v>44582</v>
      </c>
      <c r="U9" s="66">
        <v>8973892</v>
      </c>
      <c r="V9" s="38">
        <v>1107</v>
      </c>
      <c r="W9" s="122">
        <v>44589</v>
      </c>
      <c r="X9" s="66">
        <v>8973892</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x14ac:dyDescent="0.25">
      <c r="A10" s="693"/>
      <c r="B10" s="767"/>
      <c r="C10" s="690"/>
      <c r="D10" s="737"/>
      <c r="E10" s="690"/>
      <c r="F10" s="784"/>
      <c r="G10" s="787"/>
      <c r="H10" s="711"/>
      <c r="I10" s="693"/>
      <c r="J10" s="693"/>
      <c r="K10" s="735"/>
      <c r="L10" s="763"/>
      <c r="M10" s="743"/>
      <c r="N10" s="78" t="s">
        <v>554</v>
      </c>
      <c r="O10" s="457" t="s">
        <v>560</v>
      </c>
      <c r="P10" s="78" t="s">
        <v>566</v>
      </c>
      <c r="Q10" s="66">
        <v>9384910</v>
      </c>
      <c r="R10" s="46"/>
      <c r="S10" s="38">
        <v>109</v>
      </c>
      <c r="T10" s="122">
        <v>44582</v>
      </c>
      <c r="U10" s="66">
        <v>9384910</v>
      </c>
      <c r="V10" s="38">
        <v>577</v>
      </c>
      <c r="W10" s="122">
        <v>44587</v>
      </c>
      <c r="X10" s="66">
        <v>9384910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x14ac:dyDescent="0.25">
      <c r="A11" s="693"/>
      <c r="B11" s="767"/>
      <c r="C11" s="690"/>
      <c r="D11" s="737"/>
      <c r="E11" s="690"/>
      <c r="F11" s="784"/>
      <c r="G11" s="787"/>
      <c r="H11" s="711"/>
      <c r="I11" s="693"/>
      <c r="J11" s="693"/>
      <c r="K11" s="735"/>
      <c r="L11" s="763"/>
      <c r="M11" s="743"/>
      <c r="N11" s="78" t="s">
        <v>555</v>
      </c>
      <c r="O11" s="457" t="s">
        <v>561</v>
      </c>
      <c r="P11" s="78" t="s">
        <v>567</v>
      </c>
      <c r="Q11" s="66">
        <v>13868743</v>
      </c>
      <c r="R11" s="46"/>
      <c r="S11" s="38">
        <v>180</v>
      </c>
      <c r="T11" s="122">
        <v>44587</v>
      </c>
      <c r="U11" s="66">
        <v>13868743</v>
      </c>
      <c r="V11" s="38">
        <v>1110</v>
      </c>
      <c r="W11" s="122">
        <v>44589</v>
      </c>
      <c r="X11" s="66">
        <v>13868743</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x14ac:dyDescent="0.25">
      <c r="A12" s="693"/>
      <c r="B12" s="767"/>
      <c r="C12" s="690"/>
      <c r="D12" s="737"/>
      <c r="E12" s="690"/>
      <c r="F12" s="784"/>
      <c r="G12" s="787"/>
      <c r="H12" s="711"/>
      <c r="I12" s="693"/>
      <c r="J12" s="693"/>
      <c r="K12" s="735"/>
      <c r="L12" s="763"/>
      <c r="M12" s="743"/>
      <c r="N12" s="78" t="s">
        <v>556</v>
      </c>
      <c r="O12" s="457" t="s">
        <v>562</v>
      </c>
      <c r="P12" s="78" t="s">
        <v>568</v>
      </c>
      <c r="Q12" s="66">
        <v>10448533</v>
      </c>
      <c r="R12" s="46"/>
      <c r="S12" s="38">
        <v>128</v>
      </c>
      <c r="T12" s="122">
        <v>44582</v>
      </c>
      <c r="U12" s="66">
        <v>10448533</v>
      </c>
      <c r="V12" s="38">
        <v>732</v>
      </c>
      <c r="W12" s="122">
        <v>44588</v>
      </c>
      <c r="X12" s="66">
        <v>10448533</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x14ac:dyDescent="0.25">
      <c r="A13" s="693"/>
      <c r="B13" s="767"/>
      <c r="C13" s="690"/>
      <c r="D13" s="737"/>
      <c r="E13" s="690"/>
      <c r="F13" s="784"/>
      <c r="G13" s="787"/>
      <c r="H13" s="711"/>
      <c r="I13" s="693"/>
      <c r="J13" s="693"/>
      <c r="K13" s="735"/>
      <c r="L13" s="763"/>
      <c r="M13" s="743"/>
      <c r="N13" s="78" t="s">
        <v>557</v>
      </c>
      <c r="O13" s="457" t="s">
        <v>563</v>
      </c>
      <c r="P13" s="78" t="s">
        <v>569</v>
      </c>
      <c r="Q13" s="66">
        <v>10448533</v>
      </c>
      <c r="R13" s="46"/>
      <c r="S13" s="250">
        <v>146</v>
      </c>
      <c r="T13" s="122">
        <v>44585</v>
      </c>
      <c r="U13" s="66">
        <v>10448533</v>
      </c>
      <c r="V13" s="250">
        <v>1108</v>
      </c>
      <c r="W13" s="122">
        <v>44589</v>
      </c>
      <c r="X13" s="66">
        <v>10448533</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x14ac:dyDescent="0.25">
      <c r="A14" s="693"/>
      <c r="B14" s="767"/>
      <c r="C14" s="690"/>
      <c r="D14" s="737"/>
      <c r="E14" s="690"/>
      <c r="F14" s="785"/>
      <c r="G14" s="788"/>
      <c r="H14" s="712"/>
      <c r="I14" s="694"/>
      <c r="J14" s="694"/>
      <c r="K14" s="729"/>
      <c r="L14" s="763"/>
      <c r="M14" s="743"/>
      <c r="N14" s="78" t="s">
        <v>1382</v>
      </c>
      <c r="O14" s="457" t="s">
        <v>1383</v>
      </c>
      <c r="P14" s="78" t="s">
        <v>1384</v>
      </c>
      <c r="Q14" s="274">
        <v>12151497</v>
      </c>
      <c r="R14" s="46"/>
      <c r="S14" s="38">
        <v>691</v>
      </c>
      <c r="T14" s="122">
        <v>44721</v>
      </c>
      <c r="U14" s="267">
        <v>12151497</v>
      </c>
      <c r="V14" s="38">
        <v>3913</v>
      </c>
      <c r="W14" s="122">
        <v>44775</v>
      </c>
      <c r="X14" s="66">
        <v>12151497</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x14ac:dyDescent="0.25">
      <c r="A15" s="693"/>
      <c r="B15" s="767"/>
      <c r="C15" s="690"/>
      <c r="D15" s="737"/>
      <c r="E15" s="690"/>
      <c r="F15" s="321"/>
      <c r="G15" s="322"/>
      <c r="H15" s="313"/>
      <c r="I15" s="85"/>
      <c r="J15" s="303"/>
      <c r="K15" s="303"/>
      <c r="L15" s="763"/>
      <c r="M15" s="743"/>
      <c r="N15" s="78" t="s">
        <v>1917</v>
      </c>
      <c r="O15" s="457">
        <v>495</v>
      </c>
      <c r="P15" s="78" t="s">
        <v>1916</v>
      </c>
      <c r="Q15" s="274">
        <v>51000001</v>
      </c>
      <c r="R15" s="46"/>
      <c r="S15" s="329">
        <v>970</v>
      </c>
      <c r="T15" s="273">
        <v>44778</v>
      </c>
      <c r="U15" s="274">
        <v>51000001</v>
      </c>
      <c r="V15" s="329">
        <v>4421</v>
      </c>
      <c r="W15" s="273">
        <v>44783</v>
      </c>
      <c r="X15" s="274">
        <v>9736667</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x14ac:dyDescent="0.25">
      <c r="A16" s="693"/>
      <c r="B16" s="767"/>
      <c r="C16" s="690"/>
      <c r="D16" s="737"/>
      <c r="E16" s="690"/>
      <c r="F16" s="566"/>
      <c r="G16" s="567"/>
      <c r="H16" s="558"/>
      <c r="I16" s="85"/>
      <c r="J16" s="552"/>
      <c r="K16" s="552"/>
      <c r="L16" s="763"/>
      <c r="M16" s="743"/>
      <c r="N16" s="78"/>
      <c r="O16" s="569"/>
      <c r="P16" s="78"/>
      <c r="Q16" s="274"/>
      <c r="R16" s="46"/>
      <c r="S16" s="568"/>
      <c r="T16" s="273"/>
      <c r="U16" s="274"/>
      <c r="V16" s="568">
        <v>4422</v>
      </c>
      <c r="W16" s="273">
        <v>44783</v>
      </c>
      <c r="X16" s="274">
        <v>13970000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x14ac:dyDescent="0.25">
      <c r="A17" s="693"/>
      <c r="B17" s="767"/>
      <c r="C17" s="690"/>
      <c r="D17" s="737"/>
      <c r="E17" s="690"/>
      <c r="F17" s="566"/>
      <c r="G17" s="567"/>
      <c r="H17" s="558"/>
      <c r="I17" s="85"/>
      <c r="J17" s="552"/>
      <c r="K17" s="552"/>
      <c r="L17" s="763"/>
      <c r="M17" s="743"/>
      <c r="N17" s="78"/>
      <c r="O17" s="569"/>
      <c r="P17" s="78"/>
      <c r="Q17" s="274"/>
      <c r="R17" s="46"/>
      <c r="S17" s="568"/>
      <c r="T17" s="273"/>
      <c r="U17" s="274"/>
      <c r="V17" s="568">
        <v>4423</v>
      </c>
      <c r="W17" s="273">
        <v>44783</v>
      </c>
      <c r="X17" s="274">
        <v>9736667</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x14ac:dyDescent="0.25">
      <c r="A18" s="693"/>
      <c r="B18" s="767"/>
      <c r="C18" s="690"/>
      <c r="D18" s="737"/>
      <c r="E18" s="690"/>
      <c r="F18" s="566"/>
      <c r="G18" s="567"/>
      <c r="H18" s="558"/>
      <c r="I18" s="85"/>
      <c r="J18" s="552"/>
      <c r="K18" s="552"/>
      <c r="L18" s="763"/>
      <c r="M18" s="743"/>
      <c r="N18" s="78"/>
      <c r="O18" s="569"/>
      <c r="P18" s="78"/>
      <c r="Q18" s="274"/>
      <c r="R18" s="46"/>
      <c r="S18" s="568"/>
      <c r="T18" s="273"/>
      <c r="U18" s="274"/>
      <c r="V18" s="568">
        <v>4424</v>
      </c>
      <c r="W18" s="273">
        <v>44783</v>
      </c>
      <c r="X18" s="274">
        <v>9736667</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x14ac:dyDescent="0.25">
      <c r="A19" s="693"/>
      <c r="B19" s="767"/>
      <c r="C19" s="690"/>
      <c r="D19" s="737"/>
      <c r="E19" s="690"/>
      <c r="F19" s="566"/>
      <c r="G19" s="567"/>
      <c r="H19" s="558"/>
      <c r="I19" s="85"/>
      <c r="J19" s="552"/>
      <c r="K19" s="552"/>
      <c r="L19" s="763"/>
      <c r="M19" s="743"/>
      <c r="N19" s="78"/>
      <c r="O19" s="569"/>
      <c r="P19" s="78"/>
      <c r="Q19" s="274"/>
      <c r="R19" s="46"/>
      <c r="S19" s="568"/>
      <c r="T19" s="273"/>
      <c r="U19" s="274"/>
      <c r="V19" s="568">
        <v>4889</v>
      </c>
      <c r="W19" s="273">
        <v>44811</v>
      </c>
      <c r="X19" s="274">
        <v>7820000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50" customFormat="1" x14ac:dyDescent="0.25">
      <c r="A20" s="693"/>
      <c r="B20" s="767"/>
      <c r="C20" s="690"/>
      <c r="D20" s="737"/>
      <c r="E20" s="690"/>
      <c r="F20" s="375"/>
      <c r="G20" s="376"/>
      <c r="H20" s="372"/>
      <c r="I20" s="85"/>
      <c r="J20" s="368"/>
      <c r="K20" s="368"/>
      <c r="L20" s="763"/>
      <c r="M20" s="743"/>
      <c r="N20" s="78" t="s">
        <v>2337</v>
      </c>
      <c r="O20" s="457" t="s">
        <v>2338</v>
      </c>
      <c r="P20" s="78" t="s">
        <v>2339</v>
      </c>
      <c r="Q20" s="274">
        <v>12923400</v>
      </c>
      <c r="R20" s="46"/>
      <c r="S20" s="377">
        <v>1284</v>
      </c>
      <c r="T20" s="273" t="s">
        <v>2785</v>
      </c>
      <c r="U20" s="274">
        <v>12923400</v>
      </c>
      <c r="V20" s="377">
        <v>5551</v>
      </c>
      <c r="W20" s="273" t="s">
        <v>2792</v>
      </c>
      <c r="X20" s="274">
        <v>12923400</v>
      </c>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row>
    <row r="21" spans="1:129" s="50" customFormat="1" x14ac:dyDescent="0.25">
      <c r="A21" s="693"/>
      <c r="B21" s="767"/>
      <c r="C21" s="690"/>
      <c r="D21" s="737"/>
      <c r="E21" s="690"/>
      <c r="F21" s="375"/>
      <c r="G21" s="376"/>
      <c r="H21" s="372"/>
      <c r="I21" s="85"/>
      <c r="J21" s="368"/>
      <c r="K21" s="368"/>
      <c r="L21" s="763"/>
      <c r="M21" s="743"/>
      <c r="N21" s="78" t="s">
        <v>2340</v>
      </c>
      <c r="O21" s="457" t="s">
        <v>2341</v>
      </c>
      <c r="P21" s="78" t="s">
        <v>2342</v>
      </c>
      <c r="Q21" s="274">
        <v>536662</v>
      </c>
      <c r="R21" s="46"/>
      <c r="S21" s="377">
        <v>1548</v>
      </c>
      <c r="T21" s="273" t="s">
        <v>2789</v>
      </c>
      <c r="U21" s="274">
        <v>536662</v>
      </c>
      <c r="V21" s="377">
        <v>6059</v>
      </c>
      <c r="W21" s="273" t="s">
        <v>2794</v>
      </c>
      <c r="X21" s="274">
        <v>536662</v>
      </c>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row>
    <row r="22" spans="1:129" s="50" customFormat="1" x14ac:dyDescent="0.25">
      <c r="A22" s="693"/>
      <c r="B22" s="767"/>
      <c r="C22" s="690"/>
      <c r="D22" s="737"/>
      <c r="E22" s="690"/>
      <c r="F22" s="375"/>
      <c r="G22" s="376"/>
      <c r="H22" s="372"/>
      <c r="I22" s="85"/>
      <c r="J22" s="368"/>
      <c r="K22" s="368"/>
      <c r="L22" s="763"/>
      <c r="M22" s="743"/>
      <c r="N22" s="78" t="s">
        <v>2343</v>
      </c>
      <c r="O22" s="457" t="s">
        <v>2344</v>
      </c>
      <c r="P22" s="78" t="s">
        <v>2345</v>
      </c>
      <c r="Q22" s="274">
        <v>2527168</v>
      </c>
      <c r="R22" s="46"/>
      <c r="S22" s="377">
        <v>1546</v>
      </c>
      <c r="T22" s="273" t="s">
        <v>2783</v>
      </c>
      <c r="U22" s="274">
        <v>2527168</v>
      </c>
      <c r="V22" s="377">
        <v>6055</v>
      </c>
      <c r="W22" s="273" t="s">
        <v>2794</v>
      </c>
      <c r="X22" s="274">
        <v>2527168</v>
      </c>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row>
    <row r="23" spans="1:129" s="50" customFormat="1" x14ac:dyDescent="0.25">
      <c r="A23" s="693"/>
      <c r="B23" s="767"/>
      <c r="C23" s="690"/>
      <c r="D23" s="737"/>
      <c r="E23" s="690"/>
      <c r="F23" s="375"/>
      <c r="G23" s="376"/>
      <c r="H23" s="372"/>
      <c r="I23" s="85"/>
      <c r="J23" s="368"/>
      <c r="K23" s="368"/>
      <c r="L23" s="763"/>
      <c r="M23" s="743"/>
      <c r="N23" s="78" t="s">
        <v>2346</v>
      </c>
      <c r="O23" s="457" t="s">
        <v>2347</v>
      </c>
      <c r="P23" s="78" t="s">
        <v>2348</v>
      </c>
      <c r="Q23" s="274">
        <v>770000</v>
      </c>
      <c r="R23" s="46"/>
      <c r="S23" s="377">
        <v>1549</v>
      </c>
      <c r="T23" s="273" t="s">
        <v>2789</v>
      </c>
      <c r="U23" s="274">
        <v>770000</v>
      </c>
      <c r="V23" s="377">
        <v>6057</v>
      </c>
      <c r="W23" s="273" t="s">
        <v>2794</v>
      </c>
      <c r="X23" s="274">
        <v>770000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row>
    <row r="24" spans="1:129" s="50" customFormat="1" ht="28.5" customHeight="1" x14ac:dyDescent="0.25">
      <c r="A24" s="693"/>
      <c r="B24" s="767"/>
      <c r="C24" s="690"/>
      <c r="D24" s="692" t="s">
        <v>762</v>
      </c>
      <c r="E24" s="705" t="s">
        <v>101</v>
      </c>
      <c r="F24" s="289">
        <v>12000000</v>
      </c>
      <c r="G24" s="66">
        <v>0</v>
      </c>
      <c r="H24" s="66">
        <v>0</v>
      </c>
      <c r="I24" s="45"/>
      <c r="J24" s="274">
        <v>6000000</v>
      </c>
      <c r="K24" s="44"/>
      <c r="L24" s="758">
        <f>+F24+G24+J24-K24+H24</f>
        <v>18000000</v>
      </c>
      <c r="M24" s="743"/>
      <c r="N24" s="78" t="s">
        <v>943</v>
      </c>
      <c r="O24" s="457" t="s">
        <v>944</v>
      </c>
      <c r="P24" s="78" t="s">
        <v>945</v>
      </c>
      <c r="Q24" s="66">
        <v>12000000</v>
      </c>
      <c r="R24" s="46"/>
      <c r="S24" s="521">
        <v>523</v>
      </c>
      <c r="T24" s="273">
        <v>44672</v>
      </c>
      <c r="U24" s="267">
        <v>12000000</v>
      </c>
      <c r="V24" s="568">
        <v>2747</v>
      </c>
      <c r="W24" s="273">
        <v>44708</v>
      </c>
      <c r="X24" s="267">
        <v>12000000</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row>
    <row r="25" spans="1:129" s="50" customFormat="1" ht="25.5" customHeight="1" x14ac:dyDescent="0.25">
      <c r="A25" s="693"/>
      <c r="B25" s="767"/>
      <c r="C25" s="690"/>
      <c r="D25" s="694"/>
      <c r="E25" s="707"/>
      <c r="F25" s="289"/>
      <c r="G25" s="274"/>
      <c r="H25" s="274"/>
      <c r="I25" s="45"/>
      <c r="J25" s="330"/>
      <c r="K25" s="330"/>
      <c r="L25" s="759"/>
      <c r="M25" s="743"/>
      <c r="N25" s="78" t="s">
        <v>2349</v>
      </c>
      <c r="O25" s="457" t="s">
        <v>2350</v>
      </c>
      <c r="P25" s="78" t="s">
        <v>2351</v>
      </c>
      <c r="Q25" s="274">
        <v>5999901</v>
      </c>
      <c r="R25" s="46"/>
      <c r="S25" s="521">
        <v>1512</v>
      </c>
      <c r="T25" s="273" t="s">
        <v>2790</v>
      </c>
      <c r="U25" s="274">
        <v>5999901</v>
      </c>
      <c r="V25" s="568">
        <v>6105</v>
      </c>
      <c r="W25" s="273" t="s">
        <v>2853</v>
      </c>
      <c r="X25" s="274">
        <v>5999901</v>
      </c>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row>
    <row r="26" spans="1:129" s="50" customFormat="1" ht="25.5" x14ac:dyDescent="0.25">
      <c r="A26" s="694"/>
      <c r="B26" s="768"/>
      <c r="C26" s="691"/>
      <c r="D26" s="44" t="s">
        <v>763</v>
      </c>
      <c r="E26" s="8" t="s">
        <v>102</v>
      </c>
      <c r="F26" s="289">
        <v>2000000</v>
      </c>
      <c r="G26" s="66">
        <v>0</v>
      </c>
      <c r="H26" s="289">
        <v>2000000</v>
      </c>
      <c r="I26" s="45"/>
      <c r="J26" s="44"/>
      <c r="K26" s="44"/>
      <c r="L26" s="65">
        <f>+F26+G26+J26-K26+H26</f>
        <v>4000000</v>
      </c>
      <c r="M26" s="744"/>
      <c r="N26" s="44"/>
      <c r="O26" s="44"/>
      <c r="P26" s="44"/>
      <c r="Q26" s="44"/>
      <c r="R26" s="46"/>
      <c r="S26" s="44"/>
      <c r="T26" s="79"/>
      <c r="U26" s="44"/>
      <c r="V26" s="44"/>
      <c r="W26" s="79"/>
      <c r="X26" s="44"/>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row>
    <row r="27" spans="1:129" s="107" customFormat="1" ht="15.75" thickBot="1" x14ac:dyDescent="0.3">
      <c r="A27" s="92"/>
      <c r="B27" s="92"/>
      <c r="C27" s="92"/>
      <c r="D27" s="92"/>
      <c r="E27" s="104"/>
      <c r="F27" s="101"/>
      <c r="G27" s="101"/>
      <c r="H27" s="92"/>
      <c r="I27" s="93"/>
      <c r="J27" s="92"/>
      <c r="K27" s="92"/>
      <c r="L27" s="102">
        <f>SUM(L8:L26)</f>
        <v>265900000</v>
      </c>
      <c r="M27" s="101"/>
      <c r="N27" s="105"/>
      <c r="O27" s="86"/>
      <c r="P27" s="95"/>
      <c r="Q27" s="103">
        <f>SUM(Q8:Q26)</f>
        <v>207018869</v>
      </c>
      <c r="R27" s="89"/>
      <c r="S27" s="86"/>
      <c r="T27" s="95"/>
      <c r="U27" s="103">
        <f>SUM(U8:U26)</f>
        <v>207018869</v>
      </c>
      <c r="V27" s="86"/>
      <c r="W27" s="95"/>
      <c r="X27" s="103">
        <f>SUM(X8:X26)</f>
        <v>207018869</v>
      </c>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row>
    <row r="28" spans="1:129" s="63" customFormat="1" ht="17.25" thickBot="1" x14ac:dyDescent="0.35">
      <c r="A28" s="51"/>
      <c r="B28" s="51"/>
      <c r="C28" s="42"/>
      <c r="D28" s="42"/>
      <c r="E28" s="42"/>
      <c r="F28" s="52"/>
      <c r="G28" s="42"/>
      <c r="H28" s="42"/>
      <c r="I28" s="43"/>
      <c r="J28" s="53" t="s">
        <v>29</v>
      </c>
      <c r="K28" s="54"/>
      <c r="L28" s="55">
        <f>+L27</f>
        <v>265900000</v>
      </c>
      <c r="M28" s="56"/>
      <c r="N28" s="782"/>
      <c r="O28" s="56"/>
      <c r="P28" s="782"/>
      <c r="Q28" s="781">
        <f>+Q27</f>
        <v>207018869</v>
      </c>
      <c r="R28" s="57">
        <f>(Q28*1)/L28</f>
        <v>0.77855911620910112</v>
      </c>
      <c r="S28" s="58"/>
      <c r="T28" s="59"/>
      <c r="U28" s="60">
        <f>+U27</f>
        <v>207018869</v>
      </c>
      <c r="V28" s="58"/>
      <c r="W28" s="59"/>
      <c r="X28" s="61">
        <f>+X27</f>
        <v>207018869</v>
      </c>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row>
    <row r="29" spans="1:129" x14ac:dyDescent="0.25">
      <c r="N29" s="779"/>
      <c r="P29" s="779"/>
      <c r="Q29" s="779"/>
      <c r="R29" s="4"/>
    </row>
    <row r="30" spans="1:129" x14ac:dyDescent="0.25">
      <c r="N30" s="779"/>
      <c r="P30" s="779"/>
      <c r="Q30" s="780"/>
      <c r="R30" s="6"/>
      <c r="S30" s="5"/>
    </row>
    <row r="31" spans="1:129" x14ac:dyDescent="0.25">
      <c r="N31" s="779"/>
      <c r="P31" s="779"/>
      <c r="Q31" s="780"/>
      <c r="R31" s="6"/>
      <c r="S31" s="5"/>
    </row>
    <row r="32" spans="1:129" x14ac:dyDescent="0.25">
      <c r="L32" s="209"/>
      <c r="N32" s="779"/>
      <c r="P32" s="779"/>
      <c r="Q32" s="780"/>
      <c r="R32" s="6"/>
      <c r="S32" s="5"/>
    </row>
    <row r="33" spans="12:19" x14ac:dyDescent="0.25">
      <c r="L33" s="251"/>
      <c r="N33" s="779"/>
      <c r="P33" s="779"/>
      <c r="Q33" s="780"/>
      <c r="R33" s="6"/>
      <c r="S33" s="5"/>
    </row>
    <row r="34" spans="12:19" x14ac:dyDescent="0.25">
      <c r="N34" s="779"/>
      <c r="P34" s="779"/>
      <c r="Q34" s="780"/>
      <c r="R34" s="6"/>
      <c r="S34" s="5"/>
    </row>
    <row r="35" spans="12:19" x14ac:dyDescent="0.25">
      <c r="N35" s="779"/>
      <c r="P35" s="779"/>
      <c r="Q35" s="780"/>
      <c r="R35" s="6"/>
      <c r="S35" s="5"/>
    </row>
    <row r="36" spans="12:19" x14ac:dyDescent="0.25">
      <c r="N36" s="779"/>
      <c r="P36" s="779"/>
      <c r="Q36" s="780"/>
      <c r="R36" s="6"/>
      <c r="S36" s="5"/>
    </row>
    <row r="37" spans="12:19" x14ac:dyDescent="0.25">
      <c r="N37" s="779"/>
      <c r="P37" s="779"/>
      <c r="Q37" s="780"/>
      <c r="R37" s="6"/>
      <c r="S37" s="5"/>
    </row>
    <row r="38" spans="12:19" x14ac:dyDescent="0.25">
      <c r="N38" s="779"/>
      <c r="P38" s="779"/>
      <c r="Q38" s="780"/>
      <c r="R38" s="7"/>
      <c r="S38" s="5"/>
    </row>
    <row r="39" spans="12:19" x14ac:dyDescent="0.25">
      <c r="N39" s="779"/>
      <c r="P39" s="779"/>
      <c r="Q39" s="779"/>
    </row>
    <row r="40" spans="12:19" x14ac:dyDescent="0.25">
      <c r="N40" s="779"/>
      <c r="P40" s="779"/>
      <c r="Q40" s="779"/>
    </row>
    <row r="41" spans="12:19" x14ac:dyDescent="0.25">
      <c r="N41" s="779"/>
      <c r="P41" s="779"/>
      <c r="Q41" s="779"/>
    </row>
    <row r="42" spans="12:19" x14ac:dyDescent="0.25">
      <c r="N42" s="779"/>
      <c r="P42" s="779"/>
      <c r="Q42" s="779"/>
    </row>
    <row r="43" spans="12:19" x14ac:dyDescent="0.25">
      <c r="N43" s="779"/>
      <c r="P43" s="779"/>
      <c r="Q43" s="779"/>
    </row>
    <row r="44" spans="12:19" x14ac:dyDescent="0.25">
      <c r="N44" s="779"/>
      <c r="P44" s="779"/>
      <c r="Q44" s="779"/>
    </row>
    <row r="45" spans="12:19" x14ac:dyDescent="0.25">
      <c r="N45" s="779"/>
      <c r="P45" s="779"/>
      <c r="Q45" s="779"/>
    </row>
    <row r="46" spans="12:19" x14ac:dyDescent="0.25">
      <c r="N46" s="779"/>
      <c r="P46" s="779"/>
      <c r="Q46" s="779"/>
    </row>
    <row r="47" spans="12:19" x14ac:dyDescent="0.25">
      <c r="N47" s="779"/>
      <c r="P47" s="779"/>
      <c r="Q47" s="779"/>
    </row>
    <row r="48" spans="12: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sheetData>
  <mergeCells count="84">
    <mergeCell ref="K8:K14"/>
    <mergeCell ref="M8:M26"/>
    <mergeCell ref="B8:B26"/>
    <mergeCell ref="C8:C26"/>
    <mergeCell ref="A8:A26"/>
    <mergeCell ref="F8:F14"/>
    <mergeCell ref="G8:G14"/>
    <mergeCell ref="H8:H14"/>
    <mergeCell ref="I8:I14"/>
    <mergeCell ref="J8:J14"/>
    <mergeCell ref="D8:D23"/>
    <mergeCell ref="E8:E23"/>
    <mergeCell ref="L8:L23"/>
    <mergeCell ref="E24:E25"/>
    <mergeCell ref="L24:L25"/>
    <mergeCell ref="D24:D25"/>
    <mergeCell ref="Q28"/>
    <mergeCell ref="N29"/>
    <mergeCell ref="P29"/>
    <mergeCell ref="Q29"/>
    <mergeCell ref="N28"/>
    <mergeCell ref="P28"/>
    <mergeCell ref="N31"/>
    <mergeCell ref="P31"/>
    <mergeCell ref="Q31"/>
    <mergeCell ref="N30"/>
    <mergeCell ref="P30"/>
    <mergeCell ref="Q30"/>
    <mergeCell ref="Q34"/>
    <mergeCell ref="N35"/>
    <mergeCell ref="P35"/>
    <mergeCell ref="Q35"/>
    <mergeCell ref="N34"/>
    <mergeCell ref="P34"/>
    <mergeCell ref="Q32"/>
    <mergeCell ref="N33"/>
    <mergeCell ref="P33"/>
    <mergeCell ref="Q33"/>
    <mergeCell ref="N32"/>
    <mergeCell ref="P32"/>
    <mergeCell ref="N47"/>
    <mergeCell ref="P47"/>
    <mergeCell ref="Q47"/>
    <mergeCell ref="N46"/>
    <mergeCell ref="P46"/>
    <mergeCell ref="Q46"/>
    <mergeCell ref="Q44"/>
    <mergeCell ref="N45"/>
    <mergeCell ref="P45"/>
    <mergeCell ref="Q45"/>
    <mergeCell ref="N44"/>
    <mergeCell ref="P44"/>
    <mergeCell ref="Q39"/>
    <mergeCell ref="N38"/>
    <mergeCell ref="P38"/>
    <mergeCell ref="Q36"/>
    <mergeCell ref="N37"/>
    <mergeCell ref="P37"/>
    <mergeCell ref="Q37"/>
    <mergeCell ref="N36"/>
    <mergeCell ref="Q38"/>
    <mergeCell ref="N39"/>
    <mergeCell ref="P39"/>
    <mergeCell ref="P36"/>
    <mergeCell ref="A2:A5"/>
    <mergeCell ref="B2:V2"/>
    <mergeCell ref="B3:V3"/>
    <mergeCell ref="B4:V5"/>
    <mergeCell ref="W2:X2"/>
    <mergeCell ref="W3:X3"/>
    <mergeCell ref="W4:X4"/>
    <mergeCell ref="W5:X5"/>
    <mergeCell ref="Q42"/>
    <mergeCell ref="N43"/>
    <mergeCell ref="P43"/>
    <mergeCell ref="Q43"/>
    <mergeCell ref="N42"/>
    <mergeCell ref="P42"/>
    <mergeCell ref="Q40"/>
    <mergeCell ref="N41"/>
    <mergeCell ref="P41"/>
    <mergeCell ref="Q41"/>
    <mergeCell ref="N40"/>
    <mergeCell ref="P40"/>
  </mergeCells>
  <conditionalFormatting sqref="R38:R1048576 R28 R7:R26">
    <cfRule type="cellIs" dxfId="929" priority="11" operator="between">
      <formula>0.51</formula>
      <formula>0.69</formula>
    </cfRule>
    <cfRule type="cellIs" dxfId="928" priority="12" operator="between">
      <formula>0.51</formula>
      <formula>0.69</formula>
    </cfRule>
    <cfRule type="cellIs" dxfId="927" priority="13" operator="lessThan">
      <formula>0.5</formula>
    </cfRule>
    <cfRule type="cellIs" dxfId="926" priority="14" operator="greaterThan">
      <formula>0.7</formula>
    </cfRule>
    <cfRule type="cellIs" dxfId="925" priority="15" operator="between">
      <formula>0.51</formula>
      <formula>0.69</formula>
    </cfRule>
    <cfRule type="cellIs" dxfId="924" priority="16" operator="lessThan">
      <formula>50</formula>
    </cfRule>
    <cfRule type="cellIs" dxfId="923" priority="17" operator="greaterThan">
      <formula>0.7</formula>
    </cfRule>
    <cfRule type="cellIs" dxfId="922" priority="18" operator="between">
      <formula>0.51</formula>
      <formula>0.69</formula>
    </cfRule>
    <cfRule type="cellIs" dxfId="921" priority="19" operator="lessThan">
      <formula>0.5</formula>
    </cfRule>
    <cfRule type="cellIs" dxfId="920" priority="20" operator="greaterThan">
      <formula>0.7</formula>
    </cfRule>
  </conditionalFormatting>
  <conditionalFormatting sqref="R27">
    <cfRule type="cellIs" dxfId="919" priority="1" operator="between">
      <formula>0.51</formula>
      <formula>0.69</formula>
    </cfRule>
    <cfRule type="cellIs" dxfId="918" priority="2" operator="between">
      <formula>0.51</formula>
      <formula>0.69</formula>
    </cfRule>
    <cfRule type="cellIs" dxfId="917" priority="3" operator="lessThan">
      <formula>0.5</formula>
    </cfRule>
    <cfRule type="cellIs" dxfId="916" priority="4" operator="greaterThan">
      <formula>0.7</formula>
    </cfRule>
    <cfRule type="cellIs" dxfId="915" priority="5" operator="between">
      <formula>0.51</formula>
      <formula>0.69</formula>
    </cfRule>
    <cfRule type="cellIs" dxfId="914" priority="6" operator="lessThan">
      <formula>50</formula>
    </cfRule>
    <cfRule type="cellIs" dxfId="913" priority="7" operator="greaterThan">
      <formula>0.7</formula>
    </cfRule>
    <cfRule type="cellIs" dxfId="912" priority="8" operator="between">
      <formula>0.51</formula>
      <formula>0.69</formula>
    </cfRule>
    <cfRule type="cellIs" dxfId="911" priority="9" operator="lessThan">
      <formula>0.5</formula>
    </cfRule>
    <cfRule type="cellIs" dxfId="910" priority="10" operator="greaterThan">
      <formula>0.7</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482B"/>
  </sheetPr>
  <dimension ref="A1:ED86"/>
  <sheetViews>
    <sheetView showGridLines="0" topLeftCell="D1" zoomScale="80" zoomScaleNormal="80" workbookViewId="0">
      <selection activeCell="Q12" sqref="Q12"/>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6.7109375" style="40" hidden="1" customWidth="1"/>
    <col min="9" max="10" width="15.7109375" style="201" hidden="1" customWidth="1"/>
    <col min="11" max="11" width="15.7109375" style="40" hidden="1" customWidth="1"/>
    <col min="12" max="12" width="15.140625" style="40" hidden="1" customWidth="1"/>
    <col min="13" max="13" width="15" style="40" hidden="1" customWidth="1"/>
    <col min="14" max="14" width="18.5703125" style="40" customWidth="1"/>
    <col min="15" max="15" width="16.7109375" style="40" customWidth="1"/>
    <col min="16" max="16" width="15.7109375" style="40" customWidth="1"/>
    <col min="17" max="17" width="11.42578125" style="40" customWidth="1"/>
    <col min="18" max="18" width="15.42578125" style="40" customWidth="1"/>
    <col min="19" max="19" width="17.28515625" style="40" bestFit="1" customWidth="1"/>
    <col min="20" max="20" width="11.5703125" style="3" bestFit="1" customWidth="1"/>
    <col min="21" max="21" width="11.42578125" style="40" customWidth="1"/>
    <col min="22" max="22" width="16.7109375" style="35" bestFit="1" customWidth="1"/>
    <col min="23" max="23" width="16.7109375" style="40" bestFit="1" customWidth="1"/>
    <col min="24" max="24" width="11.42578125" style="40" customWidth="1"/>
    <col min="25" max="25" width="14.5703125" style="35" customWidth="1"/>
    <col min="26" max="26" width="19" style="40" bestFit="1" customWidth="1"/>
    <col min="27" max="131" width="11.5703125" style="39" hidden="1" customWidth="1"/>
    <col min="132" max="134" width="11.5703125" style="40" hidden="1" customWidth="1"/>
    <col min="135" max="16384" width="11.42578125" style="40" hidden="1"/>
  </cols>
  <sheetData>
    <row r="1" spans="1:131" ht="15" x14ac:dyDescent="0.25">
      <c r="A1" s="24"/>
      <c r="B1" s="25"/>
      <c r="C1" s="25"/>
      <c r="D1" s="26"/>
      <c r="E1" s="26"/>
      <c r="F1" s="27"/>
      <c r="G1" s="28"/>
      <c r="H1" s="28"/>
      <c r="I1" s="28"/>
      <c r="J1" s="28"/>
      <c r="K1" s="28"/>
      <c r="L1" s="28"/>
      <c r="M1" s="29"/>
      <c r="N1" s="24"/>
      <c r="O1" s="24"/>
      <c r="P1" s="24"/>
      <c r="Q1" s="24"/>
      <c r="R1" s="24"/>
      <c r="S1" s="24"/>
      <c r="T1" s="24"/>
      <c r="U1" s="24"/>
      <c r="V1" s="36"/>
      <c r="W1" s="24"/>
      <c r="X1" s="24"/>
      <c r="Y1" s="36"/>
    </row>
    <row r="2" spans="1:131" ht="15" x14ac:dyDescent="0.25">
      <c r="A2" s="708"/>
      <c r="B2" s="709"/>
      <c r="C2" s="709"/>
      <c r="D2" s="709"/>
      <c r="E2" s="709"/>
      <c r="F2" s="709"/>
      <c r="G2" s="709"/>
      <c r="H2" s="709"/>
      <c r="I2" s="709"/>
      <c r="J2" s="709"/>
      <c r="K2" s="709"/>
      <c r="L2" s="709"/>
      <c r="M2" s="709"/>
      <c r="N2" s="709"/>
      <c r="O2" s="709"/>
      <c r="P2" s="709"/>
      <c r="Q2" s="709"/>
      <c r="R2" s="709"/>
      <c r="S2" s="709"/>
      <c r="T2" s="709"/>
      <c r="U2" s="709"/>
      <c r="V2" s="709"/>
      <c r="W2" s="709"/>
      <c r="X2" s="709"/>
      <c r="Y2" s="730" t="s">
        <v>86</v>
      </c>
      <c r="Z2" s="730"/>
    </row>
    <row r="3" spans="1:131"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1"/>
      <c r="X3" s="731"/>
      <c r="Y3" s="730" t="s">
        <v>88</v>
      </c>
      <c r="Z3" s="730"/>
    </row>
    <row r="4" spans="1:131"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1"/>
      <c r="X4" s="731"/>
      <c r="Y4" s="730" t="s">
        <v>90</v>
      </c>
      <c r="Z4" s="730"/>
    </row>
    <row r="5" spans="1:131" ht="15" x14ac:dyDescent="0.25">
      <c r="A5" s="708"/>
      <c r="B5" s="731"/>
      <c r="C5" s="731"/>
      <c r="D5" s="731"/>
      <c r="E5" s="731"/>
      <c r="F5" s="731"/>
      <c r="G5" s="731"/>
      <c r="H5" s="731"/>
      <c r="I5" s="731"/>
      <c r="J5" s="731"/>
      <c r="K5" s="731"/>
      <c r="L5" s="731"/>
      <c r="M5" s="731"/>
      <c r="N5" s="731"/>
      <c r="O5" s="731"/>
      <c r="P5" s="731"/>
      <c r="Q5" s="731"/>
      <c r="R5" s="731"/>
      <c r="S5" s="731"/>
      <c r="T5" s="731"/>
      <c r="U5" s="731"/>
      <c r="V5" s="731"/>
      <c r="W5" s="731"/>
      <c r="X5" s="731"/>
      <c r="Y5" s="730" t="s">
        <v>91</v>
      </c>
      <c r="Z5" s="730"/>
    </row>
    <row r="6" spans="1:131" ht="15" x14ac:dyDescent="0.25">
      <c r="A6" s="24"/>
      <c r="B6" s="24"/>
      <c r="C6" s="24"/>
      <c r="D6" s="24"/>
      <c r="E6" s="24"/>
      <c r="F6" s="24"/>
      <c r="G6" s="24"/>
      <c r="H6" s="24"/>
      <c r="I6" s="24"/>
      <c r="J6" s="24"/>
      <c r="K6" s="24"/>
      <c r="L6" s="24"/>
      <c r="M6" s="24"/>
      <c r="N6" s="24"/>
      <c r="O6" s="24"/>
      <c r="P6" s="24"/>
      <c r="Q6" s="24"/>
      <c r="R6" s="24"/>
      <c r="S6" s="24"/>
      <c r="T6" s="24"/>
      <c r="U6" s="24"/>
      <c r="V6" s="36"/>
      <c r="W6" s="24"/>
      <c r="X6" s="24"/>
      <c r="Y6" s="36"/>
    </row>
    <row r="7" spans="1:131" s="34" customFormat="1" ht="63.75" x14ac:dyDescent="0.25">
      <c r="A7" s="41" t="s">
        <v>0</v>
      </c>
      <c r="B7" s="41" t="s">
        <v>1</v>
      </c>
      <c r="C7" s="41" t="s">
        <v>2</v>
      </c>
      <c r="D7" s="41" t="s">
        <v>103</v>
      </c>
      <c r="E7" s="41" t="s">
        <v>30</v>
      </c>
      <c r="F7" s="41" t="s">
        <v>96</v>
      </c>
      <c r="G7" s="41" t="s">
        <v>97</v>
      </c>
      <c r="H7" s="41" t="s">
        <v>1133</v>
      </c>
      <c r="I7" s="41" t="s">
        <v>1134</v>
      </c>
      <c r="J7" s="41" t="s">
        <v>1135</v>
      </c>
      <c r="K7" s="41" t="s">
        <v>1136</v>
      </c>
      <c r="L7" s="41" t="s">
        <v>98</v>
      </c>
      <c r="M7" s="41" t="s">
        <v>99</v>
      </c>
      <c r="N7" s="41" t="s">
        <v>3</v>
      </c>
      <c r="O7" s="41" t="s">
        <v>4</v>
      </c>
      <c r="P7" s="41" t="s">
        <v>28</v>
      </c>
      <c r="Q7" s="41" t="s">
        <v>21</v>
      </c>
      <c r="R7" s="41" t="s">
        <v>65</v>
      </c>
      <c r="S7" s="41" t="s">
        <v>31</v>
      </c>
      <c r="T7" s="32" t="s">
        <v>62</v>
      </c>
      <c r="U7" s="41" t="s">
        <v>22</v>
      </c>
      <c r="V7" s="37" t="s">
        <v>23</v>
      </c>
      <c r="W7" s="41" t="s">
        <v>24</v>
      </c>
      <c r="X7" s="41" t="s">
        <v>25</v>
      </c>
      <c r="Y7" s="37" t="s">
        <v>26</v>
      </c>
      <c r="Z7" s="41" t="s">
        <v>27</v>
      </c>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row>
    <row r="8" spans="1:131" s="50" customFormat="1" ht="27" customHeight="1" x14ac:dyDescent="0.25">
      <c r="A8" s="692" t="s">
        <v>104</v>
      </c>
      <c r="B8" s="766" t="s">
        <v>112</v>
      </c>
      <c r="C8" s="689" t="s">
        <v>5</v>
      </c>
      <c r="D8" s="408" t="s">
        <v>765</v>
      </c>
      <c r="E8" s="413" t="s">
        <v>100</v>
      </c>
      <c r="F8" s="289">
        <v>68355884</v>
      </c>
      <c r="G8" s="66">
        <v>0</v>
      </c>
      <c r="H8" s="44"/>
      <c r="I8" s="45"/>
      <c r="J8" s="45"/>
      <c r="K8" s="45"/>
      <c r="L8" s="44"/>
      <c r="M8" s="44"/>
      <c r="N8" s="425">
        <f>+F8+G8+H8+I8+J8+K8+L8-M8</f>
        <v>68355884</v>
      </c>
      <c r="O8" s="769">
        <f>107355884+611644116</f>
        <v>719000000</v>
      </c>
      <c r="P8" s="78" t="s">
        <v>1915</v>
      </c>
      <c r="Q8" s="457">
        <v>516</v>
      </c>
      <c r="R8" s="329" t="s">
        <v>1914</v>
      </c>
      <c r="S8" s="274">
        <v>60434974</v>
      </c>
      <c r="T8" s="46"/>
      <c r="U8" s="568">
        <v>1014</v>
      </c>
      <c r="V8" s="273">
        <v>44782</v>
      </c>
      <c r="W8" s="274">
        <v>60434974</v>
      </c>
      <c r="X8" s="568">
        <v>4505</v>
      </c>
      <c r="Y8" s="273" t="s">
        <v>2857</v>
      </c>
      <c r="Z8" s="274">
        <v>8755829</v>
      </c>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row>
    <row r="9" spans="1:131" s="50" customFormat="1" ht="27" customHeight="1" x14ac:dyDescent="0.25">
      <c r="A9" s="693"/>
      <c r="B9" s="767"/>
      <c r="C9" s="690"/>
      <c r="D9" s="550"/>
      <c r="E9" s="553"/>
      <c r="F9" s="289"/>
      <c r="G9" s="274"/>
      <c r="H9" s="330"/>
      <c r="I9" s="45"/>
      <c r="J9" s="45"/>
      <c r="K9" s="45"/>
      <c r="L9" s="330"/>
      <c r="M9" s="330"/>
      <c r="N9" s="563"/>
      <c r="O9" s="769"/>
      <c r="P9" s="78"/>
      <c r="Q9" s="569"/>
      <c r="R9" s="568"/>
      <c r="S9" s="274"/>
      <c r="T9" s="46"/>
      <c r="U9" s="330"/>
      <c r="V9" s="79"/>
      <c r="W9" s="274"/>
      <c r="X9" s="568">
        <v>4506</v>
      </c>
      <c r="Y9" s="273" t="s">
        <v>2857</v>
      </c>
      <c r="Z9" s="274">
        <v>8755829</v>
      </c>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row>
    <row r="10" spans="1:131" s="50" customFormat="1" ht="27" customHeight="1" x14ac:dyDescent="0.25">
      <c r="A10" s="693"/>
      <c r="B10" s="767"/>
      <c r="C10" s="690"/>
      <c r="D10" s="550"/>
      <c r="E10" s="553"/>
      <c r="F10" s="289"/>
      <c r="G10" s="274"/>
      <c r="H10" s="330"/>
      <c r="I10" s="45"/>
      <c r="J10" s="45"/>
      <c r="K10" s="45"/>
      <c r="L10" s="330"/>
      <c r="M10" s="330"/>
      <c r="N10" s="563"/>
      <c r="O10" s="769"/>
      <c r="P10" s="78"/>
      <c r="Q10" s="569"/>
      <c r="R10" s="568"/>
      <c r="S10" s="274"/>
      <c r="T10" s="46"/>
      <c r="U10" s="330"/>
      <c r="V10" s="79"/>
      <c r="W10" s="274"/>
      <c r="X10" s="568">
        <v>4507</v>
      </c>
      <c r="Y10" s="273" t="s">
        <v>2857</v>
      </c>
      <c r="Z10" s="274">
        <v>8755829</v>
      </c>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row>
    <row r="11" spans="1:131" s="50" customFormat="1" ht="27" customHeight="1" x14ac:dyDescent="0.25">
      <c r="A11" s="693"/>
      <c r="B11" s="767"/>
      <c r="C11" s="690"/>
      <c r="D11" s="550"/>
      <c r="E11" s="553"/>
      <c r="F11" s="289"/>
      <c r="G11" s="274"/>
      <c r="H11" s="330"/>
      <c r="I11" s="45"/>
      <c r="J11" s="45"/>
      <c r="K11" s="45"/>
      <c r="L11" s="330"/>
      <c r="M11" s="330"/>
      <c r="N11" s="563"/>
      <c r="O11" s="769"/>
      <c r="P11" s="78"/>
      <c r="Q11" s="569"/>
      <c r="R11" s="568"/>
      <c r="S11" s="274"/>
      <c r="T11" s="46"/>
      <c r="U11" s="330"/>
      <c r="V11" s="79"/>
      <c r="W11" s="274"/>
      <c r="X11" s="568">
        <v>4508</v>
      </c>
      <c r="Y11" s="273" t="s">
        <v>2857</v>
      </c>
      <c r="Z11" s="274">
        <v>8755829</v>
      </c>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row>
    <row r="12" spans="1:131" s="50" customFormat="1" ht="27" customHeight="1" x14ac:dyDescent="0.25">
      <c r="A12" s="693"/>
      <c r="B12" s="767"/>
      <c r="C12" s="690"/>
      <c r="D12" s="550"/>
      <c r="E12" s="553"/>
      <c r="F12" s="289"/>
      <c r="G12" s="274"/>
      <c r="H12" s="330"/>
      <c r="I12" s="45"/>
      <c r="J12" s="45"/>
      <c r="K12" s="45"/>
      <c r="L12" s="330"/>
      <c r="M12" s="330"/>
      <c r="N12" s="563"/>
      <c r="O12" s="769"/>
      <c r="P12" s="78"/>
      <c r="Q12" s="569"/>
      <c r="R12" s="568"/>
      <c r="S12" s="274"/>
      <c r="T12" s="46"/>
      <c r="U12" s="330"/>
      <c r="V12" s="79"/>
      <c r="W12" s="274"/>
      <c r="X12" s="568">
        <v>4509</v>
      </c>
      <c r="Y12" s="273" t="s">
        <v>2857</v>
      </c>
      <c r="Z12" s="274">
        <v>8755829</v>
      </c>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row>
    <row r="13" spans="1:131" s="50" customFormat="1" ht="27" customHeight="1" x14ac:dyDescent="0.25">
      <c r="A13" s="693"/>
      <c r="B13" s="767"/>
      <c r="C13" s="690"/>
      <c r="D13" s="550"/>
      <c r="E13" s="553"/>
      <c r="F13" s="289"/>
      <c r="G13" s="274"/>
      <c r="H13" s="330"/>
      <c r="I13" s="45"/>
      <c r="J13" s="45"/>
      <c r="K13" s="45"/>
      <c r="L13" s="330"/>
      <c r="M13" s="330"/>
      <c r="N13" s="563"/>
      <c r="O13" s="769"/>
      <c r="P13" s="78"/>
      <c r="Q13" s="569"/>
      <c r="R13" s="568"/>
      <c r="S13" s="274"/>
      <c r="T13" s="46"/>
      <c r="U13" s="330"/>
      <c r="V13" s="79"/>
      <c r="W13" s="274"/>
      <c r="X13" s="568">
        <v>4510</v>
      </c>
      <c r="Y13" s="273" t="s">
        <v>2857</v>
      </c>
      <c r="Z13" s="274">
        <v>8755829</v>
      </c>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row>
    <row r="14" spans="1:131" s="50" customFormat="1" ht="27" customHeight="1" x14ac:dyDescent="0.25">
      <c r="A14" s="693"/>
      <c r="B14" s="767"/>
      <c r="C14" s="690"/>
      <c r="D14" s="550"/>
      <c r="E14" s="553"/>
      <c r="F14" s="289"/>
      <c r="G14" s="274"/>
      <c r="H14" s="330"/>
      <c r="I14" s="45"/>
      <c r="J14" s="45"/>
      <c r="K14" s="45"/>
      <c r="L14" s="330"/>
      <c r="M14" s="330"/>
      <c r="N14" s="563"/>
      <c r="O14" s="769"/>
      <c r="P14" s="78"/>
      <c r="Q14" s="569"/>
      <c r="R14" s="568"/>
      <c r="S14" s="274"/>
      <c r="T14" s="46"/>
      <c r="U14" s="330"/>
      <c r="V14" s="79"/>
      <c r="W14" s="274"/>
      <c r="X14" s="568">
        <v>4756</v>
      </c>
      <c r="Y14" s="273" t="s">
        <v>2844</v>
      </c>
      <c r="Z14" s="274">
        <v>7900000</v>
      </c>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row>
    <row r="15" spans="1:131" s="50" customFormat="1" ht="25.5" x14ac:dyDescent="0.25">
      <c r="A15" s="693"/>
      <c r="B15" s="767"/>
      <c r="C15" s="690"/>
      <c r="D15" s="44" t="s">
        <v>764</v>
      </c>
      <c r="E15" s="69" t="s">
        <v>113</v>
      </c>
      <c r="F15" s="289">
        <v>39000000</v>
      </c>
      <c r="G15" s="64">
        <v>0</v>
      </c>
      <c r="H15" s="44"/>
      <c r="I15" s="45"/>
      <c r="J15" s="45"/>
      <c r="K15" s="45"/>
      <c r="L15" s="44"/>
      <c r="M15" s="44"/>
      <c r="N15" s="65">
        <f t="shared" ref="N15:N17" si="0">+F15+G15+H15+I15+J15+K15+L15-M15</f>
        <v>39000000</v>
      </c>
      <c r="O15" s="769"/>
      <c r="P15" s="247" t="s">
        <v>1385</v>
      </c>
      <c r="Q15" s="457" t="s">
        <v>1386</v>
      </c>
      <c r="R15" s="248" t="s">
        <v>1387</v>
      </c>
      <c r="S15" s="249">
        <v>35700000</v>
      </c>
      <c r="T15" s="46"/>
      <c r="U15" s="568">
        <v>572</v>
      </c>
      <c r="V15" s="273">
        <v>44679</v>
      </c>
      <c r="W15" s="249">
        <v>35700000</v>
      </c>
      <c r="X15" s="568">
        <v>2996</v>
      </c>
      <c r="Y15" s="273">
        <v>44734</v>
      </c>
      <c r="Z15" s="278">
        <v>35700000</v>
      </c>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row>
    <row r="16" spans="1:131" s="50" customFormat="1" ht="25.5" x14ac:dyDescent="0.25">
      <c r="A16" s="693"/>
      <c r="B16" s="767"/>
      <c r="C16" s="690"/>
      <c r="D16" s="197" t="s">
        <v>1167</v>
      </c>
      <c r="E16" s="137" t="s">
        <v>141</v>
      </c>
      <c r="F16" s="198"/>
      <c r="G16" s="195"/>
      <c r="H16" s="288">
        <v>369444661</v>
      </c>
      <c r="I16" s="287">
        <v>19364295</v>
      </c>
      <c r="J16" s="287">
        <v>82835160</v>
      </c>
      <c r="K16" s="85"/>
      <c r="L16" s="197"/>
      <c r="M16" s="197"/>
      <c r="N16" s="65">
        <f t="shared" si="0"/>
        <v>471644116</v>
      </c>
      <c r="O16" s="769"/>
      <c r="P16" s="247" t="s">
        <v>2189</v>
      </c>
      <c r="Q16" s="478">
        <v>403</v>
      </c>
      <c r="R16" s="248" t="s">
        <v>2188</v>
      </c>
      <c r="S16" s="249">
        <v>458989402</v>
      </c>
      <c r="T16" s="46"/>
      <c r="U16" s="568">
        <v>860</v>
      </c>
      <c r="V16" s="273">
        <v>44764</v>
      </c>
      <c r="W16" s="249">
        <v>458989402</v>
      </c>
      <c r="X16" s="568">
        <v>5628</v>
      </c>
      <c r="Y16" s="273" t="s">
        <v>2800</v>
      </c>
      <c r="Z16" s="274">
        <v>458989402</v>
      </c>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row>
    <row r="17" spans="1:131" s="50" customFormat="1" ht="27" x14ac:dyDescent="0.25">
      <c r="A17" s="694"/>
      <c r="B17" s="768"/>
      <c r="C17" s="691"/>
      <c r="D17" s="197" t="s">
        <v>1168</v>
      </c>
      <c r="E17" s="137" t="s">
        <v>165</v>
      </c>
      <c r="F17" s="198"/>
      <c r="G17" s="195"/>
      <c r="H17" s="197"/>
      <c r="I17" s="287">
        <v>44364862</v>
      </c>
      <c r="J17" s="85"/>
      <c r="K17" s="287">
        <v>95635138</v>
      </c>
      <c r="L17" s="197"/>
      <c r="M17" s="197"/>
      <c r="N17" s="65">
        <f t="shared" si="0"/>
        <v>140000000</v>
      </c>
      <c r="O17" s="769"/>
      <c r="P17" s="247" t="s">
        <v>2352</v>
      </c>
      <c r="Q17" s="542" t="s">
        <v>885</v>
      </c>
      <c r="R17" s="248" t="s">
        <v>2353</v>
      </c>
      <c r="S17" s="543"/>
      <c r="T17" s="46"/>
      <c r="U17" s="200"/>
      <c r="V17" s="79"/>
      <c r="W17" s="200"/>
      <c r="X17" s="200"/>
      <c r="Y17" s="79"/>
      <c r="Z17" s="200"/>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row>
    <row r="18" spans="1:131" s="107" customFormat="1" ht="15.75" thickBot="1" x14ac:dyDescent="0.3">
      <c r="A18" s="92"/>
      <c r="B18" s="92"/>
      <c r="C18" s="92"/>
      <c r="D18" s="92"/>
      <c r="E18" s="104"/>
      <c r="F18" s="101"/>
      <c r="G18" s="101"/>
      <c r="H18" s="92"/>
      <c r="I18" s="93"/>
      <c r="J18" s="93"/>
      <c r="K18" s="93"/>
      <c r="L18" s="92"/>
      <c r="M18" s="92"/>
      <c r="N18" s="102">
        <f>SUM(N8:N17)</f>
        <v>719000000</v>
      </c>
      <c r="O18" s="101"/>
      <c r="P18" s="105"/>
      <c r="Q18" s="86"/>
      <c r="R18" s="95"/>
      <c r="S18" s="103">
        <f>SUM(S8:S17)</f>
        <v>555124376</v>
      </c>
      <c r="T18" s="89"/>
      <c r="U18" s="86"/>
      <c r="V18" s="95"/>
      <c r="W18" s="103">
        <f>SUM(W8:W17)</f>
        <v>555124376</v>
      </c>
      <c r="X18" s="86"/>
      <c r="Y18" s="95"/>
      <c r="Z18" s="103">
        <f>SUM(Z8:Z17)</f>
        <v>555124376</v>
      </c>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row>
    <row r="19" spans="1:131" s="63" customFormat="1" ht="17.25" thickBot="1" x14ac:dyDescent="0.35">
      <c r="A19" s="51"/>
      <c r="B19" s="51"/>
      <c r="C19" s="42"/>
      <c r="D19" s="42"/>
      <c r="E19" s="42"/>
      <c r="F19" s="52"/>
      <c r="G19" s="42"/>
      <c r="H19" s="42"/>
      <c r="I19" s="43"/>
      <c r="J19" s="43"/>
      <c r="K19" s="43"/>
      <c r="L19" s="53" t="s">
        <v>29</v>
      </c>
      <c r="M19" s="54"/>
      <c r="N19" s="55">
        <f>+N18</f>
        <v>719000000</v>
      </c>
      <c r="O19" s="56"/>
      <c r="P19" s="56"/>
      <c r="Q19" s="56"/>
      <c r="R19" s="56"/>
      <c r="S19" s="67">
        <f>+S18</f>
        <v>555124376</v>
      </c>
      <c r="T19" s="57">
        <f>(S19*1)/N19</f>
        <v>0.77207840890125179</v>
      </c>
      <c r="U19" s="58"/>
      <c r="V19" s="59"/>
      <c r="W19" s="60">
        <f>+W18</f>
        <v>555124376</v>
      </c>
      <c r="X19" s="58"/>
      <c r="Y19" s="59"/>
      <c r="Z19" s="61">
        <f>+Z18</f>
        <v>555124376</v>
      </c>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row>
    <row r="20" spans="1:131" ht="15" x14ac:dyDescent="0.25">
      <c r="T20" s="4"/>
    </row>
    <row r="21" spans="1:131" ht="15" x14ac:dyDescent="0.25">
      <c r="S21" s="39"/>
      <c r="T21" s="6"/>
      <c r="U21" s="39"/>
    </row>
    <row r="22" spans="1:131" ht="15" x14ac:dyDescent="0.25">
      <c r="S22" s="39"/>
      <c r="T22" s="6"/>
      <c r="U22" s="39"/>
    </row>
    <row r="23" spans="1:131" ht="15" x14ac:dyDescent="0.25">
      <c r="S23" s="39"/>
      <c r="T23" s="6"/>
      <c r="U23" s="39"/>
    </row>
    <row r="24" spans="1:131" ht="15" x14ac:dyDescent="0.25">
      <c r="S24" s="39"/>
      <c r="T24" s="6"/>
      <c r="U24" s="39"/>
    </row>
    <row r="25" spans="1:131" ht="15" x14ac:dyDescent="0.25">
      <c r="S25" s="39"/>
      <c r="T25" s="6"/>
      <c r="U25" s="39"/>
    </row>
    <row r="26" spans="1:131" ht="15" x14ac:dyDescent="0.25">
      <c r="S26" s="39"/>
      <c r="T26" s="6"/>
      <c r="U26" s="39"/>
    </row>
    <row r="27" spans="1:131" ht="15" x14ac:dyDescent="0.25">
      <c r="S27" s="39"/>
      <c r="T27" s="6"/>
      <c r="U27" s="39"/>
    </row>
    <row r="28" spans="1:131" ht="15" x14ac:dyDescent="0.25">
      <c r="S28" s="39"/>
      <c r="T28" s="6"/>
      <c r="U28" s="39"/>
    </row>
    <row r="29" spans="1:131" ht="15" x14ac:dyDescent="0.25">
      <c r="S29" s="39"/>
      <c r="T29" s="7"/>
      <c r="U29" s="39"/>
    </row>
    <row r="30" spans="1:131" ht="15" x14ac:dyDescent="0.25"/>
    <row r="31" spans="1:131" ht="15" x14ac:dyDescent="0.25"/>
    <row r="32" spans="1:131"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customHeight="1" x14ac:dyDescent="0.25"/>
    <row r="73" ht="15" customHeight="1" x14ac:dyDescent="0.25"/>
    <row r="74" ht="15" hidden="1" customHeight="1" x14ac:dyDescent="0.25"/>
    <row r="75" ht="15" hidden="1"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sheetProtection algorithmName="SHA-512" hashValue="MIhk+a4s0/Sm8nw6cjJf+cn2ft5GCLY1x/uUD+Q7fUNcIk+mTV3DcIOZUuevGZmQiasO7FwB6JYQjnYwYhbLCQ==" saltValue="JbJ4Ib+DPeU3J9wKHvVI7Q==" spinCount="100000" sheet="1" objects="1" scenarios="1" selectLockedCells="1" selectUnlockedCells="1"/>
  <mergeCells count="12">
    <mergeCell ref="A2:A5"/>
    <mergeCell ref="B2:X2"/>
    <mergeCell ref="O8:O17"/>
    <mergeCell ref="B8:B17"/>
    <mergeCell ref="C8:C17"/>
    <mergeCell ref="A8:A17"/>
    <mergeCell ref="Y2:Z2"/>
    <mergeCell ref="B3:X3"/>
    <mergeCell ref="Y3:Z3"/>
    <mergeCell ref="B4:X5"/>
    <mergeCell ref="Y4:Z4"/>
    <mergeCell ref="Y5:Z5"/>
  </mergeCells>
  <conditionalFormatting sqref="T29:T1048576 T19 T7:T17">
    <cfRule type="cellIs" dxfId="909" priority="11" operator="between">
      <formula>0.51</formula>
      <formula>0.69</formula>
    </cfRule>
    <cfRule type="cellIs" dxfId="908" priority="12" operator="between">
      <formula>0.51</formula>
      <formula>0.69</formula>
    </cfRule>
    <cfRule type="cellIs" dxfId="907" priority="13" operator="lessThan">
      <formula>0.5</formula>
    </cfRule>
    <cfRule type="cellIs" dxfId="906" priority="14" operator="greaterThan">
      <formula>0.7</formula>
    </cfRule>
    <cfRule type="cellIs" dxfId="905" priority="15" operator="between">
      <formula>0.51</formula>
      <formula>0.69</formula>
    </cfRule>
    <cfRule type="cellIs" dxfId="904" priority="16" operator="lessThan">
      <formula>50</formula>
    </cfRule>
    <cfRule type="cellIs" dxfId="903" priority="17" operator="greaterThan">
      <formula>0.7</formula>
    </cfRule>
    <cfRule type="cellIs" dxfId="902" priority="18" operator="between">
      <formula>0.51</formula>
      <formula>0.69</formula>
    </cfRule>
    <cfRule type="cellIs" dxfId="901" priority="19" operator="lessThan">
      <formula>0.5</formula>
    </cfRule>
    <cfRule type="cellIs" dxfId="900" priority="20" operator="greaterThan">
      <formula>0.7</formula>
    </cfRule>
  </conditionalFormatting>
  <conditionalFormatting sqref="T18">
    <cfRule type="cellIs" dxfId="899" priority="1" operator="between">
      <formula>0.51</formula>
      <formula>0.69</formula>
    </cfRule>
    <cfRule type="cellIs" dxfId="898" priority="2" operator="between">
      <formula>0.51</formula>
      <formula>0.69</formula>
    </cfRule>
    <cfRule type="cellIs" dxfId="897" priority="3" operator="lessThan">
      <formula>0.5</formula>
    </cfRule>
    <cfRule type="cellIs" dxfId="896" priority="4" operator="greaterThan">
      <formula>0.7</formula>
    </cfRule>
    <cfRule type="cellIs" dxfId="895" priority="5" operator="between">
      <formula>0.51</formula>
      <formula>0.69</formula>
    </cfRule>
    <cfRule type="cellIs" dxfId="894" priority="6" operator="lessThan">
      <formula>50</formula>
    </cfRule>
    <cfRule type="cellIs" dxfId="893" priority="7" operator="greaterThan">
      <formula>0.7</formula>
    </cfRule>
    <cfRule type="cellIs" dxfId="892" priority="8" operator="between">
      <formula>0.51</formula>
      <formula>0.69</formula>
    </cfRule>
    <cfRule type="cellIs" dxfId="891" priority="9" operator="lessThan">
      <formula>0.5</formula>
    </cfRule>
    <cfRule type="cellIs" dxfId="890" priority="10" operator="greaterThan">
      <formula>0.7</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CCFF"/>
  </sheetPr>
  <dimension ref="A1:EF838"/>
  <sheetViews>
    <sheetView showGridLines="0" topLeftCell="B1" zoomScale="80" zoomScaleNormal="80" workbookViewId="0">
      <pane ySplit="7" topLeftCell="A8" activePane="bottomLeft" state="frozen"/>
      <selection pane="bottomLeft" activeCell="X32" sqref="X32"/>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0.7109375" style="40" customWidth="1"/>
    <col min="6" max="6" width="21.140625" style="1" hidden="1" customWidth="1"/>
    <col min="7" max="7" width="19.85546875" style="40" hidden="1" customWidth="1"/>
    <col min="8" max="8" width="19" style="40" hidden="1" customWidth="1"/>
    <col min="9" max="9" width="20.85546875" style="201" hidden="1" customWidth="1"/>
    <col min="10" max="10" width="20.42578125" style="201" hidden="1" customWidth="1"/>
    <col min="11" max="11" width="18.28515625" style="40" hidden="1" customWidth="1"/>
    <col min="12" max="12" width="18.28515625" style="326" hidden="1" customWidth="1"/>
    <col min="13" max="13" width="17.7109375" style="40" hidden="1" customWidth="1"/>
    <col min="14" max="14" width="15" style="40" hidden="1" customWidth="1"/>
    <col min="15" max="15" width="18.28515625" style="40" customWidth="1"/>
    <col min="16" max="16" width="18.85546875" style="40" bestFit="1" customWidth="1"/>
    <col min="17" max="17" width="15.7109375" style="40" customWidth="1"/>
    <col min="18" max="18" width="11.42578125" style="40" customWidth="1"/>
    <col min="19" max="19" width="15.42578125" style="40" customWidth="1"/>
    <col min="20" max="20" width="18.85546875" style="40" customWidth="1"/>
    <col min="21" max="21" width="11.5703125" style="3" bestFit="1" customWidth="1"/>
    <col min="22" max="22" width="11.42578125" style="40" customWidth="1"/>
    <col min="23" max="23" width="16.7109375" style="35" bestFit="1" customWidth="1"/>
    <col min="24" max="24" width="19.42578125" style="40" bestFit="1" customWidth="1"/>
    <col min="25" max="25" width="11.42578125" style="40" customWidth="1"/>
    <col min="26" max="26" width="14.5703125" style="35" customWidth="1"/>
    <col min="27" max="27" width="19" style="40" bestFit="1" customWidth="1"/>
    <col min="28" max="132" width="11.5703125" style="39" hidden="1" customWidth="1"/>
    <col min="133" max="136" width="11.5703125" style="40" hidden="1" customWidth="1"/>
    <col min="137" max="16384" width="11.42578125" style="40" hidden="1"/>
  </cols>
  <sheetData>
    <row r="1" spans="1:132" ht="15" hidden="1" x14ac:dyDescent="0.25">
      <c r="A1" s="24"/>
      <c r="B1" s="25"/>
      <c r="C1" s="25"/>
      <c r="D1" s="26"/>
      <c r="E1" s="26"/>
      <c r="F1" s="27"/>
      <c r="G1" s="28"/>
      <c r="H1" s="28"/>
      <c r="I1" s="28"/>
      <c r="J1" s="28"/>
      <c r="K1" s="28"/>
      <c r="L1" s="28"/>
      <c r="M1" s="28"/>
      <c r="N1" s="29"/>
      <c r="O1" s="24"/>
      <c r="P1" s="24"/>
      <c r="Q1" s="24"/>
      <c r="R1" s="24"/>
      <c r="S1" s="24"/>
      <c r="T1" s="24"/>
      <c r="U1" s="24"/>
      <c r="V1" s="24"/>
      <c r="W1" s="36"/>
      <c r="X1" s="24"/>
      <c r="Y1" s="24"/>
      <c r="Z1" s="36"/>
    </row>
    <row r="2" spans="1:132"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09"/>
      <c r="X2" s="709"/>
      <c r="Y2" s="709"/>
      <c r="Z2" s="730" t="s">
        <v>86</v>
      </c>
      <c r="AA2" s="730"/>
    </row>
    <row r="3" spans="1:132"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1"/>
      <c r="X3" s="731"/>
      <c r="Y3" s="731"/>
      <c r="Z3" s="730" t="s">
        <v>88</v>
      </c>
      <c r="AA3" s="730"/>
    </row>
    <row r="4" spans="1:132"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1"/>
      <c r="X4" s="731"/>
      <c r="Y4" s="731"/>
      <c r="Z4" s="730" t="s">
        <v>90</v>
      </c>
      <c r="AA4" s="730"/>
    </row>
    <row r="5" spans="1:132"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1"/>
      <c r="X5" s="731"/>
      <c r="Y5" s="731"/>
      <c r="Z5" s="730" t="s">
        <v>91</v>
      </c>
      <c r="AA5" s="730"/>
    </row>
    <row r="6" spans="1:132" ht="15" hidden="1" x14ac:dyDescent="0.25">
      <c r="A6" s="24"/>
      <c r="B6" s="24"/>
      <c r="C6" s="24"/>
      <c r="D6" s="24"/>
      <c r="E6" s="24"/>
      <c r="F6" s="24"/>
      <c r="G6" s="24"/>
      <c r="H6" s="24"/>
      <c r="I6" s="24"/>
      <c r="J6" s="24"/>
      <c r="K6" s="24"/>
      <c r="L6" s="24"/>
      <c r="M6" s="24"/>
      <c r="N6" s="24"/>
      <c r="O6" s="24"/>
      <c r="P6" s="24"/>
      <c r="Q6" s="24"/>
      <c r="R6" s="24"/>
      <c r="S6" s="24"/>
      <c r="T6" s="24"/>
      <c r="U6" s="24"/>
      <c r="V6" s="24"/>
      <c r="W6" s="36"/>
      <c r="X6" s="24"/>
      <c r="Y6" s="24"/>
      <c r="Z6" s="36"/>
    </row>
    <row r="7" spans="1:132" s="34" customFormat="1" ht="63.75" x14ac:dyDescent="0.25">
      <c r="A7" s="41" t="s">
        <v>0</v>
      </c>
      <c r="B7" s="41" t="s">
        <v>1</v>
      </c>
      <c r="C7" s="41" t="s">
        <v>2</v>
      </c>
      <c r="D7" s="41" t="s">
        <v>103</v>
      </c>
      <c r="E7" s="41" t="s">
        <v>30</v>
      </c>
      <c r="F7" s="41" t="s">
        <v>96</v>
      </c>
      <c r="G7" s="41" t="s">
        <v>97</v>
      </c>
      <c r="H7" s="41" t="s">
        <v>871</v>
      </c>
      <c r="I7" s="41" t="s">
        <v>1133</v>
      </c>
      <c r="J7" s="41" t="s">
        <v>1134</v>
      </c>
      <c r="K7" s="41" t="s">
        <v>1136</v>
      </c>
      <c r="L7" s="41" t="s">
        <v>1547</v>
      </c>
      <c r="M7" s="41" t="s">
        <v>98</v>
      </c>
      <c r="N7" s="41" t="s">
        <v>99</v>
      </c>
      <c r="O7" s="41" t="s">
        <v>3</v>
      </c>
      <c r="P7" s="41" t="s">
        <v>4</v>
      </c>
      <c r="Q7" s="41" t="s">
        <v>28</v>
      </c>
      <c r="R7" s="41" t="s">
        <v>21</v>
      </c>
      <c r="S7" s="41" t="s">
        <v>65</v>
      </c>
      <c r="T7" s="41" t="s">
        <v>31</v>
      </c>
      <c r="U7" s="32" t="s">
        <v>62</v>
      </c>
      <c r="V7" s="41" t="s">
        <v>22</v>
      </c>
      <c r="W7" s="37" t="s">
        <v>23</v>
      </c>
      <c r="X7" s="41" t="s">
        <v>24</v>
      </c>
      <c r="Y7" s="41" t="s">
        <v>25</v>
      </c>
      <c r="Z7" s="37" t="s">
        <v>26</v>
      </c>
      <c r="AA7" s="41" t="s">
        <v>27</v>
      </c>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row>
    <row r="8" spans="1:132" s="50" customFormat="1" ht="76.5" customHeight="1" x14ac:dyDescent="0.25">
      <c r="A8" s="692" t="s">
        <v>121</v>
      </c>
      <c r="B8" s="689" t="s">
        <v>122</v>
      </c>
      <c r="C8" s="689" t="s">
        <v>73</v>
      </c>
      <c r="D8" s="44" t="s">
        <v>766</v>
      </c>
      <c r="E8" s="8" t="s">
        <v>123</v>
      </c>
      <c r="F8" s="289">
        <f>644135302-169029529</f>
        <v>475105773</v>
      </c>
      <c r="G8" s="274">
        <v>0</v>
      </c>
      <c r="H8" s="274">
        <v>0</v>
      </c>
      <c r="I8" s="290">
        <v>1107404663</v>
      </c>
      <c r="J8" s="232"/>
      <c r="K8" s="45"/>
      <c r="L8" s="45"/>
      <c r="M8" s="44"/>
      <c r="N8" s="274">
        <v>142778229</v>
      </c>
      <c r="O8" s="616">
        <f>+F8+G8+H8+I8+J8+K8+M8-N8</f>
        <v>1439732207</v>
      </c>
      <c r="P8" s="742">
        <f>475105773+1107404663</f>
        <v>1582510436</v>
      </c>
      <c r="Q8" s="78" t="s">
        <v>1976</v>
      </c>
      <c r="R8" s="457">
        <v>447</v>
      </c>
      <c r="S8" s="80" t="s">
        <v>1977</v>
      </c>
      <c r="T8" s="345">
        <v>1439179721</v>
      </c>
      <c r="U8" s="46"/>
      <c r="V8" s="44">
        <v>944</v>
      </c>
      <c r="W8" s="79">
        <v>44775</v>
      </c>
      <c r="X8" s="345">
        <v>1439179721</v>
      </c>
      <c r="Y8" s="44">
        <v>5877</v>
      </c>
      <c r="Z8" s="79" t="s">
        <v>2780</v>
      </c>
      <c r="AA8" s="345">
        <v>1439179721</v>
      </c>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row>
    <row r="9" spans="1:132" s="50" customFormat="1" ht="76.5" customHeight="1" x14ac:dyDescent="0.25">
      <c r="A9" s="694"/>
      <c r="B9" s="691"/>
      <c r="C9" s="691"/>
      <c r="D9" s="303" t="s">
        <v>873</v>
      </c>
      <c r="E9" s="314" t="s">
        <v>166</v>
      </c>
      <c r="F9" s="313"/>
      <c r="G9" s="317"/>
      <c r="H9" s="317"/>
      <c r="I9" s="287"/>
      <c r="J9" s="233"/>
      <c r="K9" s="85"/>
      <c r="L9" s="85"/>
      <c r="M9" s="317">
        <v>142778229</v>
      </c>
      <c r="N9" s="317">
        <v>144829</v>
      </c>
      <c r="O9" s="616">
        <f>+F9+G9+H9+I9+J9+K9+M9-N9</f>
        <v>142633400</v>
      </c>
      <c r="P9" s="744"/>
      <c r="Q9" s="78" t="s">
        <v>1819</v>
      </c>
      <c r="R9" s="457">
        <v>586</v>
      </c>
      <c r="S9" s="80" t="s">
        <v>1820</v>
      </c>
      <c r="T9" s="345">
        <v>142621500</v>
      </c>
      <c r="U9" s="46"/>
      <c r="V9" s="330">
        <v>1155</v>
      </c>
      <c r="W9" s="79">
        <v>44812</v>
      </c>
      <c r="X9" s="345">
        <v>142621500</v>
      </c>
      <c r="Y9" s="330">
        <v>6248</v>
      </c>
      <c r="Z9" s="79" t="s">
        <v>2831</v>
      </c>
      <c r="AA9" s="274">
        <v>142621500</v>
      </c>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row>
    <row r="10" spans="1:132" s="107" customFormat="1" ht="15" x14ac:dyDescent="0.25">
      <c r="A10" s="92"/>
      <c r="B10" s="92"/>
      <c r="C10" s="92"/>
      <c r="D10" s="92"/>
      <c r="E10" s="104"/>
      <c r="F10" s="101"/>
      <c r="G10" s="101"/>
      <c r="H10" s="92"/>
      <c r="I10" s="93"/>
      <c r="J10" s="93"/>
      <c r="K10" s="93"/>
      <c r="L10" s="93"/>
      <c r="M10" s="92"/>
      <c r="N10" s="92"/>
      <c r="O10" s="102">
        <f>SUM(O8:O9)</f>
        <v>1582365607</v>
      </c>
      <c r="P10" s="101"/>
      <c r="Q10" s="105"/>
      <c r="R10" s="86"/>
      <c r="S10" s="95"/>
      <c r="T10" s="103">
        <f>SUM(T8:T9)</f>
        <v>1581801221</v>
      </c>
      <c r="U10" s="89"/>
      <c r="V10" s="86"/>
      <c r="W10" s="95"/>
      <c r="X10" s="103">
        <f>SUM(X8:X9)</f>
        <v>1581801221</v>
      </c>
      <c r="Y10" s="86"/>
      <c r="Z10" s="95"/>
      <c r="AA10" s="103">
        <f>SUM(AA8:AA9)</f>
        <v>1581801221</v>
      </c>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row>
    <row r="11" spans="1:132" s="50" customFormat="1" ht="76.5" customHeight="1" x14ac:dyDescent="0.25">
      <c r="A11" s="136" t="s">
        <v>949</v>
      </c>
      <c r="B11" s="137" t="s">
        <v>872</v>
      </c>
      <c r="C11" s="69" t="s">
        <v>73</v>
      </c>
      <c r="D11" s="133" t="s">
        <v>873</v>
      </c>
      <c r="E11" s="132" t="s">
        <v>166</v>
      </c>
      <c r="F11" s="134">
        <v>0</v>
      </c>
      <c r="G11" s="134">
        <v>0</v>
      </c>
      <c r="H11" s="288">
        <v>177387141</v>
      </c>
      <c r="I11" s="233"/>
      <c r="J11" s="233"/>
      <c r="K11" s="85"/>
      <c r="L11" s="85"/>
      <c r="M11" s="133"/>
      <c r="N11" s="499">
        <v>22704966</v>
      </c>
      <c r="O11" s="616">
        <f>+F11+G11+H11+I11+J11+K11+M11-N11</f>
        <v>154682175</v>
      </c>
      <c r="P11" s="298">
        <v>177387141</v>
      </c>
      <c r="Q11" s="80" t="s">
        <v>1388</v>
      </c>
      <c r="R11" s="457" t="s">
        <v>1389</v>
      </c>
      <c r="S11" s="250" t="s">
        <v>1390</v>
      </c>
      <c r="T11" s="155">
        <v>154676200</v>
      </c>
      <c r="U11" s="46"/>
      <c r="V11" s="264">
        <v>582</v>
      </c>
      <c r="W11" s="79">
        <v>44685</v>
      </c>
      <c r="X11" s="155">
        <v>154676200</v>
      </c>
      <c r="Y11" s="44">
        <v>4905</v>
      </c>
      <c r="Z11" s="79">
        <v>44813</v>
      </c>
      <c r="AA11" s="274">
        <v>154676200</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row>
    <row r="12" spans="1:132" s="107" customFormat="1" ht="15" x14ac:dyDescent="0.25">
      <c r="A12" s="92"/>
      <c r="B12" s="92"/>
      <c r="C12" s="92"/>
      <c r="D12" s="92"/>
      <c r="E12" s="104"/>
      <c r="F12" s="101"/>
      <c r="G12" s="101"/>
      <c r="H12" s="92"/>
      <c r="I12" s="93"/>
      <c r="J12" s="93"/>
      <c r="K12" s="93"/>
      <c r="L12" s="93"/>
      <c r="M12" s="92"/>
      <c r="N12" s="92"/>
      <c r="O12" s="102">
        <f>SUM(O11)</f>
        <v>154682175</v>
      </c>
      <c r="P12" s="101"/>
      <c r="Q12" s="105"/>
      <c r="R12" s="86"/>
      <c r="S12" s="95"/>
      <c r="T12" s="103">
        <f>SUM(T11)</f>
        <v>154676200</v>
      </c>
      <c r="U12" s="89"/>
      <c r="V12" s="86"/>
      <c r="W12" s="95"/>
      <c r="X12" s="103">
        <f>SUM(X11)</f>
        <v>154676200</v>
      </c>
      <c r="Y12" s="86"/>
      <c r="Z12" s="95"/>
      <c r="AA12" s="103">
        <f>SUM(AA11)</f>
        <v>154676200</v>
      </c>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row>
    <row r="13" spans="1:132" s="50" customFormat="1" ht="76.5" customHeight="1" x14ac:dyDescent="0.25">
      <c r="A13" s="136" t="s">
        <v>1090</v>
      </c>
      <c r="B13" s="789" t="s">
        <v>2363</v>
      </c>
      <c r="C13" s="699" t="s">
        <v>1091</v>
      </c>
      <c r="D13" s="200" t="s">
        <v>1170</v>
      </c>
      <c r="E13" s="8" t="s">
        <v>123</v>
      </c>
      <c r="F13" s="179"/>
      <c r="G13" s="179"/>
      <c r="H13" s="179"/>
      <c r="I13" s="287">
        <v>25026020</v>
      </c>
      <c r="J13" s="287">
        <v>144002187</v>
      </c>
      <c r="K13" s="85"/>
      <c r="L13" s="85"/>
      <c r="M13" s="183"/>
      <c r="N13" s="183"/>
      <c r="O13" s="616">
        <f>+F13+G13+H13+I13+J13+K13+M13-N13</f>
        <v>169028207</v>
      </c>
      <c r="P13" s="742">
        <v>234467205</v>
      </c>
      <c r="Q13" s="80" t="s">
        <v>2361</v>
      </c>
      <c r="R13" s="541" t="s">
        <v>885</v>
      </c>
      <c r="S13" s="80" t="s">
        <v>2362</v>
      </c>
      <c r="T13" s="349"/>
      <c r="U13" s="46"/>
      <c r="V13" s="498"/>
      <c r="W13" s="79"/>
      <c r="X13" s="187"/>
      <c r="Y13" s="187"/>
      <c r="Z13" s="79"/>
      <c r="AA13" s="187"/>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row>
    <row r="14" spans="1:132" s="50" customFormat="1" ht="76.5" customHeight="1" x14ac:dyDescent="0.25">
      <c r="A14" s="136"/>
      <c r="B14" s="790"/>
      <c r="C14" s="701"/>
      <c r="D14" s="330" t="s">
        <v>766</v>
      </c>
      <c r="E14" s="8" t="s">
        <v>123</v>
      </c>
      <c r="F14" s="418"/>
      <c r="G14" s="418"/>
      <c r="H14" s="418"/>
      <c r="I14" s="287"/>
      <c r="J14" s="287"/>
      <c r="K14" s="85"/>
      <c r="L14" s="85"/>
      <c r="M14" s="418">
        <v>65438998</v>
      </c>
      <c r="N14" s="410"/>
      <c r="O14" s="616">
        <f>+F14+G14+H14+I14+J14+K14+M14-N14</f>
        <v>65438998</v>
      </c>
      <c r="P14" s="744"/>
      <c r="Q14" s="80" t="s">
        <v>2359</v>
      </c>
      <c r="R14" s="541" t="s">
        <v>885</v>
      </c>
      <c r="S14" s="80" t="s">
        <v>2360</v>
      </c>
      <c r="T14" s="349"/>
      <c r="U14" s="46"/>
      <c r="V14" s="330"/>
      <c r="W14" s="79"/>
      <c r="X14" s="330"/>
      <c r="Y14" s="330"/>
      <c r="Z14" s="79"/>
      <c r="AA14" s="330"/>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row>
    <row r="15" spans="1:132" s="107" customFormat="1" ht="15" x14ac:dyDescent="0.25">
      <c r="A15" s="92"/>
      <c r="B15" s="92"/>
      <c r="C15" s="92"/>
      <c r="D15" s="92"/>
      <c r="E15" s="104"/>
      <c r="F15" s="101"/>
      <c r="G15" s="101"/>
      <c r="H15" s="92"/>
      <c r="I15" s="93"/>
      <c r="J15" s="93"/>
      <c r="K15" s="93"/>
      <c r="L15" s="93"/>
      <c r="M15" s="92"/>
      <c r="N15" s="92"/>
      <c r="O15" s="102">
        <f>SUM(O13:O14)</f>
        <v>234467205</v>
      </c>
      <c r="P15" s="101"/>
      <c r="Q15" s="105"/>
      <c r="R15" s="86"/>
      <c r="S15" s="95"/>
      <c r="T15" s="103">
        <f>SUM(T13:T14)</f>
        <v>0</v>
      </c>
      <c r="U15" s="89"/>
      <c r="V15" s="86"/>
      <c r="W15" s="95"/>
      <c r="X15" s="103">
        <f>SUM(X13)</f>
        <v>0</v>
      </c>
      <c r="Y15" s="86"/>
      <c r="Z15" s="95"/>
      <c r="AA15" s="103">
        <f>SUM(AA13)</f>
        <v>0</v>
      </c>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row>
    <row r="16" spans="1:132" s="50" customFormat="1" ht="52.5" customHeight="1" x14ac:dyDescent="0.25">
      <c r="A16" s="692" t="s">
        <v>1093</v>
      </c>
      <c r="B16" s="689" t="s">
        <v>1092</v>
      </c>
      <c r="C16" s="689" t="s">
        <v>73</v>
      </c>
      <c r="D16" s="187" t="s">
        <v>766</v>
      </c>
      <c r="E16" s="8" t="s">
        <v>123</v>
      </c>
      <c r="F16" s="288">
        <v>169029529</v>
      </c>
      <c r="G16" s="179"/>
      <c r="H16" s="179"/>
      <c r="I16" s="233"/>
      <c r="J16" s="233"/>
      <c r="K16" s="85"/>
      <c r="L16" s="85"/>
      <c r="M16" s="183"/>
      <c r="N16" s="183"/>
      <c r="O16" s="616">
        <f>+F16+G16+H16+I16+J16+K16+M16-N16</f>
        <v>169029529</v>
      </c>
      <c r="P16" s="742">
        <v>184023135</v>
      </c>
      <c r="Q16" s="80" t="s">
        <v>1510</v>
      </c>
      <c r="R16" s="457" t="s">
        <v>1511</v>
      </c>
      <c r="S16" s="250" t="s">
        <v>1512</v>
      </c>
      <c r="T16" s="155">
        <v>169029418.74000001</v>
      </c>
      <c r="U16" s="46"/>
      <c r="V16" s="187">
        <v>525</v>
      </c>
      <c r="W16" s="79">
        <v>44673</v>
      </c>
      <c r="X16" s="274">
        <v>169029418.74000001</v>
      </c>
      <c r="Y16" s="187">
        <v>2337</v>
      </c>
      <c r="Z16" s="79">
        <v>44677</v>
      </c>
      <c r="AA16" s="278">
        <v>169029418.74000001</v>
      </c>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row>
    <row r="17" spans="1:132" s="50" customFormat="1" ht="67.5" x14ac:dyDescent="0.25">
      <c r="A17" s="694"/>
      <c r="B17" s="691"/>
      <c r="C17" s="691"/>
      <c r="D17" s="303" t="s">
        <v>1171</v>
      </c>
      <c r="E17" s="314" t="s">
        <v>1169</v>
      </c>
      <c r="F17" s="313"/>
      <c r="G17" s="317"/>
      <c r="H17" s="317"/>
      <c r="I17" s="233">
        <v>14993606</v>
      </c>
      <c r="J17" s="233"/>
      <c r="K17" s="85"/>
      <c r="L17" s="85"/>
      <c r="M17" s="303"/>
      <c r="N17" s="303"/>
      <c r="O17" s="616">
        <f>+F17+G17+H17+I17+J17+K17+M17-N17</f>
        <v>14993606</v>
      </c>
      <c r="P17" s="744"/>
      <c r="Q17" s="78" t="s">
        <v>1841</v>
      </c>
      <c r="R17" s="457">
        <v>646</v>
      </c>
      <c r="S17" s="329" t="s">
        <v>1842</v>
      </c>
      <c r="T17" s="155">
        <v>14993606</v>
      </c>
      <c r="U17" s="46"/>
      <c r="V17" s="330">
        <v>1191</v>
      </c>
      <c r="W17" s="79">
        <v>44826</v>
      </c>
      <c r="X17" s="274">
        <v>14993606</v>
      </c>
      <c r="Y17" s="330">
        <v>5179</v>
      </c>
      <c r="Z17" s="79" t="s">
        <v>2858</v>
      </c>
      <c r="AA17" s="274">
        <v>14993606</v>
      </c>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row>
    <row r="18" spans="1:132" s="107" customFormat="1" ht="15" x14ac:dyDescent="0.25">
      <c r="A18" s="92"/>
      <c r="B18" s="92"/>
      <c r="C18" s="92"/>
      <c r="D18" s="92"/>
      <c r="E18" s="104"/>
      <c r="F18" s="101"/>
      <c r="G18" s="101"/>
      <c r="H18" s="92"/>
      <c r="I18" s="93"/>
      <c r="J18" s="93"/>
      <c r="K18" s="93"/>
      <c r="L18" s="93"/>
      <c r="M18" s="92"/>
      <c r="N18" s="92"/>
      <c r="O18" s="102">
        <f>SUM(O16:O17)</f>
        <v>184023135</v>
      </c>
      <c r="P18" s="101"/>
      <c r="Q18" s="105"/>
      <c r="R18" s="86"/>
      <c r="S18" s="95"/>
      <c r="T18" s="103">
        <f>SUM(T16:T17)</f>
        <v>184023024.74000001</v>
      </c>
      <c r="U18" s="89"/>
      <c r="V18" s="86"/>
      <c r="W18" s="95"/>
      <c r="X18" s="103">
        <f>X16+X17</f>
        <v>184023024.74000001</v>
      </c>
      <c r="Y18" s="86"/>
      <c r="Z18" s="95"/>
      <c r="AA18" s="103">
        <f>SUM(AA16:AA17)</f>
        <v>184023024.74000001</v>
      </c>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row>
    <row r="19" spans="1:132" s="50" customFormat="1" ht="76.5" customHeight="1" x14ac:dyDescent="0.25">
      <c r="A19" s="692" t="s">
        <v>1094</v>
      </c>
      <c r="B19" s="702" t="s">
        <v>1095</v>
      </c>
      <c r="C19" s="689" t="s">
        <v>73</v>
      </c>
      <c r="D19" s="183" t="s">
        <v>1173</v>
      </c>
      <c r="E19" s="186" t="s">
        <v>116</v>
      </c>
      <c r="F19" s="179"/>
      <c r="G19" s="179"/>
      <c r="H19" s="179"/>
      <c r="I19" s="233"/>
      <c r="J19" s="287">
        <v>30000000</v>
      </c>
      <c r="K19" s="85"/>
      <c r="L19" s="85"/>
      <c r="M19" s="183"/>
      <c r="N19" s="495">
        <v>488000</v>
      </c>
      <c r="O19" s="612">
        <f t="shared" ref="O19:O20" si="0">+F19+G19+H19+I19+J19+K19+M19-N19</f>
        <v>29512000</v>
      </c>
      <c r="P19" s="742">
        <v>999637002</v>
      </c>
      <c r="Q19" s="78" t="s">
        <v>1796</v>
      </c>
      <c r="R19" s="457">
        <v>549</v>
      </c>
      <c r="S19" s="329" t="s">
        <v>1802</v>
      </c>
      <c r="T19" s="289">
        <v>29512000</v>
      </c>
      <c r="U19" s="46"/>
      <c r="V19" s="187"/>
      <c r="W19" s="79"/>
      <c r="X19" s="274"/>
      <c r="Y19" s="187"/>
      <c r="Z19" s="79"/>
      <c r="AA19" s="187"/>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row>
    <row r="20" spans="1:132" s="50" customFormat="1" ht="76.5" customHeight="1" x14ac:dyDescent="0.25">
      <c r="A20" s="694"/>
      <c r="B20" s="704"/>
      <c r="C20" s="691"/>
      <c r="D20" s="197" t="s">
        <v>1172</v>
      </c>
      <c r="E20" s="192" t="s">
        <v>244</v>
      </c>
      <c r="F20" s="198"/>
      <c r="G20" s="198"/>
      <c r="H20" s="198"/>
      <c r="I20" s="233"/>
      <c r="J20" s="287">
        <v>969637002</v>
      </c>
      <c r="K20" s="85"/>
      <c r="L20" s="85"/>
      <c r="M20" s="197"/>
      <c r="N20" s="495">
        <v>23003</v>
      </c>
      <c r="O20" s="612">
        <f t="shared" si="0"/>
        <v>969613999</v>
      </c>
      <c r="P20" s="744"/>
      <c r="Q20" s="80" t="s">
        <v>1796</v>
      </c>
      <c r="R20" s="457">
        <v>548</v>
      </c>
      <c r="S20" s="80" t="s">
        <v>1797</v>
      </c>
      <c r="T20" s="345">
        <v>968415982</v>
      </c>
      <c r="U20" s="46"/>
      <c r="V20" s="200">
        <v>1159</v>
      </c>
      <c r="W20" s="79">
        <v>44813</v>
      </c>
      <c r="X20" s="345">
        <v>968415982</v>
      </c>
      <c r="Y20" s="200">
        <v>5873</v>
      </c>
      <c r="Z20" s="79" t="s">
        <v>2805</v>
      </c>
      <c r="AA20" s="345">
        <v>968415982</v>
      </c>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row>
    <row r="21" spans="1:132" s="107" customFormat="1" ht="15" x14ac:dyDescent="0.25">
      <c r="A21" s="92"/>
      <c r="B21" s="92"/>
      <c r="C21" s="92"/>
      <c r="D21" s="92"/>
      <c r="E21" s="104"/>
      <c r="F21" s="101"/>
      <c r="G21" s="101"/>
      <c r="H21" s="92"/>
      <c r="I21" s="93"/>
      <c r="J21" s="93"/>
      <c r="K21" s="93"/>
      <c r="L21" s="93"/>
      <c r="M21" s="92"/>
      <c r="N21" s="92"/>
      <c r="O21" s="102">
        <f>SUM(O19:O20)</f>
        <v>999125999</v>
      </c>
      <c r="P21" s="101"/>
      <c r="Q21" s="105"/>
      <c r="R21" s="86"/>
      <c r="S21" s="95"/>
      <c r="T21" s="103">
        <f>SUM(T19:T20)</f>
        <v>997927982</v>
      </c>
      <c r="U21" s="89"/>
      <c r="V21" s="86"/>
      <c r="W21" s="95"/>
      <c r="X21" s="103">
        <f>SUM(X19:X20)</f>
        <v>968415982</v>
      </c>
      <c r="Y21" s="86"/>
      <c r="Z21" s="95"/>
      <c r="AA21" s="103">
        <f>SUM(AA19:AA20)</f>
        <v>968415982</v>
      </c>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row>
    <row r="22" spans="1:132" s="50" customFormat="1" ht="76.5" customHeight="1" x14ac:dyDescent="0.25">
      <c r="A22" s="692" t="s">
        <v>1096</v>
      </c>
      <c r="B22" s="689" t="s">
        <v>1097</v>
      </c>
      <c r="C22" s="689" t="s">
        <v>73</v>
      </c>
      <c r="D22" s="692" t="s">
        <v>766</v>
      </c>
      <c r="E22" s="705" t="s">
        <v>123</v>
      </c>
      <c r="F22" s="728"/>
      <c r="G22" s="728"/>
      <c r="H22" s="728"/>
      <c r="I22" s="710">
        <v>768576314</v>
      </c>
      <c r="J22" s="728"/>
      <c r="K22" s="710">
        <v>396423686</v>
      </c>
      <c r="L22" s="710"/>
      <c r="M22" s="692"/>
      <c r="N22" s="692"/>
      <c r="O22" s="739">
        <f>+F22+G22+H22+I22+J22+K22+M22-N22</f>
        <v>1165000000</v>
      </c>
      <c r="P22" s="742">
        <v>1165000000</v>
      </c>
      <c r="Q22" s="80" t="s">
        <v>1972</v>
      </c>
      <c r="R22" s="457" t="s">
        <v>1974</v>
      </c>
      <c r="S22" s="80" t="s">
        <v>1970</v>
      </c>
      <c r="T22" s="345">
        <v>383109139</v>
      </c>
      <c r="U22" s="46"/>
      <c r="V22" s="187">
        <v>943</v>
      </c>
      <c r="W22" s="79">
        <v>44775</v>
      </c>
      <c r="X22" s="345">
        <v>383109139</v>
      </c>
      <c r="Y22" s="187">
        <v>6132</v>
      </c>
      <c r="Z22" s="79" t="s">
        <v>2834</v>
      </c>
      <c r="AA22" s="345">
        <v>383109139</v>
      </c>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row>
    <row r="23" spans="1:132" s="50" customFormat="1" ht="76.5" customHeight="1" x14ac:dyDescent="0.25">
      <c r="A23" s="694"/>
      <c r="B23" s="691"/>
      <c r="C23" s="691"/>
      <c r="D23" s="694"/>
      <c r="E23" s="707"/>
      <c r="F23" s="729"/>
      <c r="G23" s="729"/>
      <c r="H23" s="729"/>
      <c r="I23" s="712"/>
      <c r="J23" s="729"/>
      <c r="K23" s="712"/>
      <c r="L23" s="712"/>
      <c r="M23" s="694"/>
      <c r="N23" s="694"/>
      <c r="O23" s="741"/>
      <c r="P23" s="744"/>
      <c r="Q23" s="80" t="s">
        <v>1973</v>
      </c>
      <c r="R23" s="457" t="s">
        <v>1975</v>
      </c>
      <c r="S23" s="80" t="s">
        <v>1971</v>
      </c>
      <c r="T23" s="345">
        <v>761703049</v>
      </c>
      <c r="U23" s="46"/>
      <c r="V23" s="330">
        <v>967</v>
      </c>
      <c r="W23" s="79">
        <v>44778</v>
      </c>
      <c r="X23" s="345">
        <v>761703049</v>
      </c>
      <c r="Y23" s="330">
        <v>6354</v>
      </c>
      <c r="Z23" s="79" t="s">
        <v>2816</v>
      </c>
      <c r="AA23" s="345">
        <v>761703049</v>
      </c>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row>
    <row r="24" spans="1:132" s="107" customFormat="1" ht="15" x14ac:dyDescent="0.25">
      <c r="A24" s="92"/>
      <c r="B24" s="92"/>
      <c r="C24" s="92"/>
      <c r="D24" s="92"/>
      <c r="E24" s="104"/>
      <c r="F24" s="101"/>
      <c r="G24" s="101"/>
      <c r="H24" s="92"/>
      <c r="I24" s="93"/>
      <c r="J24" s="93"/>
      <c r="K24" s="93"/>
      <c r="L24" s="93"/>
      <c r="M24" s="92"/>
      <c r="N24" s="92"/>
      <c r="O24" s="102">
        <f>SUM(O22)</f>
        <v>1165000000</v>
      </c>
      <c r="P24" s="101"/>
      <c r="Q24" s="105"/>
      <c r="R24" s="86"/>
      <c r="S24" s="95"/>
      <c r="T24" s="103">
        <f>SUM(T22:T23)</f>
        <v>1144812188</v>
      </c>
      <c r="U24" s="89"/>
      <c r="V24" s="86"/>
      <c r="W24" s="95"/>
      <c r="X24" s="103">
        <f>+X22+X23</f>
        <v>1144812188</v>
      </c>
      <c r="Y24" s="86"/>
      <c r="Z24" s="95"/>
      <c r="AA24" s="103">
        <f>+AA22+AA23</f>
        <v>1144812188</v>
      </c>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row>
    <row r="25" spans="1:132" s="50" customFormat="1" ht="39.75" customHeight="1" x14ac:dyDescent="0.25">
      <c r="A25" s="692" t="s">
        <v>1098</v>
      </c>
      <c r="B25" s="689" t="s">
        <v>1099</v>
      </c>
      <c r="C25" s="689" t="s">
        <v>73</v>
      </c>
      <c r="D25" s="692" t="s">
        <v>1171</v>
      </c>
      <c r="E25" s="705" t="s">
        <v>1169</v>
      </c>
      <c r="F25" s="179"/>
      <c r="G25" s="179"/>
      <c r="H25" s="179"/>
      <c r="I25" s="287">
        <f>451143199-14993606-256860310</f>
        <v>179289283</v>
      </c>
      <c r="J25" s="233"/>
      <c r="K25" s="287">
        <v>145387141</v>
      </c>
      <c r="L25" s="287"/>
      <c r="M25" s="728">
        <f>272000000+573010335</f>
        <v>845010335</v>
      </c>
      <c r="N25" s="728">
        <v>596676424</v>
      </c>
      <c r="O25" s="739">
        <f>+F25+G25+H25+I25+J25+K25+M25-N25</f>
        <v>573010335</v>
      </c>
      <c r="P25" s="742">
        <v>628676424</v>
      </c>
      <c r="Q25" s="80" t="s">
        <v>2354</v>
      </c>
      <c r="R25" s="459" t="s">
        <v>2355</v>
      </c>
      <c r="S25" s="80" t="s">
        <v>2356</v>
      </c>
      <c r="T25" s="274">
        <v>452057200</v>
      </c>
      <c r="U25" s="46"/>
      <c r="V25" s="521">
        <v>1480</v>
      </c>
      <c r="W25" s="273" t="s">
        <v>2791</v>
      </c>
      <c r="X25" s="274">
        <v>452057200</v>
      </c>
      <c r="Y25" s="568">
        <v>6345</v>
      </c>
      <c r="Z25" s="273" t="s">
        <v>2816</v>
      </c>
      <c r="AA25" s="274">
        <v>452057200</v>
      </c>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row>
    <row r="26" spans="1:132" s="50" customFormat="1" ht="42.75" customHeight="1" x14ac:dyDescent="0.25">
      <c r="A26" s="693"/>
      <c r="B26" s="690"/>
      <c r="C26" s="690"/>
      <c r="D26" s="694"/>
      <c r="E26" s="707"/>
      <c r="F26" s="418"/>
      <c r="G26" s="418"/>
      <c r="H26" s="418"/>
      <c r="I26" s="287"/>
      <c r="J26" s="233"/>
      <c r="K26" s="287"/>
      <c r="L26" s="287"/>
      <c r="M26" s="729"/>
      <c r="N26" s="729"/>
      <c r="O26" s="741"/>
      <c r="P26" s="743"/>
      <c r="Q26" s="80" t="s">
        <v>2357</v>
      </c>
      <c r="R26" s="541" t="s">
        <v>885</v>
      </c>
      <c r="S26" s="80" t="s">
        <v>2358</v>
      </c>
      <c r="T26" s="349"/>
      <c r="U26" s="46"/>
      <c r="V26" s="330"/>
      <c r="W26" s="79"/>
      <c r="X26" s="330"/>
      <c r="Y26" s="330"/>
      <c r="Z26" s="79"/>
      <c r="AA26" s="330"/>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row>
    <row r="27" spans="1:132" s="50" customFormat="1" ht="40.5" x14ac:dyDescent="0.25">
      <c r="A27" s="694"/>
      <c r="B27" s="691"/>
      <c r="C27" s="691"/>
      <c r="D27" s="197" t="s">
        <v>873</v>
      </c>
      <c r="E27" s="192" t="s">
        <v>166</v>
      </c>
      <c r="F27" s="198"/>
      <c r="G27" s="198"/>
      <c r="H27" s="198"/>
      <c r="I27" s="233"/>
      <c r="J27" s="233"/>
      <c r="K27" s="287">
        <v>32000000</v>
      </c>
      <c r="L27" s="287"/>
      <c r="M27" s="197"/>
      <c r="N27" s="495">
        <v>32000000</v>
      </c>
      <c r="O27" s="199">
        <f t="shared" ref="O27" si="1">+F27+G27+H27+I27+J27+K27+M27-N27</f>
        <v>0</v>
      </c>
      <c r="P27" s="744"/>
      <c r="Q27" s="200"/>
      <c r="R27" s="200"/>
      <c r="S27" s="200"/>
      <c r="T27" s="200"/>
      <c r="U27" s="46"/>
      <c r="V27" s="200"/>
      <c r="W27" s="79"/>
      <c r="X27" s="200"/>
      <c r="Y27" s="200"/>
      <c r="Z27" s="79"/>
      <c r="AA27" s="200"/>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row>
    <row r="28" spans="1:132" s="107" customFormat="1" ht="15" customHeight="1" x14ac:dyDescent="0.25">
      <c r="A28" s="92"/>
      <c r="B28" s="92"/>
      <c r="C28" s="92"/>
      <c r="D28" s="92"/>
      <c r="E28" s="104"/>
      <c r="F28" s="101"/>
      <c r="G28" s="101"/>
      <c r="H28" s="92"/>
      <c r="I28" s="93"/>
      <c r="J28" s="93"/>
      <c r="K28" s="93"/>
      <c r="L28" s="93"/>
      <c r="M28" s="92"/>
      <c r="N28" s="92"/>
      <c r="O28" s="102">
        <f>SUM(O25:O27)</f>
        <v>573010335</v>
      </c>
      <c r="P28" s="101"/>
      <c r="Q28" s="105"/>
      <c r="R28" s="86"/>
      <c r="S28" s="95"/>
      <c r="T28" s="103">
        <f>SUM(T25:T27)</f>
        <v>452057200</v>
      </c>
      <c r="U28" s="89"/>
      <c r="V28" s="86"/>
      <c r="W28" s="95"/>
      <c r="X28" s="103">
        <f>SUM(X25:X27)</f>
        <v>452057200</v>
      </c>
      <c r="Y28" s="86"/>
      <c r="Z28" s="95"/>
      <c r="AA28" s="103">
        <f>SUM(AA25:AA27)</f>
        <v>452057200</v>
      </c>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row>
    <row r="29" spans="1:132" s="143" customFormat="1" ht="67.5" x14ac:dyDescent="0.25">
      <c r="A29" s="755"/>
      <c r="B29" s="689" t="s">
        <v>1838</v>
      </c>
      <c r="C29" s="732" t="s">
        <v>73</v>
      </c>
      <c r="D29" s="303" t="s">
        <v>1171</v>
      </c>
      <c r="E29" s="314" t="s">
        <v>1169</v>
      </c>
      <c r="F29" s="479"/>
      <c r="G29" s="305"/>
      <c r="H29" s="325"/>
      <c r="I29" s="305">
        <v>256860310</v>
      </c>
      <c r="J29" s="140"/>
      <c r="K29" s="140"/>
      <c r="L29" s="140"/>
      <c r="M29" s="274"/>
      <c r="N29" s="325"/>
      <c r="O29" s="612">
        <f>+F29+G29+H29+I29+J29+K29+M29-N29</f>
        <v>256860310</v>
      </c>
      <c r="P29" s="742">
        <v>3256860310</v>
      </c>
      <c r="Q29" s="252" t="s">
        <v>1839</v>
      </c>
      <c r="R29" s="457">
        <v>489</v>
      </c>
      <c r="S29" s="355" t="s">
        <v>1840</v>
      </c>
      <c r="T29" s="528">
        <v>256860310</v>
      </c>
      <c r="U29" s="141"/>
      <c r="V29" s="148"/>
      <c r="W29" s="150"/>
      <c r="X29" s="451"/>
      <c r="Y29" s="148"/>
      <c r="Z29" s="150"/>
      <c r="AA29" s="451"/>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row>
    <row r="30" spans="1:132" s="143" customFormat="1" ht="25.5" x14ac:dyDescent="0.25">
      <c r="A30" s="757"/>
      <c r="B30" s="691"/>
      <c r="C30" s="734"/>
      <c r="D30" s="330" t="s">
        <v>766</v>
      </c>
      <c r="E30" s="8" t="s">
        <v>123</v>
      </c>
      <c r="F30" s="479"/>
      <c r="G30" s="429"/>
      <c r="H30" s="435"/>
      <c r="I30" s="424"/>
      <c r="J30" s="140"/>
      <c r="K30" s="140"/>
      <c r="L30" s="140"/>
      <c r="M30" s="497">
        <f>3000000000-65438998-2305423</f>
        <v>2932255579</v>
      </c>
      <c r="N30" s="147">
        <v>573010335</v>
      </c>
      <c r="O30" s="612">
        <f>+F30+G30+H30+I30+J30+K30+M30-N30</f>
        <v>2359245244</v>
      </c>
      <c r="P30" s="744"/>
      <c r="Q30" s="252"/>
      <c r="R30" s="148"/>
      <c r="S30" s="355"/>
      <c r="T30" s="349"/>
      <c r="U30" s="141"/>
      <c r="V30" s="148"/>
      <c r="W30" s="150"/>
      <c r="X30" s="451"/>
      <c r="Y30" s="148"/>
      <c r="Z30" s="150"/>
      <c r="AA30" s="451"/>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row>
    <row r="31" spans="1:132" s="107" customFormat="1" ht="15" customHeight="1" x14ac:dyDescent="0.25">
      <c r="A31" s="92"/>
      <c r="B31" s="92"/>
      <c r="C31" s="92"/>
      <c r="D31" s="92"/>
      <c r="E31" s="104"/>
      <c r="F31" s="101"/>
      <c r="G31" s="101"/>
      <c r="H31" s="92"/>
      <c r="I31" s="93"/>
      <c r="J31" s="93"/>
      <c r="K31" s="93"/>
      <c r="L31" s="93"/>
      <c r="M31" s="92"/>
      <c r="N31" s="92"/>
      <c r="O31" s="102">
        <f>+O29+O30</f>
        <v>2616105554</v>
      </c>
      <c r="P31" s="101"/>
      <c r="Q31" s="105"/>
      <c r="R31" s="86"/>
      <c r="S31" s="95"/>
      <c r="T31" s="103">
        <f>+T29</f>
        <v>256860310</v>
      </c>
      <c r="U31" s="89"/>
      <c r="V31" s="86"/>
      <c r="W31" s="95"/>
      <c r="X31" s="103">
        <f>+X29</f>
        <v>0</v>
      </c>
      <c r="Y31" s="86"/>
      <c r="Z31" s="95"/>
      <c r="AA31" s="103">
        <f>+AA29</f>
        <v>0</v>
      </c>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row>
    <row r="32" spans="1:132" s="112" customFormat="1" ht="40.5" x14ac:dyDescent="0.25">
      <c r="A32" s="303"/>
      <c r="B32" s="523" t="s">
        <v>1548</v>
      </c>
      <c r="C32" s="306" t="s">
        <v>1549</v>
      </c>
      <c r="D32" s="330" t="s">
        <v>766</v>
      </c>
      <c r="E32" s="8" t="s">
        <v>123</v>
      </c>
      <c r="F32" s="320"/>
      <c r="G32" s="320"/>
      <c r="H32" s="303"/>
      <c r="I32" s="85"/>
      <c r="J32" s="85"/>
      <c r="K32" s="85"/>
      <c r="L32" s="274">
        <v>129408334</v>
      </c>
      <c r="M32" s="274"/>
      <c r="N32" s="330"/>
      <c r="O32" s="616">
        <f>+F32+G32+H32+I32+J32+K32+L32+M32-N32</f>
        <v>129408334</v>
      </c>
      <c r="P32" s="216">
        <v>129408334</v>
      </c>
      <c r="Q32" s="78" t="s">
        <v>2763</v>
      </c>
      <c r="R32" s="489" t="s">
        <v>2764</v>
      </c>
      <c r="S32" s="81" t="s">
        <v>2765</v>
      </c>
      <c r="T32" s="432">
        <v>129063716</v>
      </c>
      <c r="U32" s="46"/>
      <c r="V32" s="330">
        <v>1474</v>
      </c>
      <c r="W32" s="79" t="s">
        <v>2780</v>
      </c>
      <c r="X32" s="432">
        <v>129063716</v>
      </c>
      <c r="Y32" s="330">
        <v>6295</v>
      </c>
      <c r="Z32" s="79" t="s">
        <v>2832</v>
      </c>
      <c r="AA32" s="432">
        <v>129063716</v>
      </c>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row>
    <row r="33" spans="1:132" s="107" customFormat="1" ht="15.75" thickBot="1" x14ac:dyDescent="0.3">
      <c r="A33" s="92"/>
      <c r="B33" s="92"/>
      <c r="C33" s="92"/>
      <c r="D33" s="92"/>
      <c r="E33" s="104"/>
      <c r="F33" s="101"/>
      <c r="G33" s="101"/>
      <c r="H33" s="92"/>
      <c r="I33" s="93"/>
      <c r="J33" s="93"/>
      <c r="K33" s="93"/>
      <c r="L33" s="86"/>
      <c r="M33" s="86"/>
      <c r="N33" s="86"/>
      <c r="O33" s="88">
        <f>+O32</f>
        <v>129408334</v>
      </c>
      <c r="P33" s="103"/>
      <c r="Q33" s="105"/>
      <c r="R33" s="86"/>
      <c r="S33" s="95"/>
      <c r="T33" s="103">
        <f>+T32</f>
        <v>129063716</v>
      </c>
      <c r="U33" s="89"/>
      <c r="V33" s="86"/>
      <c r="W33" s="95"/>
      <c r="X33" s="103">
        <f>+X32</f>
        <v>129063716</v>
      </c>
      <c r="Y33" s="86"/>
      <c r="Z33" s="95"/>
      <c r="AA33" s="103">
        <f>+AA32</f>
        <v>129063716</v>
      </c>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row>
    <row r="34" spans="1:132" s="63" customFormat="1" ht="17.25" thickBot="1" x14ac:dyDescent="0.35">
      <c r="A34" s="51"/>
      <c r="B34" s="51"/>
      <c r="C34" s="42"/>
      <c r="D34" s="42"/>
      <c r="E34" s="42"/>
      <c r="F34" s="52"/>
      <c r="G34" s="42"/>
      <c r="H34" s="42"/>
      <c r="I34" s="43"/>
      <c r="J34" s="43"/>
      <c r="K34" s="42"/>
      <c r="L34" s="42"/>
      <c r="M34" s="54" t="s">
        <v>29</v>
      </c>
      <c r="N34" s="54"/>
      <c r="O34" s="55">
        <f>+O28+O24+O21+O18+O15+O12+O10+O31+O33</f>
        <v>7638188344</v>
      </c>
      <c r="P34" s="56"/>
      <c r="Q34" s="56"/>
      <c r="R34" s="56"/>
      <c r="S34" s="56"/>
      <c r="T34" s="130">
        <f>+T28+T24+T21+T18+T15+T12+T10+T31+T33</f>
        <v>4901221841.7399998</v>
      </c>
      <c r="U34" s="57">
        <f>(T34*1)/O34</f>
        <v>0.64167334202881232</v>
      </c>
      <c r="V34" s="452"/>
      <c r="W34" s="113"/>
      <c r="X34" s="114">
        <f>+X28+X24+X21+X18+X15+X12+X10+X31+X33</f>
        <v>4614849531.7399998</v>
      </c>
      <c r="Y34" s="452"/>
      <c r="Z34" s="113"/>
      <c r="AA34" s="115">
        <f>+AA28+AA24+AA21+AA18+AA15+AA12+AA10+AA31+AA33</f>
        <v>4614849531.7399998</v>
      </c>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row>
    <row r="35" spans="1:132" ht="15" x14ac:dyDescent="0.25">
      <c r="O35" s="251"/>
      <c r="U35" s="4"/>
    </row>
    <row r="36" spans="1:132" ht="15" x14ac:dyDescent="0.25">
      <c r="T36" s="39"/>
      <c r="U36" s="6"/>
      <c r="V36" s="39"/>
    </row>
    <row r="37" spans="1:132" ht="15" x14ac:dyDescent="0.25">
      <c r="O37" s="285"/>
      <c r="T37" s="39"/>
      <c r="U37" s="6"/>
      <c r="V37" s="39"/>
    </row>
    <row r="38" spans="1:132" ht="15" x14ac:dyDescent="0.25">
      <c r="T38" s="39"/>
      <c r="U38" s="6"/>
      <c r="V38" s="39"/>
    </row>
    <row r="39" spans="1:132" ht="15" x14ac:dyDescent="0.25">
      <c r="T39" s="39"/>
      <c r="U39" s="6"/>
      <c r="V39" s="39"/>
    </row>
    <row r="40" spans="1:132" ht="15" x14ac:dyDescent="0.25">
      <c r="T40" s="39"/>
      <c r="U40" s="6"/>
      <c r="V40" s="39"/>
    </row>
    <row r="41" spans="1:132" ht="15" x14ac:dyDescent="0.25">
      <c r="T41" s="39"/>
      <c r="U41" s="6"/>
      <c r="V41" s="39"/>
    </row>
    <row r="42" spans="1:132" ht="15" x14ac:dyDescent="0.25">
      <c r="T42" s="39"/>
      <c r="U42" s="6"/>
      <c r="V42" s="39"/>
    </row>
    <row r="43" spans="1:132" ht="15" x14ac:dyDescent="0.25">
      <c r="T43" s="39"/>
      <c r="U43" s="6"/>
      <c r="V43" s="39"/>
    </row>
    <row r="44" spans="1:132" ht="15" x14ac:dyDescent="0.25">
      <c r="T44" s="39"/>
      <c r="U44" s="7"/>
      <c r="V44" s="39"/>
    </row>
    <row r="45" spans="1:132" ht="15" x14ac:dyDescent="0.25"/>
    <row r="46" spans="1:132" ht="15" x14ac:dyDescent="0.25"/>
    <row r="47" spans="1:132" ht="15" x14ac:dyDescent="0.25"/>
    <row r="48" spans="1:132"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customHeight="1" x14ac:dyDescent="0.25"/>
    <row r="88" ht="15"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sheetData>
  <sheetProtection algorithmName="SHA-512" hashValue="Ambls+KyZByXy3c5P6fQeyFeFJYRkFJgNHcvR+4SNfgIbOFFFFuEIupPRHSO8LOfKozaKw56aA5DmU1LGSJFvA==" saltValue="GVYIkH3lnZSj0SntKN+UMA==" spinCount="100000" sheet="1" objects="1" scenarios="1" selectLockedCells="1" selectUnlockedCells="1"/>
  <mergeCells count="52">
    <mergeCell ref="P8:P9"/>
    <mergeCell ref="B8:B9"/>
    <mergeCell ref="C8:C9"/>
    <mergeCell ref="A8:A9"/>
    <mergeCell ref="A2:A5"/>
    <mergeCell ref="B2:Y2"/>
    <mergeCell ref="Z2:AA2"/>
    <mergeCell ref="B3:Y3"/>
    <mergeCell ref="Z3:AA3"/>
    <mergeCell ref="B4:Y5"/>
    <mergeCell ref="Z4:AA4"/>
    <mergeCell ref="Z5:AA5"/>
    <mergeCell ref="A22:A23"/>
    <mergeCell ref="B13:B14"/>
    <mergeCell ref="C13:C14"/>
    <mergeCell ref="B16:B17"/>
    <mergeCell ref="A16:A17"/>
    <mergeCell ref="C16:C17"/>
    <mergeCell ref="B22:B23"/>
    <mergeCell ref="C22:C23"/>
    <mergeCell ref="A19:A20"/>
    <mergeCell ref="B19:B20"/>
    <mergeCell ref="C19:C20"/>
    <mergeCell ref="E22:E23"/>
    <mergeCell ref="F22:F23"/>
    <mergeCell ref="M25:M26"/>
    <mergeCell ref="N25:N26"/>
    <mergeCell ref="D22:D23"/>
    <mergeCell ref="L22:L23"/>
    <mergeCell ref="M22:M23"/>
    <mergeCell ref="G22:G23"/>
    <mergeCell ref="H22:H23"/>
    <mergeCell ref="I22:I23"/>
    <mergeCell ref="J22:J23"/>
    <mergeCell ref="K22:K23"/>
    <mergeCell ref="P13:P14"/>
    <mergeCell ref="P19:P20"/>
    <mergeCell ref="P25:P27"/>
    <mergeCell ref="N22:N23"/>
    <mergeCell ref="O22:O23"/>
    <mergeCell ref="P22:P23"/>
    <mergeCell ref="P16:P17"/>
    <mergeCell ref="B29:B30"/>
    <mergeCell ref="C29:C30"/>
    <mergeCell ref="A29:A30"/>
    <mergeCell ref="P29:P30"/>
    <mergeCell ref="D25:D26"/>
    <mergeCell ref="E25:E26"/>
    <mergeCell ref="O25:O26"/>
    <mergeCell ref="A25:A27"/>
    <mergeCell ref="B25:B27"/>
    <mergeCell ref="C25:C27"/>
  </mergeCells>
  <conditionalFormatting sqref="U44:U1048576 U7:U9 U11 U13:U14 U16:U17 U19:U20 U22:U23 U25:U34">
    <cfRule type="cellIs" dxfId="889" priority="71" operator="between">
      <formula>0.51</formula>
      <formula>0.69</formula>
    </cfRule>
    <cfRule type="cellIs" dxfId="888" priority="72" operator="between">
      <formula>0.51</formula>
      <formula>0.69</formula>
    </cfRule>
    <cfRule type="cellIs" dxfId="887" priority="73" operator="lessThan">
      <formula>0.5</formula>
    </cfRule>
    <cfRule type="cellIs" dxfId="886" priority="74" operator="greaterThan">
      <formula>0.7</formula>
    </cfRule>
    <cfRule type="cellIs" dxfId="885" priority="75" operator="between">
      <formula>0.51</formula>
      <formula>0.69</formula>
    </cfRule>
    <cfRule type="cellIs" dxfId="884" priority="76" operator="lessThan">
      <formula>50</formula>
    </cfRule>
    <cfRule type="cellIs" dxfId="883" priority="77" operator="greaterThan">
      <formula>0.7</formula>
    </cfRule>
    <cfRule type="cellIs" dxfId="882" priority="78" operator="between">
      <formula>0.51</formula>
      <formula>0.69</formula>
    </cfRule>
    <cfRule type="cellIs" dxfId="881" priority="79" operator="lessThan">
      <formula>0.5</formula>
    </cfRule>
    <cfRule type="cellIs" dxfId="880" priority="80" operator="greaterThan">
      <formula>0.7</formula>
    </cfRule>
  </conditionalFormatting>
  <conditionalFormatting sqref="U10">
    <cfRule type="cellIs" dxfId="879" priority="51" operator="between">
      <formula>0.51</formula>
      <formula>0.69</formula>
    </cfRule>
    <cfRule type="cellIs" dxfId="878" priority="52" operator="between">
      <formula>0.51</formula>
      <formula>0.69</formula>
    </cfRule>
    <cfRule type="cellIs" dxfId="877" priority="53" operator="lessThan">
      <formula>0.5</formula>
    </cfRule>
    <cfRule type="cellIs" dxfId="876" priority="54" operator="greaterThan">
      <formula>0.7</formula>
    </cfRule>
    <cfRule type="cellIs" dxfId="875" priority="55" operator="between">
      <formula>0.51</formula>
      <formula>0.69</formula>
    </cfRule>
    <cfRule type="cellIs" dxfId="874" priority="56" operator="lessThan">
      <formula>50</formula>
    </cfRule>
    <cfRule type="cellIs" dxfId="873" priority="57" operator="greaterThan">
      <formula>0.7</formula>
    </cfRule>
    <cfRule type="cellIs" dxfId="872" priority="58" operator="between">
      <formula>0.51</formula>
      <formula>0.69</formula>
    </cfRule>
    <cfRule type="cellIs" dxfId="871" priority="59" operator="lessThan">
      <formula>0.5</formula>
    </cfRule>
    <cfRule type="cellIs" dxfId="870" priority="60" operator="greaterThan">
      <formula>0.7</formula>
    </cfRule>
  </conditionalFormatting>
  <conditionalFormatting sqref="U12">
    <cfRule type="cellIs" dxfId="869" priority="41" operator="between">
      <formula>0.51</formula>
      <formula>0.69</formula>
    </cfRule>
    <cfRule type="cellIs" dxfId="868" priority="42" operator="between">
      <formula>0.51</formula>
      <formula>0.69</formula>
    </cfRule>
    <cfRule type="cellIs" dxfId="867" priority="43" operator="lessThan">
      <formula>0.5</formula>
    </cfRule>
    <cfRule type="cellIs" dxfId="866" priority="44" operator="greaterThan">
      <formula>0.7</formula>
    </cfRule>
    <cfRule type="cellIs" dxfId="865" priority="45" operator="between">
      <formula>0.51</formula>
      <formula>0.69</formula>
    </cfRule>
    <cfRule type="cellIs" dxfId="864" priority="46" operator="lessThan">
      <formula>50</formula>
    </cfRule>
    <cfRule type="cellIs" dxfId="863" priority="47" operator="greaterThan">
      <formula>0.7</formula>
    </cfRule>
    <cfRule type="cellIs" dxfId="862" priority="48" operator="between">
      <formula>0.51</formula>
      <formula>0.69</formula>
    </cfRule>
    <cfRule type="cellIs" dxfId="861" priority="49" operator="lessThan">
      <formula>0.5</formula>
    </cfRule>
    <cfRule type="cellIs" dxfId="860" priority="50" operator="greaterThan">
      <formula>0.7</formula>
    </cfRule>
  </conditionalFormatting>
  <conditionalFormatting sqref="U15">
    <cfRule type="cellIs" dxfId="859" priority="31" operator="between">
      <formula>0.51</formula>
      <formula>0.69</formula>
    </cfRule>
    <cfRule type="cellIs" dxfId="858" priority="32" operator="between">
      <formula>0.51</formula>
      <formula>0.69</formula>
    </cfRule>
    <cfRule type="cellIs" dxfId="857" priority="33" operator="lessThan">
      <formula>0.5</formula>
    </cfRule>
    <cfRule type="cellIs" dxfId="856" priority="34" operator="greaterThan">
      <formula>0.7</formula>
    </cfRule>
    <cfRule type="cellIs" dxfId="855" priority="35" operator="between">
      <formula>0.51</formula>
      <formula>0.69</formula>
    </cfRule>
    <cfRule type="cellIs" dxfId="854" priority="36" operator="lessThan">
      <formula>50</formula>
    </cfRule>
    <cfRule type="cellIs" dxfId="853" priority="37" operator="greaterThan">
      <formula>0.7</formula>
    </cfRule>
    <cfRule type="cellIs" dxfId="852" priority="38" operator="between">
      <formula>0.51</formula>
      <formula>0.69</formula>
    </cfRule>
    <cfRule type="cellIs" dxfId="851" priority="39" operator="lessThan">
      <formula>0.5</formula>
    </cfRule>
    <cfRule type="cellIs" dxfId="850" priority="40" operator="greaterThan">
      <formula>0.7</formula>
    </cfRule>
  </conditionalFormatting>
  <conditionalFormatting sqref="U18">
    <cfRule type="cellIs" dxfId="849" priority="21" operator="between">
      <formula>0.51</formula>
      <formula>0.69</formula>
    </cfRule>
    <cfRule type="cellIs" dxfId="848" priority="22" operator="between">
      <formula>0.51</formula>
      <formula>0.69</formula>
    </cfRule>
    <cfRule type="cellIs" dxfId="847" priority="23" operator="lessThan">
      <formula>0.5</formula>
    </cfRule>
    <cfRule type="cellIs" dxfId="846" priority="24" operator="greaterThan">
      <formula>0.7</formula>
    </cfRule>
    <cfRule type="cellIs" dxfId="845" priority="25" operator="between">
      <formula>0.51</formula>
      <formula>0.69</formula>
    </cfRule>
    <cfRule type="cellIs" dxfId="844" priority="26" operator="lessThan">
      <formula>50</formula>
    </cfRule>
    <cfRule type="cellIs" dxfId="843" priority="27" operator="greaterThan">
      <formula>0.7</formula>
    </cfRule>
    <cfRule type="cellIs" dxfId="842" priority="28" operator="between">
      <formula>0.51</formula>
      <formula>0.69</formula>
    </cfRule>
    <cfRule type="cellIs" dxfId="841" priority="29" operator="lessThan">
      <formula>0.5</formula>
    </cfRule>
    <cfRule type="cellIs" dxfId="840" priority="30" operator="greaterThan">
      <formula>0.7</formula>
    </cfRule>
  </conditionalFormatting>
  <conditionalFormatting sqref="U21">
    <cfRule type="cellIs" dxfId="839" priority="11" operator="between">
      <formula>0.51</formula>
      <formula>0.69</formula>
    </cfRule>
    <cfRule type="cellIs" dxfId="838" priority="12" operator="between">
      <formula>0.51</formula>
      <formula>0.69</formula>
    </cfRule>
    <cfRule type="cellIs" dxfId="837" priority="13" operator="lessThan">
      <formula>0.5</formula>
    </cfRule>
    <cfRule type="cellIs" dxfId="836" priority="14" operator="greaterThan">
      <formula>0.7</formula>
    </cfRule>
    <cfRule type="cellIs" dxfId="835" priority="15" operator="between">
      <formula>0.51</formula>
      <formula>0.69</formula>
    </cfRule>
    <cfRule type="cellIs" dxfId="834" priority="16" operator="lessThan">
      <formula>50</formula>
    </cfRule>
    <cfRule type="cellIs" dxfId="833" priority="17" operator="greaterThan">
      <formula>0.7</formula>
    </cfRule>
    <cfRule type="cellIs" dxfId="832" priority="18" operator="between">
      <formula>0.51</formula>
      <formula>0.69</formula>
    </cfRule>
    <cfRule type="cellIs" dxfId="831" priority="19" operator="lessThan">
      <formula>0.5</formula>
    </cfRule>
    <cfRule type="cellIs" dxfId="830" priority="20" operator="greaterThan">
      <formula>0.7</formula>
    </cfRule>
  </conditionalFormatting>
  <conditionalFormatting sqref="U24">
    <cfRule type="cellIs" dxfId="829" priority="1" operator="between">
      <formula>0.51</formula>
      <formula>0.69</formula>
    </cfRule>
    <cfRule type="cellIs" dxfId="828" priority="2" operator="between">
      <formula>0.51</formula>
      <formula>0.69</formula>
    </cfRule>
    <cfRule type="cellIs" dxfId="827" priority="3" operator="lessThan">
      <formula>0.5</formula>
    </cfRule>
    <cfRule type="cellIs" dxfId="826" priority="4" operator="greaterThan">
      <formula>0.7</formula>
    </cfRule>
    <cfRule type="cellIs" dxfId="825" priority="5" operator="between">
      <formula>0.51</formula>
      <formula>0.69</formula>
    </cfRule>
    <cfRule type="cellIs" dxfId="824" priority="6" operator="lessThan">
      <formula>50</formula>
    </cfRule>
    <cfRule type="cellIs" dxfId="823" priority="7" operator="greaterThan">
      <formula>0.7</formula>
    </cfRule>
    <cfRule type="cellIs" dxfId="822" priority="8" operator="between">
      <formula>0.51</formula>
      <formula>0.69</formula>
    </cfRule>
    <cfRule type="cellIs" dxfId="821" priority="9" operator="lessThan">
      <formula>0.5</formula>
    </cfRule>
    <cfRule type="cellIs" dxfId="820" priority="10" operator="greaterThan">
      <formula>0.7</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82B"/>
  </sheetPr>
  <dimension ref="A1:EB832"/>
  <sheetViews>
    <sheetView showGridLines="0" zoomScale="80" zoomScaleNormal="80" workbookViewId="0">
      <selection activeCell="T25" sqref="T25"/>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1.42578125" style="40" hidden="1" customWidth="1"/>
    <col min="9" max="9" width="12.7109375" style="40" hidden="1" customWidth="1"/>
    <col min="10" max="10" width="15.140625" style="40" hidden="1" customWidth="1"/>
    <col min="11" max="11" width="15" style="40" hidden="1" customWidth="1"/>
    <col min="12" max="12" width="18.7109375" style="40" customWidth="1"/>
    <col min="13" max="13" width="18.85546875" style="40" customWidth="1"/>
    <col min="14" max="14" width="15.7109375" style="40" customWidth="1"/>
    <col min="15" max="15" width="11.42578125" style="40" customWidth="1"/>
    <col min="16" max="16" width="15.42578125" style="40" customWidth="1"/>
    <col min="17" max="17" width="16.7109375" style="40" customWidth="1"/>
    <col min="18" max="18" width="11.5703125" style="3" bestFit="1" customWidth="1"/>
    <col min="19" max="19" width="11.42578125" style="40" customWidth="1"/>
    <col min="20" max="20" width="16.7109375" style="35" bestFit="1" customWidth="1"/>
    <col min="21" max="21" width="17.28515625" style="40" bestFit="1" customWidth="1"/>
    <col min="22" max="22" width="11.42578125" style="40" customWidth="1"/>
    <col min="23" max="23" width="14.5703125" style="35" customWidth="1"/>
    <col min="24" max="24" width="19" style="40" bestFit="1" customWidth="1"/>
    <col min="25" max="129" width="11.5703125" style="39" hidden="1" customWidth="1"/>
    <col min="130" max="132" width="11.5703125" style="40" hidden="1" customWidth="1"/>
    <col min="133" max="16384" width="11.42578125" style="40"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871</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25.5" customHeight="1" x14ac:dyDescent="0.25">
      <c r="A8" s="692" t="s">
        <v>147</v>
      </c>
      <c r="B8" s="766" t="s">
        <v>7</v>
      </c>
      <c r="C8" s="689" t="s">
        <v>8</v>
      </c>
      <c r="D8" s="692" t="s">
        <v>767</v>
      </c>
      <c r="E8" s="689" t="s">
        <v>140</v>
      </c>
      <c r="F8" s="289">
        <v>5000000</v>
      </c>
      <c r="G8" s="66">
        <v>0</v>
      </c>
      <c r="H8" s="44"/>
      <c r="I8" s="45"/>
      <c r="J8" s="66">
        <v>0</v>
      </c>
      <c r="K8" s="66">
        <v>0</v>
      </c>
      <c r="L8" s="758">
        <f>+F8+G8+H8+J8-K8</f>
        <v>5000000</v>
      </c>
      <c r="M8" s="742">
        <f>+L20</f>
        <v>268000000</v>
      </c>
      <c r="N8" s="78" t="s">
        <v>582</v>
      </c>
      <c r="O8" s="457">
        <v>208</v>
      </c>
      <c r="P8" s="78" t="s">
        <v>583</v>
      </c>
      <c r="Q8" s="274">
        <v>2955000</v>
      </c>
      <c r="R8" s="46"/>
      <c r="S8" s="44">
        <v>347</v>
      </c>
      <c r="T8" s="122">
        <v>44609</v>
      </c>
      <c r="U8" s="66">
        <v>2955000</v>
      </c>
      <c r="V8" s="38">
        <v>1489</v>
      </c>
      <c r="W8" s="122">
        <v>44610</v>
      </c>
      <c r="X8" s="66">
        <v>2955000</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15" x14ac:dyDescent="0.25">
      <c r="A9" s="693"/>
      <c r="B9" s="767"/>
      <c r="C9" s="690"/>
      <c r="D9" s="694"/>
      <c r="E9" s="691"/>
      <c r="F9" s="311"/>
      <c r="G9" s="315"/>
      <c r="H9" s="302"/>
      <c r="I9" s="344"/>
      <c r="J9" s="315"/>
      <c r="K9" s="315"/>
      <c r="L9" s="759"/>
      <c r="M9" s="743"/>
      <c r="N9" s="78" t="s">
        <v>2184</v>
      </c>
      <c r="O9" s="457">
        <v>605</v>
      </c>
      <c r="P9" s="78" t="s">
        <v>2183</v>
      </c>
      <c r="Q9" s="274">
        <v>1995000</v>
      </c>
      <c r="R9" s="46"/>
      <c r="S9" s="330">
        <v>1181</v>
      </c>
      <c r="T9" s="273">
        <v>44823</v>
      </c>
      <c r="U9" s="274">
        <v>1995000</v>
      </c>
      <c r="V9" s="329">
        <v>5027</v>
      </c>
      <c r="W9" s="273">
        <v>44825</v>
      </c>
      <c r="X9" s="274">
        <v>1995000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15" x14ac:dyDescent="0.25">
      <c r="A10" s="693"/>
      <c r="B10" s="767"/>
      <c r="C10" s="690"/>
      <c r="D10" s="692" t="s">
        <v>768</v>
      </c>
      <c r="E10" s="689" t="s">
        <v>100</v>
      </c>
      <c r="F10" s="710">
        <v>174000000</v>
      </c>
      <c r="G10" s="710">
        <v>89000000</v>
      </c>
      <c r="H10" s="692"/>
      <c r="I10" s="692"/>
      <c r="J10" s="728">
        <v>0</v>
      </c>
      <c r="K10" s="728">
        <v>0</v>
      </c>
      <c r="L10" s="758">
        <f>+F10+G10+H10+J10-K10</f>
        <v>263000000</v>
      </c>
      <c r="M10" s="743"/>
      <c r="N10" s="78" t="s">
        <v>570</v>
      </c>
      <c r="O10" s="457" t="s">
        <v>574</v>
      </c>
      <c r="P10" s="78" t="s">
        <v>578</v>
      </c>
      <c r="Q10" s="66">
        <v>16432000</v>
      </c>
      <c r="R10" s="46"/>
      <c r="S10" s="44">
        <v>57</v>
      </c>
      <c r="T10" s="122">
        <v>44578</v>
      </c>
      <c r="U10" s="66">
        <v>16432000</v>
      </c>
      <c r="V10" s="38">
        <v>418</v>
      </c>
      <c r="W10" s="122">
        <v>44582</v>
      </c>
      <c r="X10" s="66">
        <v>16432000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15" x14ac:dyDescent="0.25">
      <c r="A11" s="693"/>
      <c r="B11" s="767"/>
      <c r="C11" s="690"/>
      <c r="D11" s="693"/>
      <c r="E11" s="690"/>
      <c r="F11" s="711"/>
      <c r="G11" s="711"/>
      <c r="H11" s="693"/>
      <c r="I11" s="693"/>
      <c r="J11" s="735"/>
      <c r="K11" s="735"/>
      <c r="L11" s="763"/>
      <c r="M11" s="743"/>
      <c r="N11" s="78" t="s">
        <v>571</v>
      </c>
      <c r="O11" s="457" t="s">
        <v>575</v>
      </c>
      <c r="P11" s="78" t="s">
        <v>579</v>
      </c>
      <c r="Q11" s="66">
        <v>58887838</v>
      </c>
      <c r="R11" s="46"/>
      <c r="S11" s="44">
        <v>54</v>
      </c>
      <c r="T11" s="122">
        <v>44578</v>
      </c>
      <c r="U11" s="66">
        <v>58887838</v>
      </c>
      <c r="V11" s="38">
        <v>425</v>
      </c>
      <c r="W11" s="122">
        <v>44582</v>
      </c>
      <c r="X11" s="66">
        <v>58887838</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15" x14ac:dyDescent="0.25">
      <c r="A12" s="693"/>
      <c r="B12" s="767"/>
      <c r="C12" s="690"/>
      <c r="D12" s="693"/>
      <c r="E12" s="690"/>
      <c r="F12" s="711"/>
      <c r="G12" s="711"/>
      <c r="H12" s="693"/>
      <c r="I12" s="693"/>
      <c r="J12" s="735"/>
      <c r="K12" s="735"/>
      <c r="L12" s="763"/>
      <c r="M12" s="743"/>
      <c r="N12" s="78" t="s">
        <v>572</v>
      </c>
      <c r="O12" s="457" t="s">
        <v>576</v>
      </c>
      <c r="P12" s="78" t="s">
        <v>580</v>
      </c>
      <c r="Q12" s="66">
        <v>2819900</v>
      </c>
      <c r="R12" s="46"/>
      <c r="S12" s="44">
        <v>130</v>
      </c>
      <c r="T12" s="122">
        <v>44582</v>
      </c>
      <c r="U12" s="66">
        <v>2819900</v>
      </c>
      <c r="V12" s="38">
        <v>733</v>
      </c>
      <c r="W12" s="122">
        <v>44588</v>
      </c>
      <c r="X12" s="267">
        <v>2819900</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15" x14ac:dyDescent="0.25">
      <c r="A13" s="693"/>
      <c r="B13" s="767"/>
      <c r="C13" s="690"/>
      <c r="D13" s="693"/>
      <c r="E13" s="690"/>
      <c r="F13" s="711"/>
      <c r="G13" s="711"/>
      <c r="H13" s="693"/>
      <c r="I13" s="693"/>
      <c r="J13" s="735"/>
      <c r="K13" s="735"/>
      <c r="L13" s="763"/>
      <c r="M13" s="743"/>
      <c r="N13" s="78" t="s">
        <v>573</v>
      </c>
      <c r="O13" s="457" t="s">
        <v>577</v>
      </c>
      <c r="P13" s="78" t="s">
        <v>581</v>
      </c>
      <c r="Q13" s="274">
        <v>27488557</v>
      </c>
      <c r="R13" s="46"/>
      <c r="S13" s="242">
        <v>158</v>
      </c>
      <c r="T13" s="122">
        <v>44585</v>
      </c>
      <c r="U13" s="66">
        <v>27488557</v>
      </c>
      <c r="V13" s="250">
        <v>739</v>
      </c>
      <c r="W13" s="122">
        <v>44588</v>
      </c>
      <c r="X13" s="274">
        <v>27488557</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15" x14ac:dyDescent="0.25">
      <c r="A14" s="693"/>
      <c r="B14" s="767"/>
      <c r="C14" s="690"/>
      <c r="D14" s="693"/>
      <c r="E14" s="690"/>
      <c r="F14" s="712"/>
      <c r="G14" s="712"/>
      <c r="H14" s="694"/>
      <c r="I14" s="694"/>
      <c r="J14" s="729"/>
      <c r="K14" s="729"/>
      <c r="L14" s="763"/>
      <c r="M14" s="743"/>
      <c r="N14" s="78" t="s">
        <v>1391</v>
      </c>
      <c r="O14" s="457" t="s">
        <v>1392</v>
      </c>
      <c r="P14" s="78" t="s">
        <v>1393</v>
      </c>
      <c r="Q14" s="274">
        <v>69892270</v>
      </c>
      <c r="R14" s="46"/>
      <c r="S14" s="44">
        <v>575</v>
      </c>
      <c r="T14" s="122">
        <v>44680</v>
      </c>
      <c r="U14" s="267">
        <v>69892270</v>
      </c>
      <c r="V14" s="38">
        <v>4648</v>
      </c>
      <c r="W14" s="122">
        <v>44798</v>
      </c>
      <c r="X14" s="66">
        <v>69892270</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15" x14ac:dyDescent="0.25">
      <c r="A15" s="693"/>
      <c r="B15" s="767"/>
      <c r="C15" s="690"/>
      <c r="D15" s="693"/>
      <c r="E15" s="690"/>
      <c r="F15" s="313"/>
      <c r="G15" s="313"/>
      <c r="H15" s="303"/>
      <c r="I15" s="85"/>
      <c r="J15" s="317"/>
      <c r="K15" s="317"/>
      <c r="L15" s="763"/>
      <c r="M15" s="743"/>
      <c r="N15" s="78" t="s">
        <v>572</v>
      </c>
      <c r="O15" s="457" t="s">
        <v>1923</v>
      </c>
      <c r="P15" s="78" t="s">
        <v>1918</v>
      </c>
      <c r="Q15" s="274">
        <v>12800000</v>
      </c>
      <c r="R15" s="46"/>
      <c r="S15" s="330">
        <v>947</v>
      </c>
      <c r="T15" s="273">
        <v>44776</v>
      </c>
      <c r="U15" s="274">
        <v>12800000</v>
      </c>
      <c r="V15" s="329">
        <v>4349</v>
      </c>
      <c r="W15" s="273">
        <v>44777</v>
      </c>
      <c r="X15" s="274">
        <v>12800000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15" x14ac:dyDescent="0.25">
      <c r="A16" s="693"/>
      <c r="B16" s="767"/>
      <c r="C16" s="690"/>
      <c r="D16" s="693"/>
      <c r="E16" s="690"/>
      <c r="F16" s="313"/>
      <c r="G16" s="313"/>
      <c r="H16" s="303"/>
      <c r="I16" s="85"/>
      <c r="J16" s="317"/>
      <c r="K16" s="317"/>
      <c r="L16" s="763"/>
      <c r="M16" s="743"/>
      <c r="N16" s="78" t="s">
        <v>1921</v>
      </c>
      <c r="O16" s="154" t="s">
        <v>885</v>
      </c>
      <c r="P16" s="78" t="s">
        <v>1919</v>
      </c>
      <c r="Q16" s="274">
        <v>0</v>
      </c>
      <c r="R16" s="46"/>
      <c r="S16" s="330"/>
      <c r="T16" s="273"/>
      <c r="U16" s="274"/>
      <c r="V16" s="329"/>
      <c r="W16" s="273"/>
      <c r="X16" s="274"/>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15" x14ac:dyDescent="0.25">
      <c r="A17" s="693"/>
      <c r="B17" s="767"/>
      <c r="C17" s="690"/>
      <c r="D17" s="694"/>
      <c r="E17" s="691"/>
      <c r="F17" s="313"/>
      <c r="G17" s="313"/>
      <c r="H17" s="303"/>
      <c r="I17" s="85"/>
      <c r="J17" s="317"/>
      <c r="K17" s="317"/>
      <c r="L17" s="759"/>
      <c r="M17" s="744"/>
      <c r="N17" s="78" t="s">
        <v>1922</v>
      </c>
      <c r="O17" s="457" t="s">
        <v>1924</v>
      </c>
      <c r="P17" s="78" t="s">
        <v>1920</v>
      </c>
      <c r="Q17" s="274">
        <v>35611200</v>
      </c>
      <c r="R17" s="46"/>
      <c r="S17" s="330">
        <v>1059</v>
      </c>
      <c r="T17" s="273">
        <v>44795</v>
      </c>
      <c r="U17" s="274">
        <v>35611200</v>
      </c>
      <c r="V17" s="329">
        <v>5173</v>
      </c>
      <c r="W17" s="273">
        <v>44831</v>
      </c>
      <c r="X17" s="274">
        <v>35611200</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15" x14ac:dyDescent="0.25">
      <c r="A18" s="694"/>
      <c r="B18" s="768"/>
      <c r="C18" s="691"/>
      <c r="D18" s="410"/>
      <c r="E18" s="415"/>
      <c r="F18" s="423"/>
      <c r="G18" s="423"/>
      <c r="H18" s="410"/>
      <c r="I18" s="85"/>
      <c r="J18" s="418"/>
      <c r="K18" s="418"/>
      <c r="L18" s="427"/>
      <c r="M18" s="429"/>
      <c r="N18" s="78" t="s">
        <v>2364</v>
      </c>
      <c r="O18" s="457" t="s">
        <v>2365</v>
      </c>
      <c r="P18" s="78" t="s">
        <v>2366</v>
      </c>
      <c r="Q18" s="274">
        <v>17267167</v>
      </c>
      <c r="R18" s="46"/>
      <c r="S18" s="330">
        <v>1334</v>
      </c>
      <c r="T18" s="273" t="s">
        <v>2792</v>
      </c>
      <c r="U18" s="274">
        <v>17267167</v>
      </c>
      <c r="V18" s="443">
        <v>5725</v>
      </c>
      <c r="W18" s="273" t="s">
        <v>2787</v>
      </c>
      <c r="X18" s="274">
        <v>17267167</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107" customFormat="1" ht="15.75" thickBot="1" x14ac:dyDescent="0.3">
      <c r="A19" s="92"/>
      <c r="B19" s="92"/>
      <c r="C19" s="92"/>
      <c r="D19" s="92"/>
      <c r="E19" s="104"/>
      <c r="F19" s="101"/>
      <c r="G19" s="101"/>
      <c r="H19" s="92"/>
      <c r="I19" s="93"/>
      <c r="J19" s="92"/>
      <c r="K19" s="92"/>
      <c r="L19" s="102">
        <f>SUM(L8:L14)</f>
        <v>268000000</v>
      </c>
      <c r="M19" s="101"/>
      <c r="N19" s="105"/>
      <c r="O19" s="86"/>
      <c r="P19" s="95"/>
      <c r="Q19" s="103">
        <f>SUM(Q8:Q18)</f>
        <v>246148932</v>
      </c>
      <c r="R19" s="89"/>
      <c r="S19" s="86"/>
      <c r="T19" s="95"/>
      <c r="U19" s="103">
        <f>SUM(U8:U18)</f>
        <v>246148932</v>
      </c>
      <c r="V19" s="86"/>
      <c r="W19" s="95"/>
      <c r="X19" s="103">
        <f>SUM(X8:X18)</f>
        <v>246148932</v>
      </c>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row>
    <row r="20" spans="1:129" s="63" customFormat="1" ht="17.25" thickBot="1" x14ac:dyDescent="0.35">
      <c r="A20" s="51"/>
      <c r="B20" s="51"/>
      <c r="C20" s="42"/>
      <c r="D20" s="42"/>
      <c r="E20" s="42"/>
      <c r="F20" s="52"/>
      <c r="G20" s="42"/>
      <c r="H20" s="42"/>
      <c r="I20" s="43"/>
      <c r="J20" s="53" t="s">
        <v>29</v>
      </c>
      <c r="K20" s="54"/>
      <c r="L20" s="55">
        <f>+L19</f>
        <v>268000000</v>
      </c>
      <c r="M20" s="56"/>
      <c r="N20" s="56"/>
      <c r="O20" s="56"/>
      <c r="P20" s="56"/>
      <c r="Q20" s="67">
        <f>+Q19</f>
        <v>246148932</v>
      </c>
      <c r="R20" s="128">
        <f>(Q20*1)/L20</f>
        <v>0.91846616417910443</v>
      </c>
      <c r="S20" s="58"/>
      <c r="T20" s="59"/>
      <c r="U20" s="60">
        <f>+U19</f>
        <v>246148932</v>
      </c>
      <c r="V20" s="58"/>
      <c r="W20" s="59"/>
      <c r="X20" s="61">
        <f>+X19</f>
        <v>246148932</v>
      </c>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row>
    <row r="21" spans="1:129" ht="15" x14ac:dyDescent="0.25">
      <c r="R21" s="4"/>
    </row>
    <row r="22" spans="1:129" ht="15" x14ac:dyDescent="0.25">
      <c r="Q22" s="39"/>
      <c r="R22" s="6"/>
      <c r="S22" s="39"/>
    </row>
    <row r="23" spans="1:129" ht="15" x14ac:dyDescent="0.25">
      <c r="Q23" s="39"/>
      <c r="R23" s="6"/>
      <c r="S23" s="39"/>
    </row>
    <row r="24" spans="1:129" ht="15" x14ac:dyDescent="0.25">
      <c r="Q24" s="39"/>
      <c r="R24" s="6"/>
      <c r="S24" s="39"/>
    </row>
    <row r="25" spans="1:129" ht="15" x14ac:dyDescent="0.25">
      <c r="Q25" s="39"/>
      <c r="R25" s="6"/>
      <c r="S25" s="39"/>
    </row>
    <row r="26" spans="1:129" ht="15" x14ac:dyDescent="0.25">
      <c r="Q26" s="39"/>
      <c r="R26" s="6"/>
      <c r="S26" s="39"/>
    </row>
    <row r="27" spans="1:129" ht="15" x14ac:dyDescent="0.25">
      <c r="Q27" s="39"/>
      <c r="R27" s="6"/>
      <c r="S27" s="39"/>
    </row>
    <row r="28" spans="1:129" ht="15" x14ac:dyDescent="0.25">
      <c r="Q28" s="39"/>
      <c r="R28" s="6"/>
      <c r="S28" s="39"/>
    </row>
    <row r="29" spans="1:129" ht="15" x14ac:dyDescent="0.25">
      <c r="Q29" s="39"/>
      <c r="R29" s="6"/>
      <c r="S29" s="39"/>
    </row>
    <row r="30" spans="1:129" ht="15" x14ac:dyDescent="0.25">
      <c r="Q30" s="39"/>
      <c r="R30" s="7"/>
      <c r="S30" s="39"/>
    </row>
    <row r="31" spans="1:129" ht="15" x14ac:dyDescent="0.25"/>
    <row r="32" spans="1:129"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customHeight="1" x14ac:dyDescent="0.25"/>
    <row r="74" ht="15"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sheetData>
  <sheetProtection algorithmName="SHA-512" hashValue="AGW+GM90YFTWc70XkFVuXLnOTwAgSYljTZZ9ga5Y46qEqj2Z8j4ZS/HBKWbSKHDjSEBUh8SUTo4UmbzrZlj7IA==" saltValue="Ae4OC4NS7dRTDsN/LOA0sQ==" spinCount="100000" sheet="1" objects="1" scenarios="1" selectLockedCells="1" selectUnlockedCells="1"/>
  <mergeCells count="24">
    <mergeCell ref="I10:I14"/>
    <mergeCell ref="J10:J14"/>
    <mergeCell ref="K10:K14"/>
    <mergeCell ref="M8:M17"/>
    <mergeCell ref="D8:D9"/>
    <mergeCell ref="E8:E9"/>
    <mergeCell ref="L8:L9"/>
    <mergeCell ref="D10:D17"/>
    <mergeCell ref="A8:A18"/>
    <mergeCell ref="E10:E17"/>
    <mergeCell ref="L10:L17"/>
    <mergeCell ref="W2:X2"/>
    <mergeCell ref="B3:V3"/>
    <mergeCell ref="W3:X3"/>
    <mergeCell ref="B4:V5"/>
    <mergeCell ref="W4:X4"/>
    <mergeCell ref="W5:X5"/>
    <mergeCell ref="B8:B18"/>
    <mergeCell ref="C8:C18"/>
    <mergeCell ref="A2:A5"/>
    <mergeCell ref="B2:V2"/>
    <mergeCell ref="F10:F14"/>
    <mergeCell ref="G10:G14"/>
    <mergeCell ref="H10:H14"/>
  </mergeCells>
  <conditionalFormatting sqref="R30:R1048576 R7:R18 R20">
    <cfRule type="cellIs" dxfId="819" priority="11" operator="between">
      <formula>0.51</formula>
      <formula>0.69</formula>
    </cfRule>
    <cfRule type="cellIs" dxfId="818" priority="12" operator="between">
      <formula>0.51</formula>
      <formula>0.69</formula>
    </cfRule>
    <cfRule type="cellIs" dxfId="817" priority="13" operator="lessThan">
      <formula>0.5</formula>
    </cfRule>
    <cfRule type="cellIs" dxfId="816" priority="14" operator="greaterThan">
      <formula>0.7</formula>
    </cfRule>
    <cfRule type="cellIs" dxfId="815" priority="15" operator="between">
      <formula>0.51</formula>
      <formula>0.69</formula>
    </cfRule>
    <cfRule type="cellIs" dxfId="814" priority="16" operator="lessThan">
      <formula>50</formula>
    </cfRule>
    <cfRule type="cellIs" dxfId="813" priority="17" operator="greaterThan">
      <formula>0.7</formula>
    </cfRule>
    <cfRule type="cellIs" dxfId="812" priority="18" operator="between">
      <formula>0.51</formula>
      <formula>0.69</formula>
    </cfRule>
    <cfRule type="cellIs" dxfId="811" priority="19" operator="lessThan">
      <formula>0.5</formula>
    </cfRule>
    <cfRule type="cellIs" dxfId="810" priority="20" operator="greaterThan">
      <formula>0.7</formula>
    </cfRule>
  </conditionalFormatting>
  <conditionalFormatting sqref="R19">
    <cfRule type="cellIs" dxfId="809" priority="1" operator="between">
      <formula>0.51</formula>
      <formula>0.69</formula>
    </cfRule>
    <cfRule type="cellIs" dxfId="808" priority="2" operator="between">
      <formula>0.51</formula>
      <formula>0.69</formula>
    </cfRule>
    <cfRule type="cellIs" dxfId="807" priority="3" operator="lessThan">
      <formula>0.5</formula>
    </cfRule>
    <cfRule type="cellIs" dxfId="806" priority="4" operator="greaterThan">
      <formula>0.7</formula>
    </cfRule>
    <cfRule type="cellIs" dxfId="805" priority="5" operator="between">
      <formula>0.51</formula>
      <formula>0.69</formula>
    </cfRule>
    <cfRule type="cellIs" dxfId="804" priority="6" operator="lessThan">
      <formula>50</formula>
    </cfRule>
    <cfRule type="cellIs" dxfId="803" priority="7" operator="greaterThan">
      <formula>0.7</formula>
    </cfRule>
    <cfRule type="cellIs" dxfId="802" priority="8" operator="between">
      <formula>0.51</formula>
      <formula>0.69</formula>
    </cfRule>
    <cfRule type="cellIs" dxfId="801" priority="9" operator="lessThan">
      <formula>0.5</formula>
    </cfRule>
    <cfRule type="cellIs" dxfId="800" priority="10" operator="greaterThan">
      <formula>0.7</formula>
    </cfRule>
  </conditionalFormatting>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482B"/>
  </sheetPr>
  <dimension ref="A1:EB846"/>
  <sheetViews>
    <sheetView showGridLines="0" topLeftCell="D1" zoomScale="80" zoomScaleNormal="80" workbookViewId="0">
      <selection activeCell="X18" sqref="X18"/>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7.28515625" style="40" hidden="1" customWidth="1"/>
    <col min="9" max="9" width="12.7109375" style="40" hidden="1" customWidth="1"/>
    <col min="10" max="10" width="15.140625" style="40" hidden="1" customWidth="1"/>
    <col min="11" max="11" width="15" style="40" hidden="1" customWidth="1"/>
    <col min="12" max="12" width="18.7109375" style="40" customWidth="1"/>
    <col min="13" max="13" width="17.7109375" style="40" bestFit="1" customWidth="1"/>
    <col min="14" max="14" width="15.7109375" style="40" customWidth="1"/>
    <col min="15" max="15" width="11.42578125" style="40" customWidth="1"/>
    <col min="16" max="16" width="15.42578125" style="40" customWidth="1"/>
    <col min="17" max="17" width="17.28515625" style="40" bestFit="1" customWidth="1"/>
    <col min="18" max="18" width="11.5703125" style="3" bestFit="1" customWidth="1"/>
    <col min="19" max="19" width="11.42578125" style="40" customWidth="1"/>
    <col min="20" max="20" width="16.7109375" style="35" bestFit="1" customWidth="1"/>
    <col min="21" max="21" width="18.28515625" style="40" bestFit="1" customWidth="1"/>
    <col min="22" max="22" width="11.42578125" style="40" customWidth="1"/>
    <col min="23" max="23" width="14.5703125" style="35" customWidth="1"/>
    <col min="24" max="24" width="19" style="40" bestFit="1" customWidth="1"/>
    <col min="25" max="129" width="11.5703125" style="39" hidden="1" customWidth="1"/>
    <col min="130" max="132" width="11.5703125" style="40" hidden="1" customWidth="1"/>
    <col min="133" max="16384" width="11.42578125" style="40"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871</v>
      </c>
      <c r="H7" s="41" t="s">
        <v>1547</v>
      </c>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15" x14ac:dyDescent="0.25">
      <c r="A8" s="692" t="s">
        <v>153</v>
      </c>
      <c r="B8" s="766" t="s">
        <v>154</v>
      </c>
      <c r="C8" s="689" t="s">
        <v>10</v>
      </c>
      <c r="D8" s="736" t="s">
        <v>840</v>
      </c>
      <c r="E8" s="689" t="s">
        <v>100</v>
      </c>
      <c r="F8" s="710">
        <v>54162113</v>
      </c>
      <c r="G8" s="710">
        <v>54162112</v>
      </c>
      <c r="H8" s="692"/>
      <c r="I8" s="692"/>
      <c r="J8" s="692"/>
      <c r="K8" s="692"/>
      <c r="L8" s="758">
        <f>+F8+G8+H8+J8-K8</f>
        <v>108324225</v>
      </c>
      <c r="M8" s="742">
        <f>+L20</f>
        <v>231626668</v>
      </c>
      <c r="N8" s="78" t="s">
        <v>584</v>
      </c>
      <c r="O8" s="457" t="s">
        <v>55</v>
      </c>
      <c r="P8" s="78" t="s">
        <v>589</v>
      </c>
      <c r="Q8" s="66">
        <v>9886933</v>
      </c>
      <c r="R8" s="46"/>
      <c r="S8" s="44">
        <v>112</v>
      </c>
      <c r="T8" s="122">
        <v>44582</v>
      </c>
      <c r="U8" s="66">
        <v>9886933</v>
      </c>
      <c r="V8" s="38">
        <v>563</v>
      </c>
      <c r="W8" s="122">
        <v>44586</v>
      </c>
      <c r="X8" s="66">
        <v>9886933</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15" x14ac:dyDescent="0.25">
      <c r="A9" s="693"/>
      <c r="B9" s="767"/>
      <c r="C9" s="690"/>
      <c r="D9" s="737"/>
      <c r="E9" s="690"/>
      <c r="F9" s="711"/>
      <c r="G9" s="711"/>
      <c r="H9" s="693"/>
      <c r="I9" s="693"/>
      <c r="J9" s="693"/>
      <c r="K9" s="693"/>
      <c r="L9" s="763"/>
      <c r="M9" s="743"/>
      <c r="N9" s="78" t="s">
        <v>585</v>
      </c>
      <c r="O9" s="457" t="s">
        <v>56</v>
      </c>
      <c r="P9" s="78" t="s">
        <v>590</v>
      </c>
      <c r="Q9" s="66">
        <v>10961600</v>
      </c>
      <c r="R9" s="46"/>
      <c r="S9" s="44">
        <v>114</v>
      </c>
      <c r="T9" s="122">
        <v>44582</v>
      </c>
      <c r="U9" s="66">
        <v>10961600</v>
      </c>
      <c r="V9" s="38">
        <v>562</v>
      </c>
      <c r="W9" s="122">
        <v>44586</v>
      </c>
      <c r="X9" s="66">
        <v>10961600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15" x14ac:dyDescent="0.25">
      <c r="A10" s="693"/>
      <c r="B10" s="767"/>
      <c r="C10" s="690"/>
      <c r="D10" s="737"/>
      <c r="E10" s="690"/>
      <c r="F10" s="711"/>
      <c r="G10" s="711"/>
      <c r="H10" s="693"/>
      <c r="I10" s="693"/>
      <c r="J10" s="693"/>
      <c r="K10" s="693"/>
      <c r="L10" s="763"/>
      <c r="M10" s="743"/>
      <c r="N10" s="78" t="s">
        <v>586</v>
      </c>
      <c r="O10" s="457" t="s">
        <v>57</v>
      </c>
      <c r="P10" s="78" t="s">
        <v>591</v>
      </c>
      <c r="Q10" s="274">
        <v>4689637</v>
      </c>
      <c r="R10" s="46"/>
      <c r="S10" s="44">
        <v>206</v>
      </c>
      <c r="T10" s="122">
        <v>44587</v>
      </c>
      <c r="U10" s="66">
        <v>4689637</v>
      </c>
      <c r="V10" s="38">
        <v>1254</v>
      </c>
      <c r="W10" s="122">
        <v>44589</v>
      </c>
      <c r="X10" s="274">
        <v>4689637</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15" x14ac:dyDescent="0.25">
      <c r="A11" s="693"/>
      <c r="B11" s="767"/>
      <c r="C11" s="690"/>
      <c r="D11" s="737"/>
      <c r="E11" s="690"/>
      <c r="F11" s="711"/>
      <c r="G11" s="711"/>
      <c r="H11" s="693"/>
      <c r="I11" s="693"/>
      <c r="J11" s="693"/>
      <c r="K11" s="693"/>
      <c r="L11" s="763"/>
      <c r="M11" s="743"/>
      <c r="N11" s="78" t="s">
        <v>587</v>
      </c>
      <c r="O11" s="457" t="s">
        <v>594</v>
      </c>
      <c r="P11" s="78" t="s">
        <v>592</v>
      </c>
      <c r="Q11" s="66">
        <v>12276992</v>
      </c>
      <c r="R11" s="46"/>
      <c r="S11" s="44">
        <v>113</v>
      </c>
      <c r="T11" s="122">
        <v>44582</v>
      </c>
      <c r="U11" s="66">
        <v>12276992</v>
      </c>
      <c r="V11" s="38">
        <v>580</v>
      </c>
      <c r="W11" s="122">
        <v>44587</v>
      </c>
      <c r="X11" s="66">
        <v>12276992</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15" x14ac:dyDescent="0.25">
      <c r="A12" s="693"/>
      <c r="B12" s="767"/>
      <c r="C12" s="690"/>
      <c r="D12" s="737"/>
      <c r="E12" s="690"/>
      <c r="F12" s="711"/>
      <c r="G12" s="711"/>
      <c r="H12" s="693"/>
      <c r="I12" s="693"/>
      <c r="J12" s="693"/>
      <c r="K12" s="693"/>
      <c r="L12" s="763"/>
      <c r="M12" s="743"/>
      <c r="N12" s="78" t="s">
        <v>588</v>
      </c>
      <c r="O12" s="457" t="s">
        <v>595</v>
      </c>
      <c r="P12" s="78" t="s">
        <v>593</v>
      </c>
      <c r="Q12" s="66">
        <v>10084672</v>
      </c>
      <c r="R12" s="46"/>
      <c r="S12" s="44">
        <v>193</v>
      </c>
      <c r="T12" s="122">
        <v>44587</v>
      </c>
      <c r="U12" s="66">
        <v>10084672</v>
      </c>
      <c r="V12" s="38">
        <v>1255</v>
      </c>
      <c r="W12" s="122">
        <v>44589</v>
      </c>
      <c r="X12" s="66">
        <v>10084672</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15" x14ac:dyDescent="0.25">
      <c r="A13" s="693"/>
      <c r="B13" s="767"/>
      <c r="C13" s="690"/>
      <c r="D13" s="737"/>
      <c r="E13" s="690"/>
      <c r="F13" s="711"/>
      <c r="G13" s="711"/>
      <c r="H13" s="693"/>
      <c r="I13" s="693"/>
      <c r="J13" s="693"/>
      <c r="K13" s="693"/>
      <c r="L13" s="763"/>
      <c r="M13" s="743"/>
      <c r="N13" s="78" t="s">
        <v>1913</v>
      </c>
      <c r="O13" s="457">
        <v>433</v>
      </c>
      <c r="P13" s="78" t="s">
        <v>1912</v>
      </c>
      <c r="Q13" s="274">
        <v>54175332</v>
      </c>
      <c r="R13" s="46"/>
      <c r="S13" s="330">
        <v>877</v>
      </c>
      <c r="T13" s="273">
        <v>44768</v>
      </c>
      <c r="U13" s="274">
        <v>54175332</v>
      </c>
      <c r="V13" s="329">
        <v>3851</v>
      </c>
      <c r="W13" s="273" t="s">
        <v>2859</v>
      </c>
      <c r="X13" s="274">
        <v>10843733</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15" x14ac:dyDescent="0.25">
      <c r="A14" s="693"/>
      <c r="B14" s="767"/>
      <c r="C14" s="690"/>
      <c r="D14" s="737"/>
      <c r="E14" s="690"/>
      <c r="F14" s="711"/>
      <c r="G14" s="711"/>
      <c r="H14" s="693"/>
      <c r="I14" s="693"/>
      <c r="J14" s="693"/>
      <c r="K14" s="693"/>
      <c r="L14" s="763"/>
      <c r="M14" s="743"/>
      <c r="N14" s="78"/>
      <c r="O14" s="330"/>
      <c r="P14" s="78"/>
      <c r="Q14" s="274"/>
      <c r="R14" s="46"/>
      <c r="S14" s="330"/>
      <c r="T14" s="273"/>
      <c r="U14" s="274"/>
      <c r="V14" s="377">
        <v>3854</v>
      </c>
      <c r="W14" s="273" t="s">
        <v>2859</v>
      </c>
      <c r="X14" s="274">
        <v>12276992</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15" x14ac:dyDescent="0.25">
      <c r="A15" s="693"/>
      <c r="B15" s="767"/>
      <c r="C15" s="690"/>
      <c r="D15" s="737"/>
      <c r="E15" s="690"/>
      <c r="F15" s="711"/>
      <c r="G15" s="711"/>
      <c r="H15" s="693"/>
      <c r="I15" s="693"/>
      <c r="J15" s="693"/>
      <c r="K15" s="693"/>
      <c r="L15" s="763"/>
      <c r="M15" s="743"/>
      <c r="N15" s="78"/>
      <c r="O15" s="330"/>
      <c r="P15" s="78"/>
      <c r="Q15" s="274"/>
      <c r="R15" s="46"/>
      <c r="S15" s="330"/>
      <c r="T15" s="273"/>
      <c r="U15" s="274"/>
      <c r="V15" s="377">
        <v>3855</v>
      </c>
      <c r="W15" s="273" t="s">
        <v>2859</v>
      </c>
      <c r="X15" s="274">
        <v>12022400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15" x14ac:dyDescent="0.25">
      <c r="A16" s="693"/>
      <c r="B16" s="767"/>
      <c r="C16" s="690"/>
      <c r="D16" s="556"/>
      <c r="E16" s="554"/>
      <c r="F16" s="561"/>
      <c r="G16" s="561"/>
      <c r="H16" s="551"/>
      <c r="I16" s="48"/>
      <c r="J16" s="551"/>
      <c r="K16" s="551"/>
      <c r="L16" s="565"/>
      <c r="M16" s="743"/>
      <c r="N16" s="78"/>
      <c r="O16" s="330"/>
      <c r="P16" s="78"/>
      <c r="Q16" s="274"/>
      <c r="R16" s="46"/>
      <c r="S16" s="330"/>
      <c r="T16" s="273"/>
      <c r="U16" s="274"/>
      <c r="V16" s="568">
        <v>4440</v>
      </c>
      <c r="W16" s="273" t="s">
        <v>2860</v>
      </c>
      <c r="X16" s="274">
        <v>9027408</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15" x14ac:dyDescent="0.25">
      <c r="A17" s="693"/>
      <c r="B17" s="767"/>
      <c r="C17" s="690"/>
      <c r="D17" s="556"/>
      <c r="E17" s="554"/>
      <c r="F17" s="561"/>
      <c r="G17" s="561"/>
      <c r="H17" s="551"/>
      <c r="I17" s="48"/>
      <c r="J17" s="551"/>
      <c r="K17" s="551"/>
      <c r="L17" s="565"/>
      <c r="M17" s="743"/>
      <c r="N17" s="78"/>
      <c r="O17" s="330"/>
      <c r="P17" s="78"/>
      <c r="Q17" s="274"/>
      <c r="R17" s="46"/>
      <c r="S17" s="330"/>
      <c r="T17" s="273"/>
      <c r="U17" s="274"/>
      <c r="V17" s="568">
        <v>4441</v>
      </c>
      <c r="W17" s="273" t="s">
        <v>2860</v>
      </c>
      <c r="X17" s="274">
        <v>10004799</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15" x14ac:dyDescent="0.25">
      <c r="A18" s="693"/>
      <c r="B18" s="767"/>
      <c r="C18" s="690"/>
      <c r="D18" s="419"/>
      <c r="E18" s="414"/>
      <c r="F18" s="422"/>
      <c r="G18" s="422"/>
      <c r="H18" s="409"/>
      <c r="I18" s="48"/>
      <c r="J18" s="409"/>
      <c r="K18" s="409"/>
      <c r="L18" s="426"/>
      <c r="M18" s="743"/>
      <c r="N18" s="78" t="s">
        <v>2367</v>
      </c>
      <c r="O18" s="457" t="s">
        <v>2368</v>
      </c>
      <c r="P18" s="78" t="s">
        <v>2369</v>
      </c>
      <c r="Q18" s="274">
        <v>1463904</v>
      </c>
      <c r="R18" s="46"/>
      <c r="S18" s="330">
        <v>1471</v>
      </c>
      <c r="T18" s="273" t="s">
        <v>2780</v>
      </c>
      <c r="U18" s="274">
        <v>1463904</v>
      </c>
      <c r="V18" s="443">
        <v>5906</v>
      </c>
      <c r="W18" s="273" t="s">
        <v>2791</v>
      </c>
      <c r="X18" s="274">
        <v>1463904</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40.5" x14ac:dyDescent="0.25">
      <c r="A19" s="694"/>
      <c r="B19" s="768"/>
      <c r="C19" s="691"/>
      <c r="D19" s="44" t="s">
        <v>769</v>
      </c>
      <c r="E19" s="8" t="s">
        <v>156</v>
      </c>
      <c r="F19" s="289">
        <v>61651222</v>
      </c>
      <c r="G19" s="289">
        <v>61651221</v>
      </c>
      <c r="H19" s="44"/>
      <c r="I19" s="45"/>
      <c r="J19" s="44"/>
      <c r="K19" s="44"/>
      <c r="L19" s="65">
        <f>+F19+G19+H19+J19-K19</f>
        <v>123302443</v>
      </c>
      <c r="M19" s="744"/>
      <c r="N19" s="78" t="s">
        <v>1394</v>
      </c>
      <c r="O19" s="457" t="s">
        <v>1395</v>
      </c>
      <c r="P19" s="78" t="s">
        <v>1396</v>
      </c>
      <c r="Q19" s="274">
        <v>98653980</v>
      </c>
      <c r="R19" s="46"/>
      <c r="S19" s="44">
        <v>665</v>
      </c>
      <c r="T19" s="79">
        <v>44707</v>
      </c>
      <c r="U19" s="267">
        <v>98653980</v>
      </c>
      <c r="V19" s="377">
        <v>5035</v>
      </c>
      <c r="W19" s="273">
        <v>44826</v>
      </c>
      <c r="X19" s="274">
        <v>98653980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107" customFormat="1" ht="15" x14ac:dyDescent="0.25">
      <c r="A20" s="92"/>
      <c r="B20" s="92"/>
      <c r="C20" s="92"/>
      <c r="D20" s="92"/>
      <c r="E20" s="104"/>
      <c r="F20" s="101"/>
      <c r="G20" s="101"/>
      <c r="H20" s="92"/>
      <c r="I20" s="93"/>
      <c r="J20" s="92"/>
      <c r="K20" s="92"/>
      <c r="L20" s="102">
        <f>SUM(L8:L19)</f>
        <v>231626668</v>
      </c>
      <c r="M20" s="101"/>
      <c r="N20" s="105"/>
      <c r="O20" s="86"/>
      <c r="P20" s="95"/>
      <c r="Q20" s="103">
        <f>SUM(Q8:Q19)</f>
        <v>202193050</v>
      </c>
      <c r="R20" s="89"/>
      <c r="S20" s="86"/>
      <c r="T20" s="95"/>
      <c r="U20" s="103">
        <f>SUM(U8:U19)</f>
        <v>202193050</v>
      </c>
      <c r="V20" s="86"/>
      <c r="W20" s="95"/>
      <c r="X20" s="103">
        <f>SUM(X8:XFD19)</f>
        <v>202193050</v>
      </c>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row>
    <row r="21" spans="1:129" s="112" customFormat="1" ht="40.5" customHeight="1" x14ac:dyDescent="0.25">
      <c r="A21" s="303"/>
      <c r="B21" s="766" t="s">
        <v>1550</v>
      </c>
      <c r="C21" s="689" t="s">
        <v>10</v>
      </c>
      <c r="D21" s="129" t="s">
        <v>2196</v>
      </c>
      <c r="E21" s="8" t="s">
        <v>165</v>
      </c>
      <c r="F21" s="244"/>
      <c r="G21" s="244"/>
      <c r="H21" s="274">
        <v>70781795</v>
      </c>
      <c r="I21" s="330"/>
      <c r="J21" s="330"/>
      <c r="K21" s="330"/>
      <c r="L21" s="216">
        <f>+F21+G21+H21+J21-K21</f>
        <v>70781795</v>
      </c>
      <c r="M21" s="687">
        <v>219733506</v>
      </c>
      <c r="N21" s="78" t="s">
        <v>2370</v>
      </c>
      <c r="O21" s="154" t="s">
        <v>885</v>
      </c>
      <c r="P21" s="81" t="s">
        <v>2374</v>
      </c>
      <c r="Q21" s="275"/>
      <c r="R21" s="46"/>
      <c r="S21" s="309"/>
      <c r="T21" s="47"/>
      <c r="U21" s="324"/>
      <c r="V21" s="309"/>
      <c r="W21" s="47"/>
      <c r="X21" s="210"/>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row>
    <row r="22" spans="1:129" s="112" customFormat="1" ht="27" x14ac:dyDescent="0.25">
      <c r="A22" s="359"/>
      <c r="B22" s="767"/>
      <c r="C22" s="690"/>
      <c r="D22" s="129" t="s">
        <v>2198</v>
      </c>
      <c r="E22" s="8" t="s">
        <v>111</v>
      </c>
      <c r="F22" s="244"/>
      <c r="G22" s="244"/>
      <c r="H22" s="274">
        <v>99321779</v>
      </c>
      <c r="I22" s="330"/>
      <c r="J22" s="330"/>
      <c r="K22" s="330"/>
      <c r="L22" s="216">
        <f t="shared" ref="L22:L28" si="0">+F22+G22+H22+J22-K22</f>
        <v>99321779</v>
      </c>
      <c r="M22" s="688"/>
      <c r="N22" s="78" t="s">
        <v>2370</v>
      </c>
      <c r="O22" s="154" t="s">
        <v>885</v>
      </c>
      <c r="P22" s="81" t="s">
        <v>2214</v>
      </c>
      <c r="Q22" s="275"/>
      <c r="R22" s="46"/>
      <c r="S22" s="358"/>
      <c r="T22" s="47"/>
      <c r="U22" s="361"/>
      <c r="V22" s="358"/>
      <c r="W22" s="47"/>
      <c r="X22" s="210"/>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row>
    <row r="23" spans="1:129" s="112" customFormat="1" ht="27" x14ac:dyDescent="0.25">
      <c r="A23" s="359"/>
      <c r="B23" s="767"/>
      <c r="C23" s="690"/>
      <c r="D23" s="129" t="s">
        <v>2202</v>
      </c>
      <c r="E23" s="8" t="s">
        <v>246</v>
      </c>
      <c r="F23" s="244"/>
      <c r="G23" s="244"/>
      <c r="H23" s="274">
        <v>16947849</v>
      </c>
      <c r="I23" s="330"/>
      <c r="J23" s="330"/>
      <c r="K23" s="330"/>
      <c r="L23" s="216">
        <f t="shared" si="0"/>
        <v>16947849</v>
      </c>
      <c r="M23" s="688"/>
      <c r="N23" s="78" t="s">
        <v>2370</v>
      </c>
      <c r="O23" s="154" t="s">
        <v>885</v>
      </c>
      <c r="P23" s="81" t="s">
        <v>2214</v>
      </c>
      <c r="Q23" s="275"/>
      <c r="R23" s="46"/>
      <c r="S23" s="358"/>
      <c r="T23" s="47"/>
      <c r="U23" s="361"/>
      <c r="V23" s="358"/>
      <c r="W23" s="47"/>
      <c r="X23" s="210"/>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row>
    <row r="24" spans="1:129" s="112" customFormat="1" ht="27" x14ac:dyDescent="0.25">
      <c r="A24" s="359"/>
      <c r="B24" s="767"/>
      <c r="C24" s="690"/>
      <c r="D24" s="359" t="s">
        <v>2203</v>
      </c>
      <c r="E24" s="8" t="s">
        <v>978</v>
      </c>
      <c r="F24" s="244"/>
      <c r="G24" s="244"/>
      <c r="H24" s="274">
        <v>2687258</v>
      </c>
      <c r="I24" s="330"/>
      <c r="J24" s="330"/>
      <c r="K24" s="330"/>
      <c r="L24" s="216">
        <f t="shared" si="0"/>
        <v>2687258</v>
      </c>
      <c r="M24" s="688"/>
      <c r="N24" s="78" t="s">
        <v>2370</v>
      </c>
      <c r="O24" s="154" t="s">
        <v>885</v>
      </c>
      <c r="P24" s="81" t="s">
        <v>2371</v>
      </c>
      <c r="Q24" s="275"/>
      <c r="R24" s="46"/>
      <c r="S24" s="358"/>
      <c r="T24" s="47"/>
      <c r="U24" s="361"/>
      <c r="V24" s="358"/>
      <c r="W24" s="47"/>
      <c r="X24" s="210"/>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row>
    <row r="25" spans="1:129" s="112" customFormat="1" ht="27" x14ac:dyDescent="0.25">
      <c r="A25" s="359"/>
      <c r="B25" s="767"/>
      <c r="C25" s="690"/>
      <c r="D25" s="129" t="s">
        <v>2197</v>
      </c>
      <c r="E25" s="8" t="s">
        <v>165</v>
      </c>
      <c r="F25" s="244"/>
      <c r="G25" s="244"/>
      <c r="H25" s="274">
        <v>12420149</v>
      </c>
      <c r="I25" s="330"/>
      <c r="J25" s="330"/>
      <c r="K25" s="330"/>
      <c r="L25" s="216">
        <f t="shared" si="0"/>
        <v>12420149</v>
      </c>
      <c r="M25" s="688"/>
      <c r="N25" s="78" t="s">
        <v>2370</v>
      </c>
      <c r="O25" s="154" t="s">
        <v>885</v>
      </c>
      <c r="P25" s="81" t="s">
        <v>2373</v>
      </c>
      <c r="Q25" s="275"/>
      <c r="R25" s="46"/>
      <c r="S25" s="358"/>
      <c r="T25" s="47"/>
      <c r="U25" s="361"/>
      <c r="V25" s="358"/>
      <c r="W25" s="47"/>
      <c r="X25" s="210"/>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row>
    <row r="26" spans="1:129" s="112" customFormat="1" ht="25.5" x14ac:dyDescent="0.25">
      <c r="A26" s="359"/>
      <c r="B26" s="767"/>
      <c r="C26" s="690"/>
      <c r="D26" s="330" t="s">
        <v>2200</v>
      </c>
      <c r="E26" s="8" t="s">
        <v>1137</v>
      </c>
      <c r="F26" s="244"/>
      <c r="G26" s="244"/>
      <c r="H26" s="274">
        <v>5556217</v>
      </c>
      <c r="I26" s="330"/>
      <c r="J26" s="330"/>
      <c r="K26" s="330"/>
      <c r="L26" s="216">
        <f t="shared" si="0"/>
        <v>5556217</v>
      </c>
      <c r="M26" s="688"/>
      <c r="N26" s="78" t="s">
        <v>2370</v>
      </c>
      <c r="O26" s="154" t="s">
        <v>885</v>
      </c>
      <c r="P26" s="81" t="s">
        <v>2375</v>
      </c>
      <c r="Q26" s="275"/>
      <c r="R26" s="46"/>
      <c r="S26" s="358"/>
      <c r="T26" s="47"/>
      <c r="U26" s="361"/>
      <c r="V26" s="358"/>
      <c r="W26" s="47"/>
      <c r="X26" s="210"/>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row>
    <row r="27" spans="1:129" s="112" customFormat="1" ht="27" x14ac:dyDescent="0.25">
      <c r="A27" s="359"/>
      <c r="B27" s="767"/>
      <c r="C27" s="690"/>
      <c r="D27" s="129" t="s">
        <v>2199</v>
      </c>
      <c r="E27" s="8" t="s">
        <v>111</v>
      </c>
      <c r="F27" s="244"/>
      <c r="G27" s="244"/>
      <c r="H27" s="274">
        <v>8377154</v>
      </c>
      <c r="I27" s="330"/>
      <c r="J27" s="330"/>
      <c r="K27" s="330"/>
      <c r="L27" s="216">
        <f t="shared" si="0"/>
        <v>8377154</v>
      </c>
      <c r="M27" s="688"/>
      <c r="N27" s="78" t="s">
        <v>2370</v>
      </c>
      <c r="O27" s="154" t="s">
        <v>885</v>
      </c>
      <c r="P27" s="81" t="s">
        <v>2372</v>
      </c>
      <c r="Q27" s="275"/>
      <c r="R27" s="46"/>
      <c r="S27" s="358"/>
      <c r="T27" s="47"/>
      <c r="U27" s="361"/>
      <c r="V27" s="358"/>
      <c r="W27" s="47"/>
      <c r="X27" s="210"/>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row>
    <row r="28" spans="1:129" s="112" customFormat="1" ht="27" x14ac:dyDescent="0.25">
      <c r="A28" s="359"/>
      <c r="B28" s="768"/>
      <c r="C28" s="691"/>
      <c r="D28" s="129" t="s">
        <v>2201</v>
      </c>
      <c r="E28" s="8" t="s">
        <v>246</v>
      </c>
      <c r="F28" s="244"/>
      <c r="G28" s="244"/>
      <c r="H28" s="274">
        <v>3641305</v>
      </c>
      <c r="I28" s="330"/>
      <c r="J28" s="330"/>
      <c r="K28" s="330"/>
      <c r="L28" s="216">
        <f t="shared" si="0"/>
        <v>3641305</v>
      </c>
      <c r="M28" s="698"/>
      <c r="N28" s="78" t="s">
        <v>2370</v>
      </c>
      <c r="O28" s="154" t="s">
        <v>885</v>
      </c>
      <c r="P28" s="81" t="s">
        <v>2214</v>
      </c>
      <c r="Q28" s="349"/>
      <c r="R28" s="46"/>
      <c r="S28" s="358"/>
      <c r="T28" s="47"/>
      <c r="U28" s="361"/>
      <c r="V28" s="358"/>
      <c r="W28" s="47"/>
      <c r="X28" s="210"/>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row>
    <row r="29" spans="1:129" s="107" customFormat="1" ht="15" x14ac:dyDescent="0.25">
      <c r="A29" s="92"/>
      <c r="B29" s="92"/>
      <c r="C29" s="86"/>
      <c r="D29" s="86"/>
      <c r="E29" s="116"/>
      <c r="F29" s="103"/>
      <c r="G29" s="103"/>
      <c r="H29" s="86"/>
      <c r="I29" s="86"/>
      <c r="J29" s="86"/>
      <c r="K29" s="86"/>
      <c r="L29" s="88">
        <f>SUM(L21:L28)</f>
        <v>219733506</v>
      </c>
      <c r="M29" s="103"/>
      <c r="N29" s="105"/>
      <c r="O29" s="86"/>
      <c r="P29" s="95"/>
      <c r="Q29" s="103">
        <f>SUM(Q21:Q28)</f>
        <v>0</v>
      </c>
      <c r="R29" s="119"/>
      <c r="S29" s="86"/>
      <c r="T29" s="95"/>
      <c r="U29" s="103">
        <f>SUM(U21:U28)</f>
        <v>0</v>
      </c>
      <c r="V29" s="86"/>
      <c r="W29" s="95"/>
      <c r="X29" s="103">
        <f>SUM(X21:X28)</f>
        <v>0</v>
      </c>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row>
    <row r="30" spans="1:129" s="63" customFormat="1" ht="17.25" thickBot="1" x14ac:dyDescent="0.35">
      <c r="A30" s="51"/>
      <c r="B30" s="51"/>
      <c r="C30" s="220"/>
      <c r="D30" s="220"/>
      <c r="E30" s="220"/>
      <c r="F30" s="221"/>
      <c r="G30" s="220"/>
      <c r="H30" s="220"/>
      <c r="I30" s="217"/>
      <c r="J30" s="53" t="s">
        <v>29</v>
      </c>
      <c r="K30" s="54"/>
      <c r="L30" s="55">
        <f>+L29+L20</f>
        <v>451360174</v>
      </c>
      <c r="M30" s="56"/>
      <c r="N30" s="56"/>
      <c r="O30" s="56"/>
      <c r="P30" s="56"/>
      <c r="Q30" s="67">
        <f>+Q29+Q20</f>
        <v>202193050</v>
      </c>
      <c r="R30" s="340">
        <f>(Q30*1)/L30</f>
        <v>0.44796386931559451</v>
      </c>
      <c r="S30" s="327"/>
      <c r="T30" s="113"/>
      <c r="U30" s="114">
        <f>+U29+U20</f>
        <v>202193050</v>
      </c>
      <c r="V30" s="327"/>
      <c r="W30" s="113"/>
      <c r="X30" s="115">
        <f>+X29+X20</f>
        <v>202193050</v>
      </c>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row>
    <row r="31" spans="1:129" ht="15" x14ac:dyDescent="0.25">
      <c r="R31" s="4"/>
    </row>
    <row r="32" spans="1:129" ht="15" x14ac:dyDescent="0.25">
      <c r="Q32" s="39"/>
      <c r="R32" s="6"/>
      <c r="S32" s="39"/>
    </row>
    <row r="33" spans="17:19" ht="15" x14ac:dyDescent="0.25">
      <c r="Q33" s="39"/>
      <c r="R33" s="6"/>
      <c r="S33" s="39"/>
    </row>
    <row r="34" spans="17:19" ht="15" x14ac:dyDescent="0.25">
      <c r="Q34" s="39"/>
      <c r="R34" s="6"/>
      <c r="S34" s="39"/>
    </row>
    <row r="35" spans="17:19" ht="15" x14ac:dyDescent="0.25">
      <c r="Q35" s="39"/>
      <c r="R35" s="6"/>
      <c r="S35" s="39"/>
    </row>
    <row r="36" spans="17:19" ht="15" x14ac:dyDescent="0.25">
      <c r="Q36" s="39"/>
      <c r="R36" s="6"/>
      <c r="S36" s="39"/>
    </row>
    <row r="37" spans="17:19" ht="15" x14ac:dyDescent="0.25">
      <c r="Q37" s="39"/>
      <c r="R37" s="6"/>
      <c r="S37" s="39"/>
    </row>
    <row r="38" spans="17:19" ht="15" x14ac:dyDescent="0.25">
      <c r="Q38" s="39"/>
      <c r="R38" s="6"/>
      <c r="S38" s="39"/>
    </row>
    <row r="39" spans="17:19" ht="15" x14ac:dyDescent="0.25">
      <c r="Q39" s="39"/>
      <c r="R39" s="6"/>
      <c r="S39" s="39"/>
    </row>
    <row r="40" spans="17:19" ht="15" x14ac:dyDescent="0.25">
      <c r="Q40" s="39"/>
      <c r="R40" s="7"/>
      <c r="S40" s="39"/>
    </row>
    <row r="41" spans="17:19" ht="15" x14ac:dyDescent="0.25"/>
    <row r="42" spans="17:19" ht="15" x14ac:dyDescent="0.25"/>
    <row r="43" spans="17:19" ht="15" x14ac:dyDescent="0.25"/>
    <row r="44" spans="17:19" ht="15" x14ac:dyDescent="0.25"/>
    <row r="45" spans="17:19" ht="15" x14ac:dyDescent="0.25"/>
    <row r="46" spans="17:19" ht="15" x14ac:dyDescent="0.25"/>
    <row r="47" spans="17:19" ht="15" x14ac:dyDescent="0.25"/>
    <row r="48" spans="17:19"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customHeight="1" x14ac:dyDescent="0.25"/>
    <row r="84" ht="15"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sheetData>
  <sheetProtection algorithmName="SHA-512" hashValue="fFb2BmjQXkmj7N/29a9GMT2cvDXSx83sLCA/PgdArqMHDRi1w+p3EnVME3dd86naMYKuluNsW6DEa5qcPHpuXA==" saltValue="1Q7cuwIgeolSih42ZDJnRA==" spinCount="100000" sheet="1" objects="1" scenarios="1" selectLockedCells="1" selectUnlockedCells="1"/>
  <mergeCells count="24">
    <mergeCell ref="A8:A19"/>
    <mergeCell ref="B8:B19"/>
    <mergeCell ref="C8:C19"/>
    <mergeCell ref="M8:M19"/>
    <mergeCell ref="A2:A5"/>
    <mergeCell ref="B2:V2"/>
    <mergeCell ref="D8:D15"/>
    <mergeCell ref="J8:J15"/>
    <mergeCell ref="K8:K15"/>
    <mergeCell ref="L8:L15"/>
    <mergeCell ref="E8:E15"/>
    <mergeCell ref="F8:F15"/>
    <mergeCell ref="G8:G15"/>
    <mergeCell ref="H8:H15"/>
    <mergeCell ref="I8:I15"/>
    <mergeCell ref="B21:B28"/>
    <mergeCell ref="C21:C28"/>
    <mergeCell ref="W2:X2"/>
    <mergeCell ref="B3:V3"/>
    <mergeCell ref="W3:X3"/>
    <mergeCell ref="B4:V5"/>
    <mergeCell ref="W4:X4"/>
    <mergeCell ref="W5:X5"/>
    <mergeCell ref="M21:M28"/>
  </mergeCells>
  <conditionalFormatting sqref="R40:R1048576 R30 R7:R19">
    <cfRule type="cellIs" dxfId="799" priority="11" operator="between">
      <formula>0.51</formula>
      <formula>0.69</formula>
    </cfRule>
    <cfRule type="cellIs" dxfId="798" priority="12" operator="between">
      <formula>0.51</formula>
      <formula>0.69</formula>
    </cfRule>
    <cfRule type="cellIs" dxfId="797" priority="13" operator="lessThan">
      <formula>0.5</formula>
    </cfRule>
    <cfRule type="cellIs" dxfId="796" priority="14" operator="greaterThan">
      <formula>0.7</formula>
    </cfRule>
    <cfRule type="cellIs" dxfId="795" priority="15" operator="between">
      <formula>0.51</formula>
      <formula>0.69</formula>
    </cfRule>
    <cfRule type="cellIs" dxfId="794" priority="16" operator="lessThan">
      <formula>50</formula>
    </cfRule>
    <cfRule type="cellIs" dxfId="793" priority="17" operator="greaterThan">
      <formula>0.7</formula>
    </cfRule>
    <cfRule type="cellIs" dxfId="792" priority="18" operator="between">
      <formula>0.51</formula>
      <formula>0.69</formula>
    </cfRule>
    <cfRule type="cellIs" dxfId="791" priority="19" operator="lessThan">
      <formula>0.5</formula>
    </cfRule>
    <cfRule type="cellIs" dxfId="790" priority="20" operator="greaterThan">
      <formula>0.7</formula>
    </cfRule>
  </conditionalFormatting>
  <conditionalFormatting sqref="R20:R29">
    <cfRule type="cellIs" dxfId="789" priority="1" operator="between">
      <formula>0.51</formula>
      <formula>0.69</formula>
    </cfRule>
    <cfRule type="cellIs" dxfId="788" priority="2" operator="between">
      <formula>0.51</formula>
      <formula>0.69</formula>
    </cfRule>
    <cfRule type="cellIs" dxfId="787" priority="3" operator="lessThan">
      <formula>0.5</formula>
    </cfRule>
    <cfRule type="cellIs" dxfId="786" priority="4" operator="greaterThan">
      <formula>0.7</formula>
    </cfRule>
    <cfRule type="cellIs" dxfId="785" priority="5" operator="between">
      <formula>0.51</formula>
      <formula>0.69</formula>
    </cfRule>
    <cfRule type="cellIs" dxfId="784" priority="6" operator="lessThan">
      <formula>50</formula>
    </cfRule>
    <cfRule type="cellIs" dxfId="783" priority="7" operator="greaterThan">
      <formula>0.7</formula>
    </cfRule>
    <cfRule type="cellIs" dxfId="782" priority="8" operator="between">
      <formula>0.51</formula>
      <formula>0.69</formula>
    </cfRule>
    <cfRule type="cellIs" dxfId="781" priority="9" operator="lessThan">
      <formula>0.5</formula>
    </cfRule>
    <cfRule type="cellIs" dxfId="780" priority="10" operator="greaterThan">
      <formula>0.7</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482B"/>
  </sheetPr>
  <dimension ref="A1:EC864"/>
  <sheetViews>
    <sheetView showGridLines="0" topLeftCell="A7" zoomScale="80" zoomScaleNormal="80" workbookViewId="0">
      <pane ySplit="1" topLeftCell="A8" activePane="bottomLeft" state="frozen"/>
      <selection activeCell="A7" sqref="A7"/>
      <selection pane="bottomLeft" activeCell="V42" sqref="V42"/>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5.7109375" style="40" hidden="1" customWidth="1"/>
    <col min="9" max="9" width="16.7109375" style="40" hidden="1" customWidth="1"/>
    <col min="10" max="10" width="16.7109375" style="326" hidden="1" customWidth="1"/>
    <col min="11" max="11" width="16.7109375" style="40" hidden="1" customWidth="1"/>
    <col min="12" max="12" width="16.5703125" style="40" hidden="1" customWidth="1"/>
    <col min="13" max="13" width="18" style="40" customWidth="1"/>
    <col min="14" max="14" width="17.7109375" style="40" bestFit="1" customWidth="1"/>
    <col min="15" max="15" width="15.7109375" style="40" customWidth="1"/>
    <col min="16" max="16" width="11.42578125" style="40" customWidth="1"/>
    <col min="17" max="17" width="15.42578125" style="40" customWidth="1"/>
    <col min="18" max="18" width="17.28515625" style="40" bestFit="1" customWidth="1"/>
    <col min="19" max="19" width="11.5703125" style="3" bestFit="1" customWidth="1"/>
    <col min="20" max="20" width="11.42578125" style="40" customWidth="1"/>
    <col min="21" max="21" width="16.7109375" style="35" bestFit="1" customWidth="1"/>
    <col min="22" max="22" width="17.28515625" style="40" bestFit="1" customWidth="1"/>
    <col min="23" max="23" width="11.42578125" style="40" customWidth="1"/>
    <col min="24" max="24" width="14.5703125" style="35" customWidth="1"/>
    <col min="25" max="25" width="22.28515625" style="40" bestFit="1" customWidth="1"/>
    <col min="26" max="130" width="11.5703125" style="39" hidden="1" customWidth="1"/>
    <col min="131" max="133" width="11.5703125" style="40" hidden="1" customWidth="1"/>
    <col min="134" max="16384" width="11.42578125" style="40" hidden="1"/>
  </cols>
  <sheetData>
    <row r="1" spans="1:130" ht="15" hidden="1" x14ac:dyDescent="0.25">
      <c r="A1" s="24"/>
      <c r="B1" s="25"/>
      <c r="C1" s="25"/>
      <c r="D1" s="26"/>
      <c r="E1" s="26"/>
      <c r="F1" s="27"/>
      <c r="G1" s="28"/>
      <c r="H1" s="28"/>
      <c r="I1" s="28"/>
      <c r="J1" s="28"/>
      <c r="K1" s="28"/>
      <c r="L1" s="29"/>
      <c r="M1" s="24"/>
      <c r="N1" s="24"/>
      <c r="O1" s="24"/>
      <c r="P1" s="24"/>
      <c r="Q1" s="24"/>
      <c r="R1" s="24"/>
      <c r="S1" s="24"/>
      <c r="T1" s="24"/>
      <c r="U1" s="36"/>
      <c r="V1" s="24"/>
      <c r="W1" s="24"/>
      <c r="X1" s="36"/>
    </row>
    <row r="2" spans="1:130"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09"/>
      <c r="X2" s="730" t="s">
        <v>86</v>
      </c>
      <c r="Y2" s="730"/>
    </row>
    <row r="3" spans="1:130"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1"/>
      <c r="X3" s="730" t="s">
        <v>88</v>
      </c>
      <c r="Y3" s="730"/>
    </row>
    <row r="4" spans="1:130"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1"/>
      <c r="X4" s="730" t="s">
        <v>90</v>
      </c>
      <c r="Y4" s="730"/>
    </row>
    <row r="5" spans="1:130"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1"/>
      <c r="X5" s="730" t="s">
        <v>91</v>
      </c>
      <c r="Y5" s="730"/>
    </row>
    <row r="6" spans="1:130" ht="15" hidden="1" x14ac:dyDescent="0.25">
      <c r="A6" s="24"/>
      <c r="B6" s="24"/>
      <c r="C6" s="24"/>
      <c r="D6" s="24"/>
      <c r="E6" s="24"/>
      <c r="F6" s="24"/>
      <c r="G6" s="24"/>
      <c r="H6" s="24"/>
      <c r="I6" s="24"/>
      <c r="J6" s="24"/>
      <c r="K6" s="24"/>
      <c r="L6" s="24"/>
      <c r="M6" s="24"/>
      <c r="N6" s="24"/>
      <c r="O6" s="24"/>
      <c r="P6" s="24"/>
      <c r="Q6" s="24"/>
      <c r="R6" s="24"/>
      <c r="S6" s="24"/>
      <c r="T6" s="24"/>
      <c r="U6" s="36"/>
      <c r="V6" s="24"/>
      <c r="W6" s="24"/>
      <c r="X6" s="36"/>
    </row>
    <row r="7" spans="1:130" s="34" customFormat="1" ht="63.75" x14ac:dyDescent="0.25">
      <c r="A7" s="41" t="s">
        <v>0</v>
      </c>
      <c r="B7" s="41" t="s">
        <v>1</v>
      </c>
      <c r="C7" s="41" t="s">
        <v>2</v>
      </c>
      <c r="D7" s="41" t="s">
        <v>103</v>
      </c>
      <c r="E7" s="41" t="s">
        <v>30</v>
      </c>
      <c r="F7" s="41" t="s">
        <v>96</v>
      </c>
      <c r="G7" s="41" t="s">
        <v>871</v>
      </c>
      <c r="H7" s="41" t="s">
        <v>1134</v>
      </c>
      <c r="I7" s="41" t="s">
        <v>1135</v>
      </c>
      <c r="J7" s="41" t="s">
        <v>1547</v>
      </c>
      <c r="K7" s="41" t="s">
        <v>98</v>
      </c>
      <c r="L7" s="41" t="s">
        <v>99</v>
      </c>
      <c r="M7" s="41" t="s">
        <v>3</v>
      </c>
      <c r="N7" s="41" t="s">
        <v>4</v>
      </c>
      <c r="O7" s="41" t="s">
        <v>28</v>
      </c>
      <c r="P7" s="41" t="s">
        <v>21</v>
      </c>
      <c r="Q7" s="41" t="s">
        <v>65</v>
      </c>
      <c r="R7" s="41" t="s">
        <v>31</v>
      </c>
      <c r="S7" s="32" t="s">
        <v>62</v>
      </c>
      <c r="T7" s="41" t="s">
        <v>22</v>
      </c>
      <c r="U7" s="37" t="s">
        <v>23</v>
      </c>
      <c r="V7" s="41" t="s">
        <v>24</v>
      </c>
      <c r="W7" s="41" t="s">
        <v>25</v>
      </c>
      <c r="X7" s="37" t="s">
        <v>26</v>
      </c>
      <c r="Y7" s="41" t="s">
        <v>27</v>
      </c>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row>
    <row r="8" spans="1:130" s="50" customFormat="1" ht="27" customHeight="1" x14ac:dyDescent="0.25">
      <c r="A8" s="692" t="s">
        <v>163</v>
      </c>
      <c r="B8" s="766" t="s">
        <v>164</v>
      </c>
      <c r="C8" s="689" t="s">
        <v>82</v>
      </c>
      <c r="D8" s="692" t="s">
        <v>770</v>
      </c>
      <c r="E8" s="705" t="s">
        <v>165</v>
      </c>
      <c r="F8" s="289">
        <v>40000000</v>
      </c>
      <c r="G8" s="289">
        <v>34000000</v>
      </c>
      <c r="H8" s="44"/>
      <c r="I8" s="45"/>
      <c r="J8" s="45"/>
      <c r="K8" s="274">
        <v>146000000</v>
      </c>
      <c r="L8" s="66">
        <v>0</v>
      </c>
      <c r="M8" s="758">
        <f>+F8+G8+H8+I8+K8-L8</f>
        <v>220000000</v>
      </c>
      <c r="N8" s="742">
        <v>505674630</v>
      </c>
      <c r="O8" s="80" t="s">
        <v>2234</v>
      </c>
      <c r="P8" s="459" t="s">
        <v>2237</v>
      </c>
      <c r="Q8" s="80" t="s">
        <v>2236</v>
      </c>
      <c r="R8" s="465">
        <v>146000000</v>
      </c>
      <c r="S8" s="46"/>
      <c r="T8" s="521">
        <v>1364</v>
      </c>
      <c r="U8" s="273" t="s">
        <v>2774</v>
      </c>
      <c r="V8" s="465">
        <v>146000000</v>
      </c>
      <c r="W8" s="568">
        <v>5867</v>
      </c>
      <c r="X8" s="273" t="s">
        <v>2804</v>
      </c>
      <c r="Y8" s="169">
        <v>146000000</v>
      </c>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row>
    <row r="9" spans="1:130" s="50" customFormat="1" ht="15" x14ac:dyDescent="0.25">
      <c r="A9" s="693"/>
      <c r="B9" s="767"/>
      <c r="C9" s="690"/>
      <c r="D9" s="693"/>
      <c r="E9" s="706"/>
      <c r="F9" s="421"/>
      <c r="G9" s="421"/>
      <c r="H9" s="408"/>
      <c r="I9" s="344"/>
      <c r="J9" s="344"/>
      <c r="K9" s="416"/>
      <c r="L9" s="416"/>
      <c r="M9" s="763"/>
      <c r="N9" s="743"/>
      <c r="O9" s="80" t="s">
        <v>2376</v>
      </c>
      <c r="P9" s="459" t="s">
        <v>2377</v>
      </c>
      <c r="Q9" s="80" t="s">
        <v>2378</v>
      </c>
      <c r="R9" s="274">
        <v>51278409</v>
      </c>
      <c r="S9" s="46"/>
      <c r="T9" s="521">
        <v>1363</v>
      </c>
      <c r="U9" s="273" t="s">
        <v>2774</v>
      </c>
      <c r="V9" s="274">
        <v>51278409</v>
      </c>
      <c r="W9" s="568">
        <v>5891</v>
      </c>
      <c r="X9" s="273" t="s">
        <v>2806</v>
      </c>
      <c r="Y9" s="274">
        <v>51278409</v>
      </c>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row>
    <row r="10" spans="1:130" s="50" customFormat="1" ht="15" x14ac:dyDescent="0.25">
      <c r="A10" s="693"/>
      <c r="B10" s="767"/>
      <c r="C10" s="690"/>
      <c r="D10" s="694"/>
      <c r="E10" s="707"/>
      <c r="F10" s="421"/>
      <c r="G10" s="421"/>
      <c r="H10" s="408"/>
      <c r="I10" s="344"/>
      <c r="J10" s="344"/>
      <c r="K10" s="416"/>
      <c r="L10" s="416"/>
      <c r="M10" s="759"/>
      <c r="N10" s="743"/>
      <c r="O10" s="80" t="s">
        <v>2379</v>
      </c>
      <c r="P10" s="459" t="s">
        <v>2380</v>
      </c>
      <c r="Q10" s="80" t="s">
        <v>2381</v>
      </c>
      <c r="R10" s="274">
        <v>9151100</v>
      </c>
      <c r="S10" s="46"/>
      <c r="T10" s="521">
        <v>1346</v>
      </c>
      <c r="U10" s="273" t="s">
        <v>2773</v>
      </c>
      <c r="V10" s="274">
        <v>9151100</v>
      </c>
      <c r="W10" s="568">
        <v>5892</v>
      </c>
      <c r="X10" s="273" t="s">
        <v>2806</v>
      </c>
      <c r="Y10" s="274">
        <v>9151100</v>
      </c>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row>
    <row r="11" spans="1:130" s="50" customFormat="1" ht="42" customHeight="1" x14ac:dyDescent="0.25">
      <c r="A11" s="693"/>
      <c r="B11" s="767"/>
      <c r="C11" s="690"/>
      <c r="D11" s="736" t="s">
        <v>841</v>
      </c>
      <c r="E11" s="689" t="s">
        <v>100</v>
      </c>
      <c r="F11" s="710">
        <v>141066035</v>
      </c>
      <c r="G11" s="710">
        <v>53337315</v>
      </c>
      <c r="H11" s="692"/>
      <c r="I11" s="692"/>
      <c r="J11" s="692"/>
      <c r="K11" s="710">
        <v>30000000</v>
      </c>
      <c r="L11" s="728">
        <v>0</v>
      </c>
      <c r="M11" s="758">
        <f>+F11+G11+H11+I11+K11-L11</f>
        <v>224403350</v>
      </c>
      <c r="N11" s="743"/>
      <c r="O11" s="78" t="s">
        <v>596</v>
      </c>
      <c r="P11" s="457" t="s">
        <v>599</v>
      </c>
      <c r="Q11" s="78" t="s">
        <v>602</v>
      </c>
      <c r="R11" s="66">
        <v>32300000</v>
      </c>
      <c r="S11" s="46"/>
      <c r="T11" s="38">
        <v>59</v>
      </c>
      <c r="U11" s="122">
        <v>44578</v>
      </c>
      <c r="V11" s="66">
        <v>32300000</v>
      </c>
      <c r="W11" s="38">
        <v>416</v>
      </c>
      <c r="X11" s="122">
        <v>44582</v>
      </c>
      <c r="Y11" s="66">
        <v>32300000</v>
      </c>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row>
    <row r="12" spans="1:130" s="50" customFormat="1" ht="42" customHeight="1" x14ac:dyDescent="0.25">
      <c r="A12" s="693"/>
      <c r="B12" s="767"/>
      <c r="C12" s="690"/>
      <c r="D12" s="737"/>
      <c r="E12" s="690"/>
      <c r="F12" s="711"/>
      <c r="G12" s="711"/>
      <c r="H12" s="693"/>
      <c r="I12" s="693"/>
      <c r="J12" s="693"/>
      <c r="K12" s="711"/>
      <c r="L12" s="735"/>
      <c r="M12" s="763"/>
      <c r="N12" s="743"/>
      <c r="O12" s="78" t="s">
        <v>597</v>
      </c>
      <c r="P12" s="457" t="s">
        <v>600</v>
      </c>
      <c r="Q12" s="78" t="s">
        <v>603</v>
      </c>
      <c r="R12" s="274">
        <v>13767063</v>
      </c>
      <c r="S12" s="46"/>
      <c r="T12" s="38">
        <v>148</v>
      </c>
      <c r="U12" s="122">
        <v>44585</v>
      </c>
      <c r="V12" s="66">
        <v>13767063</v>
      </c>
      <c r="W12" s="38">
        <v>1106</v>
      </c>
      <c r="X12" s="122">
        <v>44589</v>
      </c>
      <c r="Y12" s="66">
        <v>13767063</v>
      </c>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row>
    <row r="13" spans="1:130" s="50" customFormat="1" ht="42" customHeight="1" x14ac:dyDescent="0.25">
      <c r="A13" s="693"/>
      <c r="B13" s="767"/>
      <c r="C13" s="690"/>
      <c r="D13" s="737"/>
      <c r="E13" s="690"/>
      <c r="F13" s="711"/>
      <c r="G13" s="711"/>
      <c r="H13" s="693"/>
      <c r="I13" s="693"/>
      <c r="J13" s="693"/>
      <c r="K13" s="711"/>
      <c r="L13" s="735"/>
      <c r="M13" s="763"/>
      <c r="N13" s="743"/>
      <c r="O13" s="78" t="s">
        <v>598</v>
      </c>
      <c r="P13" s="457" t="s">
        <v>601</v>
      </c>
      <c r="Q13" s="78" t="s">
        <v>604</v>
      </c>
      <c r="R13" s="66">
        <v>32300000</v>
      </c>
      <c r="S13" s="46"/>
      <c r="T13" s="250">
        <v>157</v>
      </c>
      <c r="U13" s="122">
        <v>44585</v>
      </c>
      <c r="V13" s="66">
        <v>32300000</v>
      </c>
      <c r="W13" s="250">
        <v>1102</v>
      </c>
      <c r="X13" s="122">
        <v>44589</v>
      </c>
      <c r="Y13" s="66">
        <v>32300000</v>
      </c>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row>
    <row r="14" spans="1:130" s="50" customFormat="1" ht="42" customHeight="1" x14ac:dyDescent="0.25">
      <c r="A14" s="693"/>
      <c r="B14" s="767"/>
      <c r="C14" s="690"/>
      <c r="D14" s="737"/>
      <c r="E14" s="690"/>
      <c r="F14" s="711"/>
      <c r="G14" s="711"/>
      <c r="H14" s="693"/>
      <c r="I14" s="693"/>
      <c r="J14" s="693"/>
      <c r="K14" s="711"/>
      <c r="L14" s="735"/>
      <c r="M14" s="763"/>
      <c r="N14" s="743"/>
      <c r="O14" s="78" t="s">
        <v>1397</v>
      </c>
      <c r="P14" s="457" t="s">
        <v>1398</v>
      </c>
      <c r="Q14" s="78" t="s">
        <v>1399</v>
      </c>
      <c r="R14" s="274">
        <v>45339000</v>
      </c>
      <c r="S14" s="46"/>
      <c r="T14" s="38">
        <v>570</v>
      </c>
      <c r="U14" s="122">
        <v>44678</v>
      </c>
      <c r="V14" s="267">
        <v>45339000</v>
      </c>
      <c r="W14" s="38">
        <v>3588</v>
      </c>
      <c r="X14" s="122">
        <v>44767</v>
      </c>
      <c r="Y14" s="66">
        <v>45339000</v>
      </c>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row>
    <row r="15" spans="1:130" s="50" customFormat="1" ht="42" customHeight="1" x14ac:dyDescent="0.25">
      <c r="A15" s="693"/>
      <c r="B15" s="767"/>
      <c r="C15" s="690"/>
      <c r="D15" s="737"/>
      <c r="E15" s="690"/>
      <c r="F15" s="711"/>
      <c r="G15" s="711"/>
      <c r="H15" s="693"/>
      <c r="I15" s="693"/>
      <c r="J15" s="693"/>
      <c r="K15" s="711"/>
      <c r="L15" s="735"/>
      <c r="M15" s="763"/>
      <c r="N15" s="743"/>
      <c r="O15" s="78" t="s">
        <v>1908</v>
      </c>
      <c r="P15" s="457" t="s">
        <v>1910</v>
      </c>
      <c r="Q15" s="78" t="s">
        <v>1906</v>
      </c>
      <c r="R15" s="274">
        <v>19306560</v>
      </c>
      <c r="S15" s="46"/>
      <c r="T15" s="329">
        <v>819</v>
      </c>
      <c r="U15" s="273">
        <v>44760</v>
      </c>
      <c r="V15" s="274">
        <v>19306560</v>
      </c>
      <c r="W15" s="329">
        <v>3559</v>
      </c>
      <c r="X15" s="273">
        <v>44760</v>
      </c>
      <c r="Y15" s="274">
        <v>19306560</v>
      </c>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row>
    <row r="16" spans="1:130" s="50" customFormat="1" ht="42" customHeight="1" x14ac:dyDescent="0.25">
      <c r="A16" s="693"/>
      <c r="B16" s="767"/>
      <c r="C16" s="690"/>
      <c r="D16" s="738"/>
      <c r="E16" s="691"/>
      <c r="F16" s="712"/>
      <c r="G16" s="712"/>
      <c r="H16" s="694"/>
      <c r="I16" s="694"/>
      <c r="J16" s="694"/>
      <c r="K16" s="712"/>
      <c r="L16" s="729"/>
      <c r="M16" s="759"/>
      <c r="N16" s="743"/>
      <c r="O16" s="78" t="s">
        <v>1909</v>
      </c>
      <c r="P16" s="457" t="s">
        <v>1911</v>
      </c>
      <c r="Q16" s="78" t="s">
        <v>1907</v>
      </c>
      <c r="R16" s="274">
        <v>12366667</v>
      </c>
      <c r="S16" s="46"/>
      <c r="T16" s="329">
        <v>1110</v>
      </c>
      <c r="U16" s="273">
        <v>44798</v>
      </c>
      <c r="V16" s="274">
        <v>12366667</v>
      </c>
      <c r="W16" s="329">
        <v>4753</v>
      </c>
      <c r="X16" s="273">
        <v>44805</v>
      </c>
      <c r="Y16" s="274">
        <v>12366667</v>
      </c>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row>
    <row r="17" spans="1:130" s="50" customFormat="1" ht="36.75" customHeight="1" x14ac:dyDescent="0.25">
      <c r="A17" s="693"/>
      <c r="B17" s="767"/>
      <c r="C17" s="690"/>
      <c r="D17" s="736" t="s">
        <v>842</v>
      </c>
      <c r="E17" s="705" t="s">
        <v>118</v>
      </c>
      <c r="F17" s="783">
        <v>62867930</v>
      </c>
      <c r="G17" s="786">
        <v>0</v>
      </c>
      <c r="H17" s="692"/>
      <c r="I17" s="692"/>
      <c r="J17" s="302"/>
      <c r="K17" s="692"/>
      <c r="L17" s="710">
        <v>11596650</v>
      </c>
      <c r="M17" s="797">
        <f>+F17+G17+H17+I17+K17-L17</f>
        <v>51271280</v>
      </c>
      <c r="N17" s="743"/>
      <c r="O17" s="78" t="s">
        <v>605</v>
      </c>
      <c r="P17" s="457" t="s">
        <v>607</v>
      </c>
      <c r="Q17" s="78" t="s">
        <v>609</v>
      </c>
      <c r="R17" s="66">
        <v>29610464</v>
      </c>
      <c r="S17" s="46"/>
      <c r="T17" s="38">
        <v>28</v>
      </c>
      <c r="U17" s="122">
        <v>44573</v>
      </c>
      <c r="V17" s="66">
        <v>29610464</v>
      </c>
      <c r="W17" s="38">
        <v>424</v>
      </c>
      <c r="X17" s="122">
        <v>44582</v>
      </c>
      <c r="Y17" s="66">
        <v>29610464</v>
      </c>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row>
    <row r="18" spans="1:130" s="50" customFormat="1" ht="36.75" customHeight="1" x14ac:dyDescent="0.25">
      <c r="A18" s="693"/>
      <c r="B18" s="767"/>
      <c r="C18" s="690"/>
      <c r="D18" s="737"/>
      <c r="E18" s="706"/>
      <c r="F18" s="800"/>
      <c r="G18" s="801"/>
      <c r="H18" s="693"/>
      <c r="I18" s="693"/>
      <c r="J18" s="309"/>
      <c r="K18" s="693"/>
      <c r="L18" s="711"/>
      <c r="M18" s="798"/>
      <c r="N18" s="743"/>
      <c r="O18" s="78" t="s">
        <v>606</v>
      </c>
      <c r="P18" s="457" t="s">
        <v>608</v>
      </c>
      <c r="Q18" s="78" t="s">
        <v>610</v>
      </c>
      <c r="R18" s="66">
        <v>16075853</v>
      </c>
      <c r="S18" s="46"/>
      <c r="T18" s="250">
        <v>316</v>
      </c>
      <c r="U18" s="122">
        <v>44596</v>
      </c>
      <c r="V18" s="66">
        <v>16075853</v>
      </c>
      <c r="W18" s="250">
        <v>2079</v>
      </c>
      <c r="X18" s="122" t="s">
        <v>1012</v>
      </c>
      <c r="Y18" s="66">
        <v>16075853</v>
      </c>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row>
    <row r="19" spans="1:130" s="50" customFormat="1" ht="36.75" customHeight="1" x14ac:dyDescent="0.25">
      <c r="A19" s="693"/>
      <c r="B19" s="767"/>
      <c r="C19" s="690"/>
      <c r="D19" s="799"/>
      <c r="E19" s="788"/>
      <c r="F19" s="785"/>
      <c r="G19" s="788"/>
      <c r="H19" s="694"/>
      <c r="I19" s="694"/>
      <c r="J19" s="303"/>
      <c r="K19" s="694"/>
      <c r="L19" s="712"/>
      <c r="M19" s="788"/>
      <c r="N19" s="743"/>
      <c r="O19" s="78" t="s">
        <v>1400</v>
      </c>
      <c r="P19" s="457" t="s">
        <v>1401</v>
      </c>
      <c r="Q19" s="78" t="s">
        <v>1402</v>
      </c>
      <c r="R19" s="66">
        <v>4284000</v>
      </c>
      <c r="S19" s="46"/>
      <c r="T19" s="38">
        <v>807</v>
      </c>
      <c r="U19" s="122">
        <v>44755</v>
      </c>
      <c r="V19" s="274">
        <v>4284000</v>
      </c>
      <c r="W19" s="38">
        <v>3711</v>
      </c>
      <c r="X19" s="122">
        <v>44771</v>
      </c>
      <c r="Y19" s="274">
        <v>4284000</v>
      </c>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row>
    <row r="20" spans="1:130" s="50" customFormat="1" ht="40.5" x14ac:dyDescent="0.25">
      <c r="A20" s="693"/>
      <c r="B20" s="767"/>
      <c r="C20" s="690"/>
      <c r="D20" s="129" t="s">
        <v>2204</v>
      </c>
      <c r="E20" s="69" t="s">
        <v>166</v>
      </c>
      <c r="F20" s="289">
        <v>18403350</v>
      </c>
      <c r="G20" s="66">
        <v>0</v>
      </c>
      <c r="H20" s="44"/>
      <c r="I20" s="45"/>
      <c r="J20" s="45"/>
      <c r="K20" s="274">
        <v>2000000</v>
      </c>
      <c r="L20" s="289">
        <v>18403350</v>
      </c>
      <c r="M20" s="65">
        <f>+F20+G20+H20+I20+K20-L20</f>
        <v>2000000</v>
      </c>
      <c r="N20" s="743"/>
      <c r="O20" s="44"/>
      <c r="P20" s="44"/>
      <c r="Q20" s="44"/>
      <c r="R20" s="44"/>
      <c r="S20" s="46"/>
      <c r="T20" s="44"/>
      <c r="U20" s="79"/>
      <c r="V20" s="44"/>
      <c r="W20" s="44"/>
      <c r="X20" s="79"/>
      <c r="Y20" s="44"/>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row>
    <row r="21" spans="1:130" s="50" customFormat="1" ht="54" x14ac:dyDescent="0.25">
      <c r="A21" s="694"/>
      <c r="B21" s="768"/>
      <c r="C21" s="691"/>
      <c r="D21" s="133" t="s">
        <v>878</v>
      </c>
      <c r="E21" s="137" t="s">
        <v>229</v>
      </c>
      <c r="F21" s="134">
        <v>0</v>
      </c>
      <c r="G21" s="288">
        <v>5000000</v>
      </c>
      <c r="H21" s="133"/>
      <c r="I21" s="85"/>
      <c r="J21" s="85"/>
      <c r="K21" s="288">
        <v>5000000</v>
      </c>
      <c r="L21" s="134">
        <v>2000000</v>
      </c>
      <c r="M21" s="135">
        <f>+F21+G21+H21+I21+K21-L21</f>
        <v>8000000</v>
      </c>
      <c r="N21" s="744"/>
      <c r="O21" s="44"/>
      <c r="P21" s="44"/>
      <c r="Q21" s="44"/>
      <c r="R21" s="44"/>
      <c r="S21" s="46"/>
      <c r="T21" s="44"/>
      <c r="U21" s="79"/>
      <c r="V21" s="44"/>
      <c r="W21" s="44"/>
      <c r="X21" s="79"/>
      <c r="Y21" s="44"/>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row>
    <row r="22" spans="1:130" s="107" customFormat="1" ht="15" x14ac:dyDescent="0.25">
      <c r="A22" s="92"/>
      <c r="B22" s="92"/>
      <c r="C22" s="92"/>
      <c r="D22" s="92"/>
      <c r="E22" s="104"/>
      <c r="F22" s="101"/>
      <c r="G22" s="101"/>
      <c r="H22" s="92"/>
      <c r="I22" s="93"/>
      <c r="J22" s="93"/>
      <c r="K22" s="92"/>
      <c r="L22" s="92"/>
      <c r="M22" s="102">
        <f>SUM(M8:M21)</f>
        <v>505674630</v>
      </c>
      <c r="N22" s="101"/>
      <c r="O22" s="105"/>
      <c r="P22" s="86"/>
      <c r="Q22" s="95"/>
      <c r="R22" s="103">
        <f>SUM(R8:R21)</f>
        <v>411779116</v>
      </c>
      <c r="S22" s="89"/>
      <c r="T22" s="86"/>
      <c r="U22" s="95"/>
      <c r="V22" s="103">
        <f>SUM(V8:V21)</f>
        <v>411779116</v>
      </c>
      <c r="W22" s="86"/>
      <c r="X22" s="95"/>
      <c r="Y22" s="103">
        <f>SUM(Y8:XFD21)</f>
        <v>411779116</v>
      </c>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row>
    <row r="23" spans="1:130" s="112" customFormat="1" ht="85.5" x14ac:dyDescent="0.25">
      <c r="A23" s="183" t="s">
        <v>1103</v>
      </c>
      <c r="B23" s="502" t="s">
        <v>1104</v>
      </c>
      <c r="C23" s="185" t="s">
        <v>82</v>
      </c>
      <c r="D23" s="183" t="s">
        <v>1181</v>
      </c>
      <c r="E23" s="192" t="s">
        <v>251</v>
      </c>
      <c r="F23" s="181"/>
      <c r="G23" s="181"/>
      <c r="H23" s="183"/>
      <c r="I23" s="289">
        <v>201645000</v>
      </c>
      <c r="J23" s="289"/>
      <c r="K23" s="187"/>
      <c r="L23" s="187"/>
      <c r="M23" s="65">
        <f t="shared" ref="M23:M43" si="0">+F23+G23+H23+I23+K23-L23</f>
        <v>201645000</v>
      </c>
      <c r="N23" s="296">
        <v>201645000</v>
      </c>
      <c r="O23" s="78" t="s">
        <v>2382</v>
      </c>
      <c r="P23" s="457" t="s">
        <v>2383</v>
      </c>
      <c r="Q23" s="81" t="s">
        <v>2384</v>
      </c>
      <c r="R23" s="274">
        <v>200162760</v>
      </c>
      <c r="S23" s="46"/>
      <c r="T23" s="187">
        <v>1381</v>
      </c>
      <c r="U23" s="79" t="s">
        <v>2771</v>
      </c>
      <c r="V23" s="274">
        <v>200162760</v>
      </c>
      <c r="W23" s="568">
        <v>6348</v>
      </c>
      <c r="X23" s="273" t="s">
        <v>2816</v>
      </c>
      <c r="Y23" s="274">
        <v>200162760</v>
      </c>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0" s="107" customFormat="1" ht="15" x14ac:dyDescent="0.25">
      <c r="A24" s="92"/>
      <c r="B24" s="92"/>
      <c r="C24" s="92"/>
      <c r="D24" s="92"/>
      <c r="E24" s="104"/>
      <c r="F24" s="101"/>
      <c r="G24" s="101"/>
      <c r="H24" s="92"/>
      <c r="I24" s="93"/>
      <c r="J24" s="93"/>
      <c r="K24" s="92"/>
      <c r="L24" s="92"/>
      <c r="M24" s="102">
        <f>+M23</f>
        <v>201645000</v>
      </c>
      <c r="N24" s="101"/>
      <c r="O24" s="105"/>
      <c r="P24" s="86"/>
      <c r="Q24" s="95"/>
      <c r="R24" s="103">
        <f>+R23</f>
        <v>200162760</v>
      </c>
      <c r="S24" s="89"/>
      <c r="T24" s="86"/>
      <c r="U24" s="95"/>
      <c r="V24" s="103">
        <f>+V23</f>
        <v>200162760</v>
      </c>
      <c r="W24" s="86"/>
      <c r="X24" s="95"/>
      <c r="Y24" s="103">
        <f>+Y23</f>
        <v>200162760</v>
      </c>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row>
    <row r="25" spans="1:130" s="112" customFormat="1" ht="54" x14ac:dyDescent="0.25">
      <c r="A25" s="183" t="s">
        <v>1105</v>
      </c>
      <c r="B25" s="502" t="s">
        <v>1106</v>
      </c>
      <c r="C25" s="185" t="s">
        <v>82</v>
      </c>
      <c r="D25" s="183" t="s">
        <v>842</v>
      </c>
      <c r="E25" s="192" t="s">
        <v>118</v>
      </c>
      <c r="F25" s="198"/>
      <c r="G25" s="198"/>
      <c r="H25" s="288">
        <v>4533101</v>
      </c>
      <c r="I25" s="287">
        <v>250421623</v>
      </c>
      <c r="J25" s="287"/>
      <c r="K25" s="187"/>
      <c r="L25" s="187"/>
      <c r="M25" s="65">
        <f t="shared" si="0"/>
        <v>254954724</v>
      </c>
      <c r="N25" s="296">
        <v>254954724</v>
      </c>
      <c r="O25" s="78" t="s">
        <v>2385</v>
      </c>
      <c r="P25" s="457" t="s">
        <v>2386</v>
      </c>
      <c r="Q25" s="81" t="s">
        <v>2387</v>
      </c>
      <c r="R25" s="274">
        <v>16000003</v>
      </c>
      <c r="S25" s="46"/>
      <c r="T25" s="521">
        <v>1477</v>
      </c>
      <c r="U25" s="273" t="s">
        <v>2793</v>
      </c>
      <c r="V25" s="274">
        <v>16000003</v>
      </c>
      <c r="W25" s="568">
        <v>6289</v>
      </c>
      <c r="X25" s="273" t="s">
        <v>2832</v>
      </c>
      <c r="Y25" s="274">
        <v>16000003</v>
      </c>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0" s="107" customFormat="1" ht="15" x14ac:dyDescent="0.25">
      <c r="A26" s="92"/>
      <c r="B26" s="92"/>
      <c r="C26" s="92"/>
      <c r="D26" s="92"/>
      <c r="E26" s="104"/>
      <c r="F26" s="101"/>
      <c r="G26" s="101"/>
      <c r="H26" s="92"/>
      <c r="I26" s="93"/>
      <c r="J26" s="93"/>
      <c r="K26" s="92"/>
      <c r="L26" s="92"/>
      <c r="M26" s="102">
        <f>+M25</f>
        <v>254954724</v>
      </c>
      <c r="N26" s="101"/>
      <c r="O26" s="105"/>
      <c r="P26" s="86"/>
      <c r="Q26" s="95"/>
      <c r="R26" s="103">
        <f>+R25</f>
        <v>16000003</v>
      </c>
      <c r="S26" s="89"/>
      <c r="T26" s="86"/>
      <c r="U26" s="95"/>
      <c r="V26" s="103">
        <f>+V25</f>
        <v>16000003</v>
      </c>
      <c r="W26" s="86"/>
      <c r="X26" s="95"/>
      <c r="Y26" s="103">
        <f>+Y25</f>
        <v>16000003</v>
      </c>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row>
    <row r="27" spans="1:130" s="112" customFormat="1" ht="42.75" customHeight="1" x14ac:dyDescent="0.25">
      <c r="A27" s="692" t="s">
        <v>1107</v>
      </c>
      <c r="B27" s="794" t="s">
        <v>1108</v>
      </c>
      <c r="C27" s="689" t="s">
        <v>82</v>
      </c>
      <c r="D27" s="183" t="s">
        <v>1182</v>
      </c>
      <c r="E27" s="192" t="s">
        <v>117</v>
      </c>
      <c r="F27" s="198"/>
      <c r="G27" s="198"/>
      <c r="H27" s="288">
        <v>12372922</v>
      </c>
      <c r="I27" s="233"/>
      <c r="J27" s="233"/>
      <c r="K27" s="187"/>
      <c r="L27" s="187"/>
      <c r="M27" s="65">
        <f t="shared" si="0"/>
        <v>12372922</v>
      </c>
      <c r="N27" s="742">
        <v>100015899</v>
      </c>
      <c r="O27" s="219"/>
      <c r="P27" s="187"/>
      <c r="Q27" s="79"/>
      <c r="R27" s="191"/>
      <c r="S27" s="46"/>
      <c r="T27" s="187"/>
      <c r="U27" s="79"/>
      <c r="V27" s="191"/>
      <c r="W27" s="187"/>
      <c r="X27" s="79"/>
      <c r="Y27" s="19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0" s="112" customFormat="1" ht="67.5" x14ac:dyDescent="0.25">
      <c r="A28" s="693"/>
      <c r="B28" s="795"/>
      <c r="C28" s="690"/>
      <c r="D28" s="197" t="s">
        <v>841</v>
      </c>
      <c r="E28" s="192" t="s">
        <v>100</v>
      </c>
      <c r="F28" s="198"/>
      <c r="G28" s="198"/>
      <c r="H28" s="288">
        <v>45632268</v>
      </c>
      <c r="I28" s="233"/>
      <c r="J28" s="233"/>
      <c r="K28" s="200"/>
      <c r="L28" s="200"/>
      <c r="M28" s="65">
        <f t="shared" si="0"/>
        <v>45632268</v>
      </c>
      <c r="N28" s="743"/>
      <c r="O28" s="78" t="s">
        <v>2394</v>
      </c>
      <c r="P28" s="457" t="s">
        <v>2395</v>
      </c>
      <c r="Q28" s="81" t="s">
        <v>2396</v>
      </c>
      <c r="R28" s="274">
        <v>33022500</v>
      </c>
      <c r="S28" s="46"/>
      <c r="T28" s="521">
        <v>1385</v>
      </c>
      <c r="U28" s="273" t="s">
        <v>2771</v>
      </c>
      <c r="V28" s="274">
        <v>33022500</v>
      </c>
      <c r="W28" s="568">
        <v>6200</v>
      </c>
      <c r="X28" s="273" t="s">
        <v>2830</v>
      </c>
      <c r="Y28" s="274">
        <v>33022500</v>
      </c>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0" s="112" customFormat="1" ht="25.5" x14ac:dyDescent="0.25">
      <c r="A29" s="693"/>
      <c r="B29" s="795"/>
      <c r="C29" s="690"/>
      <c r="D29" s="197" t="s">
        <v>1184</v>
      </c>
      <c r="E29" s="192" t="s">
        <v>113</v>
      </c>
      <c r="F29" s="198"/>
      <c r="G29" s="198"/>
      <c r="H29" s="288">
        <v>20000000</v>
      </c>
      <c r="I29" s="233"/>
      <c r="J29" s="233"/>
      <c r="K29" s="200"/>
      <c r="L29" s="200"/>
      <c r="M29" s="65">
        <f t="shared" si="0"/>
        <v>20000000</v>
      </c>
      <c r="N29" s="743"/>
      <c r="O29" s="78" t="s">
        <v>2103</v>
      </c>
      <c r="P29" s="466">
        <v>657</v>
      </c>
      <c r="Q29" s="81" t="s">
        <v>2102</v>
      </c>
      <c r="R29" s="274">
        <v>10563879.9</v>
      </c>
      <c r="S29" s="46"/>
      <c r="T29" s="521">
        <v>1262</v>
      </c>
      <c r="U29" s="273" t="s">
        <v>2776</v>
      </c>
      <c r="V29" s="274">
        <v>10563879.9</v>
      </c>
      <c r="W29" s="568">
        <v>5720</v>
      </c>
      <c r="X29" s="273" t="s">
        <v>2777</v>
      </c>
      <c r="Y29" s="274">
        <v>10563879.9</v>
      </c>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0" s="112" customFormat="1" ht="54" x14ac:dyDescent="0.25">
      <c r="A30" s="694"/>
      <c r="B30" s="795"/>
      <c r="C30" s="691"/>
      <c r="D30" s="197" t="s">
        <v>1185</v>
      </c>
      <c r="E30" s="192" t="s">
        <v>230</v>
      </c>
      <c r="F30" s="198"/>
      <c r="G30" s="198"/>
      <c r="H30" s="288">
        <v>22010709</v>
      </c>
      <c r="I30" s="233"/>
      <c r="J30" s="233"/>
      <c r="K30" s="200"/>
      <c r="L30" s="200"/>
      <c r="M30" s="65">
        <f t="shared" si="0"/>
        <v>22010709</v>
      </c>
      <c r="N30" s="744"/>
      <c r="O30" s="78" t="s">
        <v>2388</v>
      </c>
      <c r="P30" s="459" t="s">
        <v>2389</v>
      </c>
      <c r="Q30" s="81" t="s">
        <v>2390</v>
      </c>
      <c r="R30" s="274">
        <v>13291609.800000001</v>
      </c>
      <c r="S30" s="46"/>
      <c r="T30" s="521">
        <v>1271</v>
      </c>
      <c r="U30" s="273" t="s">
        <v>2778</v>
      </c>
      <c r="V30" s="274">
        <v>13291609.800000001</v>
      </c>
      <c r="W30" s="568">
        <v>5688</v>
      </c>
      <c r="X30" s="273" t="s">
        <v>2796</v>
      </c>
      <c r="Y30" s="274">
        <v>13291609.800000001</v>
      </c>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0" s="112" customFormat="1" ht="15" x14ac:dyDescent="0.25">
      <c r="A31" s="410"/>
      <c r="B31" s="796"/>
      <c r="C31" s="415"/>
      <c r="D31" s="410"/>
      <c r="E31" s="440"/>
      <c r="F31" s="418"/>
      <c r="G31" s="418"/>
      <c r="H31" s="423"/>
      <c r="I31" s="233"/>
      <c r="J31" s="233"/>
      <c r="K31" s="410"/>
      <c r="L31" s="410"/>
      <c r="M31" s="427"/>
      <c r="N31" s="429"/>
      <c r="O31" s="78" t="s">
        <v>2391</v>
      </c>
      <c r="P31" s="459" t="s">
        <v>2392</v>
      </c>
      <c r="Q31" s="81" t="s">
        <v>2393</v>
      </c>
      <c r="R31" s="274">
        <v>6167097</v>
      </c>
      <c r="S31" s="46"/>
      <c r="T31" s="521">
        <v>1427</v>
      </c>
      <c r="U31" s="273" t="s">
        <v>2772</v>
      </c>
      <c r="V31" s="274">
        <v>6167097</v>
      </c>
      <c r="W31" s="568">
        <v>6244</v>
      </c>
      <c r="X31" s="273" t="s">
        <v>2831</v>
      </c>
      <c r="Y31" s="274">
        <v>6167097</v>
      </c>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0" s="107" customFormat="1" ht="15" x14ac:dyDescent="0.25">
      <c r="A32" s="92"/>
      <c r="B32" s="92"/>
      <c r="C32" s="92"/>
      <c r="D32" s="92"/>
      <c r="E32" s="104"/>
      <c r="F32" s="101"/>
      <c r="G32" s="101"/>
      <c r="H32" s="92"/>
      <c r="I32" s="93"/>
      <c r="J32" s="93"/>
      <c r="K32" s="92"/>
      <c r="L32" s="92"/>
      <c r="M32" s="102">
        <f>SUM(M27:M30)</f>
        <v>100015899</v>
      </c>
      <c r="N32" s="101"/>
      <c r="O32" s="105"/>
      <c r="P32" s="86"/>
      <c r="Q32" s="95"/>
      <c r="R32" s="103">
        <f>SUM(R27:R31)</f>
        <v>63045086.700000003</v>
      </c>
      <c r="S32" s="89"/>
      <c r="T32" s="86"/>
      <c r="U32" s="95"/>
      <c r="V32" s="103">
        <f>SUM(V27:V31)</f>
        <v>63045086.700000003</v>
      </c>
      <c r="W32" s="86"/>
      <c r="X32" s="95"/>
      <c r="Y32" s="103">
        <f>SUM(Y28:Y31)</f>
        <v>63045086.700000003</v>
      </c>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row>
    <row r="33" spans="1:130" s="112" customFormat="1" ht="67.5" x14ac:dyDescent="0.25">
      <c r="A33" s="183" t="s">
        <v>1109</v>
      </c>
      <c r="B33" s="794" t="s">
        <v>1110</v>
      </c>
      <c r="C33" s="185" t="s">
        <v>82</v>
      </c>
      <c r="D33" s="183" t="s">
        <v>1183</v>
      </c>
      <c r="E33" s="192" t="s">
        <v>1169</v>
      </c>
      <c r="F33" s="198"/>
      <c r="G33" s="198"/>
      <c r="H33" s="288">
        <v>40000000</v>
      </c>
      <c r="I33" s="233"/>
      <c r="J33" s="233"/>
      <c r="K33" s="274">
        <v>137915843</v>
      </c>
      <c r="L33" s="187"/>
      <c r="M33" s="65">
        <f t="shared" si="0"/>
        <v>177915843</v>
      </c>
      <c r="N33" s="296">
        <v>177915843</v>
      </c>
      <c r="O33" s="78" t="s">
        <v>2397</v>
      </c>
      <c r="P33" s="154" t="s">
        <v>885</v>
      </c>
      <c r="Q33" s="81" t="s">
        <v>2398</v>
      </c>
      <c r="R33" s="345">
        <v>0</v>
      </c>
      <c r="S33" s="46"/>
      <c r="T33" s="187"/>
      <c r="U33" s="79"/>
      <c r="V33" s="191"/>
      <c r="W33" s="187"/>
      <c r="X33" s="79"/>
      <c r="Y33" s="19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s="112" customFormat="1" ht="15" x14ac:dyDescent="0.25">
      <c r="A34" s="410"/>
      <c r="B34" s="795"/>
      <c r="C34" s="415"/>
      <c r="D34" s="410"/>
      <c r="E34" s="440"/>
      <c r="F34" s="418"/>
      <c r="G34" s="418"/>
      <c r="H34" s="423"/>
      <c r="I34" s="233"/>
      <c r="J34" s="233"/>
      <c r="K34" s="418"/>
      <c r="L34" s="410"/>
      <c r="M34" s="427"/>
      <c r="N34" s="429"/>
      <c r="O34" s="78" t="s">
        <v>2399</v>
      </c>
      <c r="P34" s="154" t="s">
        <v>885</v>
      </c>
      <c r="Q34" s="81" t="s">
        <v>2400</v>
      </c>
      <c r="R34" s="345">
        <v>0</v>
      </c>
      <c r="S34" s="46"/>
      <c r="T34" s="330"/>
      <c r="U34" s="79"/>
      <c r="V34" s="432"/>
      <c r="W34" s="330"/>
      <c r="X34" s="79"/>
      <c r="Y34" s="432"/>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s="112" customFormat="1" ht="15" x14ac:dyDescent="0.25">
      <c r="A35" s="410"/>
      <c r="B35" s="796"/>
      <c r="C35" s="415"/>
      <c r="D35" s="410"/>
      <c r="E35" s="440"/>
      <c r="F35" s="418"/>
      <c r="G35" s="418"/>
      <c r="H35" s="423"/>
      <c r="I35" s="233"/>
      <c r="J35" s="233"/>
      <c r="K35" s="418"/>
      <c r="L35" s="410"/>
      <c r="M35" s="427"/>
      <c r="N35" s="429"/>
      <c r="O35" s="78" t="s">
        <v>2401</v>
      </c>
      <c r="P35" s="154" t="s">
        <v>885</v>
      </c>
      <c r="Q35" s="81">
        <v>44888</v>
      </c>
      <c r="R35" s="345">
        <v>0</v>
      </c>
      <c r="S35" s="46"/>
      <c r="T35" s="330"/>
      <c r="U35" s="79"/>
      <c r="V35" s="432"/>
      <c r="W35" s="330"/>
      <c r="X35" s="79"/>
      <c r="Y35" s="432"/>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s="107" customFormat="1" ht="15" x14ac:dyDescent="0.25">
      <c r="A36" s="92"/>
      <c r="B36" s="92"/>
      <c r="C36" s="92"/>
      <c r="D36" s="92"/>
      <c r="E36" s="104"/>
      <c r="F36" s="101"/>
      <c r="G36" s="101"/>
      <c r="H36" s="92"/>
      <c r="I36" s="93"/>
      <c r="J36" s="93"/>
      <c r="K36" s="92"/>
      <c r="L36" s="92"/>
      <c r="M36" s="102">
        <f>+M33</f>
        <v>177915843</v>
      </c>
      <c r="N36" s="101"/>
      <c r="O36" s="105"/>
      <c r="P36" s="86"/>
      <c r="Q36" s="95"/>
      <c r="R36" s="103">
        <f>+R33+R34</f>
        <v>0</v>
      </c>
      <c r="S36" s="89"/>
      <c r="T36" s="86"/>
      <c r="U36" s="95"/>
      <c r="V36" s="103">
        <f>+V33</f>
        <v>0</v>
      </c>
      <c r="W36" s="86"/>
      <c r="X36" s="95"/>
      <c r="Y36" s="103">
        <f>+Y33</f>
        <v>0</v>
      </c>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row>
    <row r="37" spans="1:130" s="112" customFormat="1" ht="25.5" x14ac:dyDescent="0.25">
      <c r="A37" s="692" t="s">
        <v>1111</v>
      </c>
      <c r="B37" s="791" t="s">
        <v>1112</v>
      </c>
      <c r="C37" s="689" t="s">
        <v>1113</v>
      </c>
      <c r="D37" s="183" t="s">
        <v>1175</v>
      </c>
      <c r="E37" s="192" t="s">
        <v>1137</v>
      </c>
      <c r="F37" s="181"/>
      <c r="G37" s="181"/>
      <c r="H37" s="183"/>
      <c r="I37" s="287">
        <v>29073202</v>
      </c>
      <c r="J37" s="287"/>
      <c r="K37" s="274">
        <v>4808046</v>
      </c>
      <c r="L37" s="187"/>
      <c r="M37" s="65">
        <f t="shared" si="0"/>
        <v>33881248</v>
      </c>
      <c r="N37" s="742">
        <v>102258202</v>
      </c>
      <c r="O37" s="78" t="s">
        <v>2402</v>
      </c>
      <c r="P37" s="457" t="s">
        <v>2405</v>
      </c>
      <c r="Q37" s="81" t="s">
        <v>2406</v>
      </c>
      <c r="R37" s="274">
        <v>31315997</v>
      </c>
      <c r="S37" s="46"/>
      <c r="T37" s="521">
        <v>1368</v>
      </c>
      <c r="U37" s="273" t="s">
        <v>2770</v>
      </c>
      <c r="V37" s="274">
        <v>31315997</v>
      </c>
      <c r="W37" s="568">
        <v>5965</v>
      </c>
      <c r="X37" s="273" t="s">
        <v>2784</v>
      </c>
      <c r="Y37" s="274">
        <v>31315997</v>
      </c>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s="112" customFormat="1" ht="27" x14ac:dyDescent="0.25">
      <c r="A38" s="693"/>
      <c r="B38" s="792"/>
      <c r="C38" s="690"/>
      <c r="D38" s="197" t="s">
        <v>1176</v>
      </c>
      <c r="E38" s="192" t="s">
        <v>1174</v>
      </c>
      <c r="F38" s="195"/>
      <c r="G38" s="195"/>
      <c r="H38" s="197"/>
      <c r="I38" s="287">
        <v>26180000</v>
      </c>
      <c r="J38" s="287"/>
      <c r="K38" s="200"/>
      <c r="L38" s="274">
        <v>23971460</v>
      </c>
      <c r="M38" s="65">
        <f t="shared" si="0"/>
        <v>2208540</v>
      </c>
      <c r="N38" s="743"/>
      <c r="O38" s="78"/>
      <c r="P38" s="200"/>
      <c r="Q38" s="273"/>
      <c r="R38" s="274"/>
      <c r="S38" s="46"/>
      <c r="T38" s="196"/>
      <c r="U38" s="47"/>
      <c r="V38" s="194"/>
      <c r="W38" s="196"/>
      <c r="X38" s="47"/>
      <c r="Y38" s="210"/>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s="112" customFormat="1" ht="25.5" x14ac:dyDescent="0.25">
      <c r="A39" s="693"/>
      <c r="B39" s="792"/>
      <c r="C39" s="690"/>
      <c r="D39" s="197" t="s">
        <v>1178</v>
      </c>
      <c r="E39" s="192" t="s">
        <v>239</v>
      </c>
      <c r="F39" s="195"/>
      <c r="G39" s="195"/>
      <c r="H39" s="197"/>
      <c r="I39" s="287">
        <v>14875000</v>
      </c>
      <c r="J39" s="287"/>
      <c r="K39" s="200"/>
      <c r="L39" s="274">
        <v>8156500</v>
      </c>
      <c r="M39" s="65">
        <f t="shared" si="0"/>
        <v>6718500</v>
      </c>
      <c r="N39" s="743"/>
      <c r="O39" s="78"/>
      <c r="P39" s="200"/>
      <c r="Q39" s="273"/>
      <c r="R39" s="274"/>
      <c r="S39" s="46"/>
      <c r="T39" s="196"/>
      <c r="U39" s="47"/>
      <c r="V39" s="194"/>
      <c r="W39" s="196"/>
      <c r="X39" s="47"/>
      <c r="Y39" s="210"/>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s="112" customFormat="1" ht="25.5" x14ac:dyDescent="0.25">
      <c r="A40" s="693"/>
      <c r="B40" s="792"/>
      <c r="C40" s="690"/>
      <c r="D40" s="197" t="s">
        <v>1179</v>
      </c>
      <c r="E40" s="192" t="s">
        <v>980</v>
      </c>
      <c r="F40" s="195"/>
      <c r="G40" s="195"/>
      <c r="H40" s="197"/>
      <c r="I40" s="287">
        <v>14280000</v>
      </c>
      <c r="J40" s="287"/>
      <c r="K40" s="274">
        <v>42477700</v>
      </c>
      <c r="L40" s="200"/>
      <c r="M40" s="65">
        <f t="shared" si="0"/>
        <v>56757700</v>
      </c>
      <c r="N40" s="743"/>
      <c r="O40" s="78" t="s">
        <v>2402</v>
      </c>
      <c r="P40" s="457" t="s">
        <v>2403</v>
      </c>
      <c r="Q40" s="81" t="s">
        <v>2404</v>
      </c>
      <c r="R40" s="274">
        <v>55298243</v>
      </c>
      <c r="S40" s="46"/>
      <c r="T40" s="521">
        <v>1368</v>
      </c>
      <c r="U40" s="273" t="s">
        <v>2770</v>
      </c>
      <c r="V40" s="274">
        <v>55298243</v>
      </c>
      <c r="W40" s="554">
        <v>5965</v>
      </c>
      <c r="X40" s="265" t="s">
        <v>2784</v>
      </c>
      <c r="Y40" s="274">
        <v>55298243</v>
      </c>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s="112" customFormat="1" ht="27" x14ac:dyDescent="0.25">
      <c r="A41" s="694"/>
      <c r="B41" s="793"/>
      <c r="C41" s="691"/>
      <c r="D41" s="197" t="s">
        <v>1180</v>
      </c>
      <c r="E41" s="192" t="s">
        <v>20</v>
      </c>
      <c r="F41" s="195"/>
      <c r="G41" s="195"/>
      <c r="H41" s="197"/>
      <c r="I41" s="287">
        <v>17850000</v>
      </c>
      <c r="J41" s="287"/>
      <c r="K41" s="200"/>
      <c r="L41" s="274">
        <v>15157786</v>
      </c>
      <c r="M41" s="65">
        <f t="shared" si="0"/>
        <v>2692214</v>
      </c>
      <c r="N41" s="744"/>
      <c r="O41" s="78" t="s">
        <v>2402</v>
      </c>
      <c r="P41" s="457" t="s">
        <v>2407</v>
      </c>
      <c r="Q41" s="81" t="s">
        <v>2408</v>
      </c>
      <c r="R41" s="519">
        <v>2687845</v>
      </c>
      <c r="S41" s="46"/>
      <c r="T41" s="521">
        <v>1368</v>
      </c>
      <c r="U41" s="273" t="s">
        <v>2770</v>
      </c>
      <c r="V41" s="519">
        <v>2687845</v>
      </c>
      <c r="W41" s="196">
        <v>5965</v>
      </c>
      <c r="X41" s="47" t="s">
        <v>2784</v>
      </c>
      <c r="Y41" s="169">
        <v>2687845</v>
      </c>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s="107" customFormat="1" ht="15" x14ac:dyDescent="0.25">
      <c r="A42" s="92"/>
      <c r="B42" s="92"/>
      <c r="C42" s="92"/>
      <c r="D42" s="92"/>
      <c r="E42" s="104"/>
      <c r="F42" s="101"/>
      <c r="G42" s="101"/>
      <c r="H42" s="92"/>
      <c r="I42" s="93"/>
      <c r="J42" s="93"/>
      <c r="K42" s="92"/>
      <c r="L42" s="92"/>
      <c r="M42" s="102">
        <f>SUM(M37:M41)</f>
        <v>102258202</v>
      </c>
      <c r="N42" s="101"/>
      <c r="O42" s="105"/>
      <c r="P42" s="86"/>
      <c r="Q42" s="95"/>
      <c r="R42" s="103">
        <f>SUM(R37:R41)</f>
        <v>89302085</v>
      </c>
      <c r="S42" s="89"/>
      <c r="T42" s="86"/>
      <c r="U42" s="95"/>
      <c r="V42" s="103">
        <f>SUM(V37:V41)</f>
        <v>89302085</v>
      </c>
      <c r="W42" s="86"/>
      <c r="X42" s="95"/>
      <c r="Y42" s="103">
        <f>SUM(Y37:Y41)</f>
        <v>89302085</v>
      </c>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row>
    <row r="43" spans="1:130" s="112" customFormat="1" ht="54" x14ac:dyDescent="0.25">
      <c r="A43" s="183" t="s">
        <v>1529</v>
      </c>
      <c r="B43" s="501" t="s">
        <v>1114</v>
      </c>
      <c r="C43" s="185" t="s">
        <v>1115</v>
      </c>
      <c r="D43" s="183" t="s">
        <v>1177</v>
      </c>
      <c r="E43" s="192" t="s">
        <v>138</v>
      </c>
      <c r="F43" s="181"/>
      <c r="G43" s="181"/>
      <c r="H43" s="183"/>
      <c r="I43" s="287">
        <v>30512225</v>
      </c>
      <c r="J43" s="287"/>
      <c r="K43" s="187"/>
      <c r="L43" s="187"/>
      <c r="M43" s="65">
        <f t="shared" si="0"/>
        <v>30512225</v>
      </c>
      <c r="N43" s="296">
        <v>30512225</v>
      </c>
      <c r="O43" s="78" t="s">
        <v>2409</v>
      </c>
      <c r="P43" s="154" t="s">
        <v>885</v>
      </c>
      <c r="Q43" s="273">
        <v>44869</v>
      </c>
      <c r="R43" s="274">
        <v>0</v>
      </c>
      <c r="S43" s="46"/>
      <c r="T43" s="182"/>
      <c r="U43" s="47"/>
      <c r="V43" s="180"/>
      <c r="W43" s="182"/>
      <c r="X43" s="47"/>
      <c r="Y43" s="210"/>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s="107" customFormat="1" ht="15" x14ac:dyDescent="0.25">
      <c r="A44" s="92"/>
      <c r="B44" s="92"/>
      <c r="C44" s="92"/>
      <c r="D44" s="92"/>
      <c r="E44" s="104"/>
      <c r="F44" s="101"/>
      <c r="G44" s="101"/>
      <c r="H44" s="92"/>
      <c r="I44" s="93"/>
      <c r="J44" s="93"/>
      <c r="K44" s="92"/>
      <c r="L44" s="92"/>
      <c r="M44" s="102">
        <f>+M43</f>
        <v>30512225</v>
      </c>
      <c r="N44" s="101"/>
      <c r="O44" s="105"/>
      <c r="P44" s="86"/>
      <c r="Q44" s="95"/>
      <c r="R44" s="103">
        <f>+R43</f>
        <v>0</v>
      </c>
      <c r="S44" s="89"/>
      <c r="T44" s="86"/>
      <c r="U44" s="95"/>
      <c r="V44" s="103">
        <f>+V43</f>
        <v>0</v>
      </c>
      <c r="W44" s="86"/>
      <c r="X44" s="95"/>
      <c r="Y44" s="103">
        <f>+Y43</f>
        <v>0</v>
      </c>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row>
    <row r="45" spans="1:130" s="112" customFormat="1" ht="65.25" customHeight="1" x14ac:dyDescent="0.25">
      <c r="A45" s="303"/>
      <c r="B45" s="503" t="s">
        <v>1546</v>
      </c>
      <c r="C45" s="306" t="s">
        <v>82</v>
      </c>
      <c r="D45" s="330" t="s">
        <v>2206</v>
      </c>
      <c r="E45" s="8" t="s">
        <v>123</v>
      </c>
      <c r="F45" s="320"/>
      <c r="G45" s="320"/>
      <c r="H45" s="303"/>
      <c r="I45" s="302"/>
      <c r="J45" s="315">
        <v>421223512</v>
      </c>
      <c r="K45" s="302"/>
      <c r="L45" s="302"/>
      <c r="M45" s="407">
        <f>+F45+G45+H45+I45+J45+K45-L45</f>
        <v>421223512</v>
      </c>
      <c r="N45" s="319">
        <v>421223512</v>
      </c>
      <c r="O45" s="219"/>
      <c r="P45" s="330"/>
      <c r="Q45" s="79"/>
      <c r="R45" s="432"/>
      <c r="S45" s="46"/>
      <c r="T45" s="309"/>
      <c r="U45" s="47"/>
      <c r="V45" s="324"/>
      <c r="W45" s="309"/>
      <c r="X45" s="47"/>
      <c r="Y45" s="210"/>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s="107" customFormat="1" ht="15.75" thickBot="1" x14ac:dyDescent="0.3">
      <c r="A46" s="92"/>
      <c r="B46" s="92"/>
      <c r="C46" s="92"/>
      <c r="D46" s="92"/>
      <c r="E46" s="104"/>
      <c r="F46" s="101"/>
      <c r="G46" s="101"/>
      <c r="H46" s="92"/>
      <c r="I46" s="86"/>
      <c r="J46" s="86"/>
      <c r="K46" s="86"/>
      <c r="L46" s="86"/>
      <c r="M46" s="88">
        <f>+M45</f>
        <v>421223512</v>
      </c>
      <c r="N46" s="103"/>
      <c r="O46" s="105"/>
      <c r="P46" s="86"/>
      <c r="Q46" s="95"/>
      <c r="R46" s="103"/>
      <c r="S46" s="89"/>
      <c r="T46" s="90"/>
      <c r="U46" s="91"/>
      <c r="V46" s="94"/>
      <c r="W46" s="90"/>
      <c r="X46" s="91"/>
      <c r="Y46" s="121"/>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row>
    <row r="47" spans="1:130" s="63" customFormat="1" ht="17.25" thickBot="1" x14ac:dyDescent="0.35">
      <c r="A47" s="51"/>
      <c r="B47" s="51"/>
      <c r="C47" s="42"/>
      <c r="D47" s="42"/>
      <c r="E47" s="42"/>
      <c r="F47" s="52"/>
      <c r="G47" s="42"/>
      <c r="H47" s="42"/>
      <c r="I47" s="217"/>
      <c r="J47" s="42"/>
      <c r="K47" s="54" t="s">
        <v>29</v>
      </c>
      <c r="L47" s="54"/>
      <c r="M47" s="55">
        <f>+M22+M24+M26+M32+M36+M42+M44+M46</f>
        <v>1794200035</v>
      </c>
      <c r="N47" s="56"/>
      <c r="O47" s="56"/>
      <c r="P47" s="56"/>
      <c r="Q47" s="56"/>
      <c r="R47" s="533">
        <f>+R22+R24+R26+R32+R36+R42+R44</f>
        <v>780289050.70000005</v>
      </c>
      <c r="S47" s="57">
        <f>(R47*1)/M47</f>
        <v>0.43489523769851007</v>
      </c>
      <c r="T47" s="58"/>
      <c r="U47" s="59"/>
      <c r="V47" s="60">
        <f>+V22+V24+V26+V32+V36+V42+V44</f>
        <v>780289050.70000005</v>
      </c>
      <c r="W47" s="58"/>
      <c r="X47" s="59"/>
      <c r="Y47" s="61">
        <f>+Y22+Y24+Y26+Y32+Y36+Y42+Y44</f>
        <v>780289050.70000005</v>
      </c>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row>
    <row r="48" spans="1:130" ht="15" x14ac:dyDescent="0.25">
      <c r="S48" s="4"/>
    </row>
    <row r="49" spans="18:20" ht="15" x14ac:dyDescent="0.25">
      <c r="R49" s="39"/>
      <c r="S49" s="6"/>
      <c r="T49" s="39"/>
    </row>
    <row r="50" spans="18:20" ht="15" x14ac:dyDescent="0.25">
      <c r="R50" s="39"/>
      <c r="S50" s="6"/>
      <c r="T50" s="39"/>
    </row>
    <row r="51" spans="18:20" ht="15" x14ac:dyDescent="0.25">
      <c r="R51" s="39"/>
      <c r="S51" s="6"/>
      <c r="T51" s="39"/>
    </row>
    <row r="52" spans="18:20" ht="15" x14ac:dyDescent="0.25">
      <c r="R52" s="39"/>
      <c r="S52" s="6"/>
      <c r="T52" s="39"/>
    </row>
    <row r="53" spans="18:20" ht="15" x14ac:dyDescent="0.25">
      <c r="R53" s="39"/>
      <c r="S53" s="6"/>
      <c r="T53" s="39"/>
    </row>
    <row r="54" spans="18:20" ht="15" x14ac:dyDescent="0.25">
      <c r="R54" s="39"/>
      <c r="S54" s="6"/>
      <c r="T54" s="39"/>
    </row>
    <row r="55" spans="18:20" ht="15" x14ac:dyDescent="0.25">
      <c r="R55" s="39"/>
      <c r="S55" s="6"/>
      <c r="T55" s="39"/>
    </row>
    <row r="56" spans="18:20" ht="15" x14ac:dyDescent="0.25">
      <c r="R56" s="39"/>
      <c r="S56" s="6"/>
      <c r="T56" s="39"/>
    </row>
    <row r="57" spans="18:20" ht="15" x14ac:dyDescent="0.25">
      <c r="R57" s="39"/>
      <c r="S57" s="7"/>
      <c r="T57" s="39"/>
    </row>
    <row r="58" spans="18:20" ht="15" x14ac:dyDescent="0.25"/>
    <row r="59" spans="18:20" ht="15" x14ac:dyDescent="0.25"/>
    <row r="60" spans="18:20" ht="15" x14ac:dyDescent="0.25"/>
    <row r="61" spans="18:20" ht="15" x14ac:dyDescent="0.25"/>
    <row r="62" spans="18:20" ht="15" x14ac:dyDescent="0.25"/>
    <row r="63" spans="18:20" ht="15" x14ac:dyDescent="0.25"/>
    <row r="64" spans="18:20"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customHeight="1" x14ac:dyDescent="0.25"/>
    <row r="101" ht="15"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sheetData>
  <sheetProtection algorithmName="SHA-512" hashValue="2Z3ZQkcHh053600XnKwFlT+gt+RWyMOzkd75wiX2b3sKPrgoWaixaJCrQpy5KtEpEeEYSSk5ZQHztOrZuB23lQ==" saltValue="PJyDlNujADGvqHt+ctEXOw==" spinCount="100000" sheet="1" objects="1" scenarios="1" selectLockedCells="1" selectUnlockedCells="1"/>
  <mergeCells count="43">
    <mergeCell ref="A2:A5"/>
    <mergeCell ref="B2:W2"/>
    <mergeCell ref="N8:N21"/>
    <mergeCell ref="B8:B21"/>
    <mergeCell ref="C8:C21"/>
    <mergeCell ref="A8:A21"/>
    <mergeCell ref="M17:M19"/>
    <mergeCell ref="D17:D19"/>
    <mergeCell ref="E17:E19"/>
    <mergeCell ref="F17:F19"/>
    <mergeCell ref="G17:G19"/>
    <mergeCell ref="L17:L19"/>
    <mergeCell ref="H17:H19"/>
    <mergeCell ref="I17:I19"/>
    <mergeCell ref="K17:K19"/>
    <mergeCell ref="D11:D16"/>
    <mergeCell ref="X2:Y2"/>
    <mergeCell ref="B3:W3"/>
    <mergeCell ref="X3:Y3"/>
    <mergeCell ref="B4:W5"/>
    <mergeCell ref="X4:Y4"/>
    <mergeCell ref="X5:Y5"/>
    <mergeCell ref="A37:A41"/>
    <mergeCell ref="B37:B41"/>
    <mergeCell ref="C37:C41"/>
    <mergeCell ref="A27:A30"/>
    <mergeCell ref="C27:C30"/>
    <mergeCell ref="B27:B31"/>
    <mergeCell ref="B33:B35"/>
    <mergeCell ref="E8:E10"/>
    <mergeCell ref="D8:D10"/>
    <mergeCell ref="M8:M10"/>
    <mergeCell ref="N27:N30"/>
    <mergeCell ref="N37:N41"/>
    <mergeCell ref="J11:J16"/>
    <mergeCell ref="K11:K16"/>
    <mergeCell ref="L11:L16"/>
    <mergeCell ref="M11:M16"/>
    <mergeCell ref="E11:E16"/>
    <mergeCell ref="F11:F16"/>
    <mergeCell ref="G11:G16"/>
    <mergeCell ref="H11:H16"/>
    <mergeCell ref="I11:I16"/>
  </mergeCells>
  <conditionalFormatting sqref="S57:S1048576 S7:S23 S25 S27:S31 S33:S35 S37:S41 S43 S47">
    <cfRule type="cellIs" dxfId="779" priority="71" operator="between">
      <formula>0.51</formula>
      <formula>0.69</formula>
    </cfRule>
    <cfRule type="cellIs" dxfId="778" priority="72" operator="between">
      <formula>0.51</formula>
      <formula>0.69</formula>
    </cfRule>
    <cfRule type="cellIs" dxfId="777" priority="73" operator="lessThan">
      <formula>0.5</formula>
    </cfRule>
    <cfRule type="cellIs" dxfId="776" priority="74" operator="greaterThan">
      <formula>0.7</formula>
    </cfRule>
    <cfRule type="cellIs" dxfId="775" priority="75" operator="between">
      <formula>0.51</formula>
      <formula>0.69</formula>
    </cfRule>
    <cfRule type="cellIs" dxfId="774" priority="76" operator="lessThan">
      <formula>50</formula>
    </cfRule>
    <cfRule type="cellIs" dxfId="773" priority="77" operator="greaterThan">
      <formula>0.7</formula>
    </cfRule>
    <cfRule type="cellIs" dxfId="772" priority="78" operator="between">
      <formula>0.51</formula>
      <formula>0.69</formula>
    </cfRule>
    <cfRule type="cellIs" dxfId="771" priority="79" operator="lessThan">
      <formula>0.5</formula>
    </cfRule>
    <cfRule type="cellIs" dxfId="770" priority="80" operator="greaterThan">
      <formula>0.7</formula>
    </cfRule>
  </conditionalFormatting>
  <conditionalFormatting sqref="S24">
    <cfRule type="cellIs" dxfId="769" priority="51" operator="between">
      <formula>0.51</formula>
      <formula>0.69</formula>
    </cfRule>
    <cfRule type="cellIs" dxfId="768" priority="52" operator="between">
      <formula>0.51</formula>
      <formula>0.69</formula>
    </cfRule>
    <cfRule type="cellIs" dxfId="767" priority="53" operator="lessThan">
      <formula>0.5</formula>
    </cfRule>
    <cfRule type="cellIs" dxfId="766" priority="54" operator="greaterThan">
      <formula>0.7</formula>
    </cfRule>
    <cfRule type="cellIs" dxfId="765" priority="55" operator="between">
      <formula>0.51</formula>
      <formula>0.69</formula>
    </cfRule>
    <cfRule type="cellIs" dxfId="764" priority="56" operator="lessThan">
      <formula>50</formula>
    </cfRule>
    <cfRule type="cellIs" dxfId="763" priority="57" operator="greaterThan">
      <formula>0.7</formula>
    </cfRule>
    <cfRule type="cellIs" dxfId="762" priority="58" operator="between">
      <formula>0.51</formula>
      <formula>0.69</formula>
    </cfRule>
    <cfRule type="cellIs" dxfId="761" priority="59" operator="lessThan">
      <formula>0.5</formula>
    </cfRule>
    <cfRule type="cellIs" dxfId="760" priority="60" operator="greaterThan">
      <formula>0.7</formula>
    </cfRule>
  </conditionalFormatting>
  <conditionalFormatting sqref="S26">
    <cfRule type="cellIs" dxfId="759" priority="41" operator="between">
      <formula>0.51</formula>
      <formula>0.69</formula>
    </cfRule>
    <cfRule type="cellIs" dxfId="758" priority="42" operator="between">
      <formula>0.51</formula>
      <formula>0.69</formula>
    </cfRule>
    <cfRule type="cellIs" dxfId="757" priority="43" operator="lessThan">
      <formula>0.5</formula>
    </cfRule>
    <cfRule type="cellIs" dxfId="756" priority="44" operator="greaterThan">
      <formula>0.7</formula>
    </cfRule>
    <cfRule type="cellIs" dxfId="755" priority="45" operator="between">
      <formula>0.51</formula>
      <formula>0.69</formula>
    </cfRule>
    <cfRule type="cellIs" dxfId="754" priority="46" operator="lessThan">
      <formula>50</formula>
    </cfRule>
    <cfRule type="cellIs" dxfId="753" priority="47" operator="greaterThan">
      <formula>0.7</formula>
    </cfRule>
    <cfRule type="cellIs" dxfId="752" priority="48" operator="between">
      <formula>0.51</formula>
      <formula>0.69</formula>
    </cfRule>
    <cfRule type="cellIs" dxfId="751" priority="49" operator="lessThan">
      <formula>0.5</formula>
    </cfRule>
    <cfRule type="cellIs" dxfId="750" priority="50" operator="greaterThan">
      <formula>0.7</formula>
    </cfRule>
  </conditionalFormatting>
  <conditionalFormatting sqref="S32">
    <cfRule type="cellIs" dxfId="749" priority="31" operator="between">
      <formula>0.51</formula>
      <formula>0.69</formula>
    </cfRule>
    <cfRule type="cellIs" dxfId="748" priority="32" operator="between">
      <formula>0.51</formula>
      <formula>0.69</formula>
    </cfRule>
    <cfRule type="cellIs" dxfId="747" priority="33" operator="lessThan">
      <formula>0.5</formula>
    </cfRule>
    <cfRule type="cellIs" dxfId="746" priority="34" operator="greaterThan">
      <formula>0.7</formula>
    </cfRule>
    <cfRule type="cellIs" dxfId="745" priority="35" operator="between">
      <formula>0.51</formula>
      <formula>0.69</formula>
    </cfRule>
    <cfRule type="cellIs" dxfId="744" priority="36" operator="lessThan">
      <formula>50</formula>
    </cfRule>
    <cfRule type="cellIs" dxfId="743" priority="37" operator="greaterThan">
      <formula>0.7</formula>
    </cfRule>
    <cfRule type="cellIs" dxfId="742" priority="38" operator="between">
      <formula>0.51</formula>
      <formula>0.69</formula>
    </cfRule>
    <cfRule type="cellIs" dxfId="741" priority="39" operator="lessThan">
      <formula>0.5</formula>
    </cfRule>
    <cfRule type="cellIs" dxfId="740" priority="40" operator="greaterThan">
      <formula>0.7</formula>
    </cfRule>
  </conditionalFormatting>
  <conditionalFormatting sqref="S36">
    <cfRule type="cellIs" dxfId="739" priority="21" operator="between">
      <formula>0.51</formula>
      <formula>0.69</formula>
    </cfRule>
    <cfRule type="cellIs" dxfId="738" priority="22" operator="between">
      <formula>0.51</formula>
      <formula>0.69</formula>
    </cfRule>
    <cfRule type="cellIs" dxfId="737" priority="23" operator="lessThan">
      <formula>0.5</formula>
    </cfRule>
    <cfRule type="cellIs" dxfId="736" priority="24" operator="greaterThan">
      <formula>0.7</formula>
    </cfRule>
    <cfRule type="cellIs" dxfId="735" priority="25" operator="between">
      <formula>0.51</formula>
      <formula>0.69</formula>
    </cfRule>
    <cfRule type="cellIs" dxfId="734" priority="26" operator="lessThan">
      <formula>50</formula>
    </cfRule>
    <cfRule type="cellIs" dxfId="733" priority="27" operator="greaterThan">
      <formula>0.7</formula>
    </cfRule>
    <cfRule type="cellIs" dxfId="732" priority="28" operator="between">
      <formula>0.51</formula>
      <formula>0.69</formula>
    </cfRule>
    <cfRule type="cellIs" dxfId="731" priority="29" operator="lessThan">
      <formula>0.5</formula>
    </cfRule>
    <cfRule type="cellIs" dxfId="730" priority="30" operator="greaterThan">
      <formula>0.7</formula>
    </cfRule>
  </conditionalFormatting>
  <conditionalFormatting sqref="S42">
    <cfRule type="cellIs" dxfId="729" priority="11" operator="between">
      <formula>0.51</formula>
      <formula>0.69</formula>
    </cfRule>
    <cfRule type="cellIs" dxfId="728" priority="12" operator="between">
      <formula>0.51</formula>
      <formula>0.69</formula>
    </cfRule>
    <cfRule type="cellIs" dxfId="727" priority="13" operator="lessThan">
      <formula>0.5</formula>
    </cfRule>
    <cfRule type="cellIs" dxfId="726" priority="14" operator="greaterThan">
      <formula>0.7</formula>
    </cfRule>
    <cfRule type="cellIs" dxfId="725" priority="15" operator="between">
      <formula>0.51</formula>
      <formula>0.69</formula>
    </cfRule>
    <cfRule type="cellIs" dxfId="724" priority="16" operator="lessThan">
      <formula>50</formula>
    </cfRule>
    <cfRule type="cellIs" dxfId="723" priority="17" operator="greaterThan">
      <formula>0.7</formula>
    </cfRule>
    <cfRule type="cellIs" dxfId="722" priority="18" operator="between">
      <formula>0.51</formula>
      <formula>0.69</formula>
    </cfRule>
    <cfRule type="cellIs" dxfId="721" priority="19" operator="lessThan">
      <formula>0.5</formula>
    </cfRule>
    <cfRule type="cellIs" dxfId="720" priority="20" operator="greaterThan">
      <formula>0.7</formula>
    </cfRule>
  </conditionalFormatting>
  <conditionalFormatting sqref="S44:S46">
    <cfRule type="cellIs" dxfId="719" priority="1" operator="between">
      <formula>0.51</formula>
      <formula>0.69</formula>
    </cfRule>
    <cfRule type="cellIs" dxfId="718" priority="2" operator="between">
      <formula>0.51</formula>
      <formula>0.69</formula>
    </cfRule>
    <cfRule type="cellIs" dxfId="717" priority="3" operator="lessThan">
      <formula>0.5</formula>
    </cfRule>
    <cfRule type="cellIs" dxfId="716" priority="4" operator="greaterThan">
      <formula>0.7</formula>
    </cfRule>
    <cfRule type="cellIs" dxfId="715" priority="5" operator="between">
      <formula>0.51</formula>
      <formula>0.69</formula>
    </cfRule>
    <cfRule type="cellIs" dxfId="714" priority="6" operator="lessThan">
      <formula>50</formula>
    </cfRule>
    <cfRule type="cellIs" dxfId="713" priority="7" operator="greaterThan">
      <formula>0.7</formula>
    </cfRule>
    <cfRule type="cellIs" dxfId="712" priority="8" operator="between">
      <formula>0.51</formula>
      <formula>0.69</formula>
    </cfRule>
    <cfRule type="cellIs" dxfId="711" priority="9" operator="lessThan">
      <formula>0.5</formula>
    </cfRule>
    <cfRule type="cellIs" dxfId="710" priority="10" operator="greaterThan">
      <formula>0.7</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482B"/>
  </sheetPr>
  <dimension ref="A1:EB832"/>
  <sheetViews>
    <sheetView showGridLines="0" zoomScale="80" zoomScaleNormal="80" workbookViewId="0">
      <selection activeCell="U20" sqref="U20"/>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5.7109375" style="40" hidden="1" customWidth="1"/>
    <col min="9" max="9" width="12.7109375" style="40" hidden="1" customWidth="1"/>
    <col min="10" max="10" width="15.140625" style="40" hidden="1" customWidth="1"/>
    <col min="11" max="11" width="15" style="40" hidden="1" customWidth="1"/>
    <col min="12" max="12" width="19.5703125" style="40" customWidth="1"/>
    <col min="13" max="13" width="17.7109375" style="40" bestFit="1" customWidth="1"/>
    <col min="14" max="14" width="15.7109375" style="40" customWidth="1"/>
    <col min="15" max="15" width="11.42578125" style="40" customWidth="1"/>
    <col min="16" max="16" width="15.42578125" style="40" customWidth="1"/>
    <col min="17" max="17" width="17.85546875" style="40" customWidth="1"/>
    <col min="18" max="18" width="11.5703125" style="3" bestFit="1" customWidth="1"/>
    <col min="19" max="19" width="11.42578125" style="40" customWidth="1"/>
    <col min="20" max="20" width="16.7109375" style="35" bestFit="1" customWidth="1"/>
    <col min="21" max="21" width="17.85546875" style="40" bestFit="1" customWidth="1"/>
    <col min="22" max="22" width="11.42578125" style="40" customWidth="1"/>
    <col min="23" max="23" width="14.5703125" style="35" customWidth="1"/>
    <col min="24" max="24" width="19" style="40" bestFit="1" customWidth="1"/>
    <col min="25" max="129" width="11.5703125" style="39" hidden="1" customWidth="1"/>
    <col min="130" max="132" width="11.5703125" style="40" hidden="1" customWidth="1"/>
    <col min="133" max="16384" width="11.42578125" style="40"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871</v>
      </c>
      <c r="H7" s="41" t="s">
        <v>1134</v>
      </c>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15" customHeight="1" x14ac:dyDescent="0.25">
      <c r="A8" s="692" t="s">
        <v>170</v>
      </c>
      <c r="B8" s="766" t="s">
        <v>11</v>
      </c>
      <c r="C8" s="689" t="s">
        <v>171</v>
      </c>
      <c r="D8" s="736" t="s">
        <v>843</v>
      </c>
      <c r="E8" s="689" t="s">
        <v>116</v>
      </c>
      <c r="F8" s="710">
        <v>15000000</v>
      </c>
      <c r="G8" s="710">
        <v>15000000</v>
      </c>
      <c r="H8" s="710">
        <v>43601187</v>
      </c>
      <c r="I8" s="692"/>
      <c r="J8" s="692"/>
      <c r="K8" s="692"/>
      <c r="L8" s="758">
        <f>+F8+G8+H8+J9-K9</f>
        <v>73601187</v>
      </c>
      <c r="M8" s="742">
        <f>300000000+102002187</f>
        <v>402002187</v>
      </c>
      <c r="N8" s="78" t="s">
        <v>611</v>
      </c>
      <c r="O8" s="457">
        <v>210</v>
      </c>
      <c r="P8" s="78" t="s">
        <v>612</v>
      </c>
      <c r="Q8" s="274">
        <v>12087000</v>
      </c>
      <c r="R8" s="46"/>
      <c r="S8" s="250">
        <v>356</v>
      </c>
      <c r="T8" s="122">
        <v>44610</v>
      </c>
      <c r="U8" s="66">
        <v>12087000</v>
      </c>
      <c r="V8" s="568">
        <v>2177</v>
      </c>
      <c r="W8" s="273">
        <v>44659</v>
      </c>
      <c r="X8" s="278">
        <v>12087000</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15" customHeight="1" x14ac:dyDescent="0.25">
      <c r="A9" s="693"/>
      <c r="B9" s="767"/>
      <c r="C9" s="690"/>
      <c r="D9" s="737"/>
      <c r="E9" s="690"/>
      <c r="F9" s="712"/>
      <c r="G9" s="712"/>
      <c r="H9" s="712"/>
      <c r="I9" s="694"/>
      <c r="J9" s="694"/>
      <c r="K9" s="694"/>
      <c r="L9" s="763"/>
      <c r="M9" s="743"/>
      <c r="N9" s="78" t="s">
        <v>1409</v>
      </c>
      <c r="O9" s="457" t="s">
        <v>1410</v>
      </c>
      <c r="P9" s="78" t="s">
        <v>1411</v>
      </c>
      <c r="Q9" s="274">
        <v>13155450</v>
      </c>
      <c r="R9" s="46"/>
      <c r="S9" s="38">
        <v>602</v>
      </c>
      <c r="T9" s="122">
        <v>44697</v>
      </c>
      <c r="U9" s="267">
        <v>13155450</v>
      </c>
      <c r="V9" s="568">
        <v>3579</v>
      </c>
      <c r="W9" s="273">
        <v>44763</v>
      </c>
      <c r="X9" s="274">
        <v>13155450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15" customHeight="1" x14ac:dyDescent="0.25">
      <c r="A10" s="693"/>
      <c r="B10" s="767"/>
      <c r="C10" s="690"/>
      <c r="D10" s="738"/>
      <c r="E10" s="691"/>
      <c r="F10" s="312"/>
      <c r="G10" s="312"/>
      <c r="H10" s="312"/>
      <c r="I10" s="309"/>
      <c r="J10" s="309"/>
      <c r="K10" s="309"/>
      <c r="L10" s="759"/>
      <c r="M10" s="743"/>
      <c r="N10" s="78" t="s">
        <v>1800</v>
      </c>
      <c r="O10" s="457">
        <v>517</v>
      </c>
      <c r="P10" s="78" t="s">
        <v>1801</v>
      </c>
      <c r="Q10" s="274">
        <v>39163614</v>
      </c>
      <c r="R10" s="46"/>
      <c r="S10" s="329">
        <v>1042</v>
      </c>
      <c r="T10" s="273">
        <v>44791</v>
      </c>
      <c r="U10" s="274">
        <v>39163614</v>
      </c>
      <c r="V10" s="568">
        <v>4925</v>
      </c>
      <c r="W10" s="273">
        <v>44813</v>
      </c>
      <c r="X10" s="274">
        <v>39163614</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15" x14ac:dyDescent="0.25">
      <c r="A11" s="693"/>
      <c r="B11" s="767"/>
      <c r="C11" s="690"/>
      <c r="D11" s="692" t="s">
        <v>771</v>
      </c>
      <c r="E11" s="689" t="s">
        <v>117</v>
      </c>
      <c r="F11" s="710">
        <v>22500000</v>
      </c>
      <c r="G11" s="710">
        <v>22500000</v>
      </c>
      <c r="H11" s="710">
        <v>58401000</v>
      </c>
      <c r="I11" s="692"/>
      <c r="J11" s="692"/>
      <c r="K11" s="692"/>
      <c r="L11" s="758">
        <f>+F11+G11+H11+J12-K12</f>
        <v>103401000</v>
      </c>
      <c r="M11" s="743"/>
      <c r="N11" s="78" t="s">
        <v>950</v>
      </c>
      <c r="O11" s="457" t="s">
        <v>951</v>
      </c>
      <c r="P11" s="78" t="s">
        <v>952</v>
      </c>
      <c r="Q11" s="274">
        <v>19440000</v>
      </c>
      <c r="R11" s="46"/>
      <c r="S11" s="250">
        <v>409</v>
      </c>
      <c r="T11" s="122" t="s">
        <v>1013</v>
      </c>
      <c r="U11" s="66">
        <v>19440000</v>
      </c>
      <c r="V11" s="568">
        <v>2535</v>
      </c>
      <c r="W11" s="273">
        <v>44694</v>
      </c>
      <c r="X11" s="278">
        <v>19440000</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15" x14ac:dyDescent="0.25">
      <c r="A12" s="693"/>
      <c r="B12" s="767"/>
      <c r="C12" s="690"/>
      <c r="D12" s="693"/>
      <c r="E12" s="690"/>
      <c r="F12" s="712"/>
      <c r="G12" s="712"/>
      <c r="H12" s="712"/>
      <c r="I12" s="694"/>
      <c r="J12" s="694"/>
      <c r="K12" s="694"/>
      <c r="L12" s="763"/>
      <c r="M12" s="743"/>
      <c r="N12" s="78" t="s">
        <v>1412</v>
      </c>
      <c r="O12" s="457" t="s">
        <v>1413</v>
      </c>
      <c r="P12" s="78" t="s">
        <v>1414</v>
      </c>
      <c r="Q12" s="274">
        <v>19740000</v>
      </c>
      <c r="R12" s="46"/>
      <c r="S12" s="38">
        <v>714</v>
      </c>
      <c r="T12" s="122">
        <v>44722</v>
      </c>
      <c r="U12" s="267">
        <v>19740000</v>
      </c>
      <c r="V12" s="568">
        <v>4528</v>
      </c>
      <c r="W12" s="273">
        <v>44792</v>
      </c>
      <c r="X12" s="274">
        <v>19740000</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15" x14ac:dyDescent="0.25">
      <c r="A13" s="693"/>
      <c r="B13" s="767"/>
      <c r="C13" s="690"/>
      <c r="D13" s="694"/>
      <c r="E13" s="691"/>
      <c r="F13" s="313"/>
      <c r="G13" s="313"/>
      <c r="H13" s="313"/>
      <c r="I13" s="85"/>
      <c r="J13" s="303"/>
      <c r="K13" s="303"/>
      <c r="L13" s="759"/>
      <c r="M13" s="743"/>
      <c r="N13" s="78" t="s">
        <v>1573</v>
      </c>
      <c r="O13" s="457">
        <v>498</v>
      </c>
      <c r="P13" s="78" t="s">
        <v>1574</v>
      </c>
      <c r="Q13" s="274">
        <v>47720000</v>
      </c>
      <c r="R13" s="46"/>
      <c r="S13" s="329">
        <v>990</v>
      </c>
      <c r="T13" s="273">
        <v>44778</v>
      </c>
      <c r="U13" s="274">
        <v>47720000</v>
      </c>
      <c r="V13" s="568">
        <v>5016</v>
      </c>
      <c r="W13" s="273">
        <v>44824</v>
      </c>
      <c r="X13" s="274">
        <v>47720000</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36.75" customHeight="1" x14ac:dyDescent="0.25">
      <c r="A14" s="693"/>
      <c r="B14" s="767"/>
      <c r="C14" s="690"/>
      <c r="D14" s="44" t="s">
        <v>772</v>
      </c>
      <c r="E14" s="69" t="s">
        <v>100</v>
      </c>
      <c r="F14" s="289">
        <v>55000000</v>
      </c>
      <c r="G14" s="66">
        <v>0</v>
      </c>
      <c r="H14" s="44"/>
      <c r="I14" s="45"/>
      <c r="J14" s="44"/>
      <c r="K14" s="44"/>
      <c r="L14" s="65">
        <f t="shared" ref="L14:L19" si="0">+F14+G14+H14+J14-K14</f>
        <v>55000000</v>
      </c>
      <c r="M14" s="743"/>
      <c r="N14" s="44"/>
      <c r="O14" s="44"/>
      <c r="P14" s="44"/>
      <c r="Q14" s="44"/>
      <c r="R14" s="46"/>
      <c r="S14" s="44"/>
      <c r="T14" s="79"/>
      <c r="U14" s="44"/>
      <c r="V14" s="568"/>
      <c r="W14" s="273"/>
      <c r="X14" s="568"/>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15" x14ac:dyDescent="0.25">
      <c r="A15" s="693"/>
      <c r="B15" s="767"/>
      <c r="C15" s="690"/>
      <c r="D15" s="692" t="s">
        <v>773</v>
      </c>
      <c r="E15" s="689" t="s">
        <v>113</v>
      </c>
      <c r="F15" s="289">
        <v>33500000</v>
      </c>
      <c r="G15" s="289">
        <v>33500000</v>
      </c>
      <c r="H15" s="44"/>
      <c r="I15" s="45"/>
      <c r="J15" s="44"/>
      <c r="K15" s="44"/>
      <c r="L15" s="758">
        <f t="shared" si="0"/>
        <v>67000000</v>
      </c>
      <c r="M15" s="743"/>
      <c r="N15" s="78" t="s">
        <v>2098</v>
      </c>
      <c r="O15" s="457">
        <v>544</v>
      </c>
      <c r="P15" s="80" t="s">
        <v>2100</v>
      </c>
      <c r="Q15" s="345">
        <v>10032999</v>
      </c>
      <c r="R15" s="46"/>
      <c r="S15" s="568">
        <v>1063</v>
      </c>
      <c r="T15" s="273">
        <v>44796</v>
      </c>
      <c r="U15" s="345">
        <v>10032999</v>
      </c>
      <c r="V15" s="568">
        <v>5744</v>
      </c>
      <c r="W15" s="273" t="s">
        <v>2795</v>
      </c>
      <c r="X15" s="345">
        <v>10032999</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15" x14ac:dyDescent="0.25">
      <c r="A16" s="693"/>
      <c r="B16" s="767"/>
      <c r="C16" s="690"/>
      <c r="D16" s="694"/>
      <c r="E16" s="691"/>
      <c r="F16" s="311"/>
      <c r="G16" s="311"/>
      <c r="H16" s="302"/>
      <c r="I16" s="344"/>
      <c r="J16" s="302"/>
      <c r="K16" s="302"/>
      <c r="L16" s="759"/>
      <c r="M16" s="743"/>
      <c r="N16" s="78" t="s">
        <v>2099</v>
      </c>
      <c r="O16" s="457">
        <v>601</v>
      </c>
      <c r="P16" s="80" t="s">
        <v>2101</v>
      </c>
      <c r="Q16" s="345">
        <v>54460000</v>
      </c>
      <c r="R16" s="46"/>
      <c r="S16" s="568">
        <v>1160</v>
      </c>
      <c r="T16" s="273">
        <v>44817</v>
      </c>
      <c r="U16" s="345">
        <v>54460000</v>
      </c>
      <c r="V16" s="568">
        <v>5540</v>
      </c>
      <c r="W16" s="273" t="s">
        <v>2861</v>
      </c>
      <c r="X16" s="345">
        <v>54460000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15" x14ac:dyDescent="0.25">
      <c r="A17" s="693"/>
      <c r="B17" s="767"/>
      <c r="C17" s="690"/>
      <c r="D17" s="692" t="s">
        <v>774</v>
      </c>
      <c r="E17" s="689" t="s">
        <v>144</v>
      </c>
      <c r="F17" s="710">
        <v>34000000</v>
      </c>
      <c r="G17" s="710">
        <v>34000000</v>
      </c>
      <c r="H17" s="692"/>
      <c r="I17" s="692"/>
      <c r="J17" s="692"/>
      <c r="K17" s="692"/>
      <c r="L17" s="758">
        <f>+F17+G17+H18+J18-K18</f>
        <v>68000000</v>
      </c>
      <c r="M17" s="743"/>
      <c r="N17" s="78" t="s">
        <v>1403</v>
      </c>
      <c r="O17" s="457" t="s">
        <v>1404</v>
      </c>
      <c r="P17" s="78" t="s">
        <v>1405</v>
      </c>
      <c r="Q17" s="274">
        <v>12999798</v>
      </c>
      <c r="R17" s="46"/>
      <c r="S17" s="568">
        <v>577</v>
      </c>
      <c r="T17" s="273">
        <v>44683</v>
      </c>
      <c r="U17" s="267">
        <v>12999798</v>
      </c>
      <c r="V17" s="568">
        <v>2879</v>
      </c>
      <c r="W17" s="273">
        <v>44725</v>
      </c>
      <c r="X17" s="274">
        <v>12999798</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15" x14ac:dyDescent="0.25">
      <c r="A18" s="693"/>
      <c r="B18" s="767"/>
      <c r="C18" s="690"/>
      <c r="D18" s="694"/>
      <c r="E18" s="691"/>
      <c r="F18" s="712"/>
      <c r="G18" s="712"/>
      <c r="H18" s="694"/>
      <c r="I18" s="694"/>
      <c r="J18" s="694"/>
      <c r="K18" s="694"/>
      <c r="L18" s="759"/>
      <c r="M18" s="743"/>
      <c r="N18" s="78" t="s">
        <v>1406</v>
      </c>
      <c r="O18" s="457" t="s">
        <v>1407</v>
      </c>
      <c r="P18" s="78" t="s">
        <v>1408</v>
      </c>
      <c r="Q18" s="274">
        <v>54399998</v>
      </c>
      <c r="R18" s="46"/>
      <c r="S18" s="568">
        <v>676</v>
      </c>
      <c r="T18" s="273">
        <v>44713</v>
      </c>
      <c r="U18" s="267">
        <v>54399998</v>
      </c>
      <c r="V18" s="568">
        <v>3950</v>
      </c>
      <c r="W18" s="273">
        <v>44776</v>
      </c>
      <c r="X18" s="274">
        <v>54399998</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27" x14ac:dyDescent="0.25">
      <c r="A19" s="694"/>
      <c r="B19" s="768"/>
      <c r="C19" s="691"/>
      <c r="D19" s="44" t="s">
        <v>775</v>
      </c>
      <c r="E19" s="69" t="s">
        <v>120</v>
      </c>
      <c r="F19" s="289">
        <v>17500000</v>
      </c>
      <c r="G19" s="289">
        <v>17500000</v>
      </c>
      <c r="H19" s="44"/>
      <c r="I19" s="45"/>
      <c r="J19" s="44"/>
      <c r="K19" s="44"/>
      <c r="L19" s="65">
        <f t="shared" si="0"/>
        <v>35000000</v>
      </c>
      <c r="M19" s="744"/>
      <c r="N19" s="80" t="s">
        <v>2087</v>
      </c>
      <c r="O19" s="457">
        <v>542</v>
      </c>
      <c r="P19" s="80" t="s">
        <v>2086</v>
      </c>
      <c r="Q19" s="345">
        <v>34695000</v>
      </c>
      <c r="R19" s="46"/>
      <c r="S19" s="568">
        <v>1064</v>
      </c>
      <c r="T19" s="273">
        <v>44796</v>
      </c>
      <c r="U19" s="345">
        <v>34695000</v>
      </c>
      <c r="V19" s="568">
        <v>5033</v>
      </c>
      <c r="W19" s="273">
        <v>44826</v>
      </c>
      <c r="X19" s="274">
        <v>34695000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107" customFormat="1" ht="15.75" thickBot="1" x14ac:dyDescent="0.3">
      <c r="A20" s="92"/>
      <c r="B20" s="92"/>
      <c r="C20" s="92"/>
      <c r="D20" s="92"/>
      <c r="E20" s="104"/>
      <c r="F20" s="101"/>
      <c r="G20" s="101"/>
      <c r="H20" s="92"/>
      <c r="I20" s="93"/>
      <c r="J20" s="92"/>
      <c r="K20" s="92"/>
      <c r="L20" s="102">
        <f>SUM(L8:L19)</f>
        <v>402002187</v>
      </c>
      <c r="M20" s="101"/>
      <c r="N20" s="105"/>
      <c r="O20" s="86"/>
      <c r="P20" s="95"/>
      <c r="Q20" s="103">
        <f>SUM(Q8:Q19)</f>
        <v>317893859</v>
      </c>
      <c r="R20" s="89"/>
      <c r="S20" s="86"/>
      <c r="T20" s="95"/>
      <c r="U20" s="103">
        <f>SUM(U8:U19)</f>
        <v>317893859</v>
      </c>
      <c r="V20" s="86"/>
      <c r="W20" s="95"/>
      <c r="X20" s="103">
        <f>SUM(X8:X19)</f>
        <v>317893859</v>
      </c>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row>
    <row r="21" spans="1:129" s="63" customFormat="1" ht="17.25" thickBot="1" x14ac:dyDescent="0.35">
      <c r="A21" s="51"/>
      <c r="B21" s="51"/>
      <c r="C21" s="42"/>
      <c r="D21" s="42"/>
      <c r="E21" s="42"/>
      <c r="F21" s="52"/>
      <c r="G21" s="42"/>
      <c r="H21" s="42"/>
      <c r="I21" s="43"/>
      <c r="J21" s="53" t="s">
        <v>29</v>
      </c>
      <c r="K21" s="54"/>
      <c r="L21" s="55">
        <f>+L20</f>
        <v>402002187</v>
      </c>
      <c r="M21" s="56"/>
      <c r="N21" s="56"/>
      <c r="O21" s="56"/>
      <c r="P21" s="56"/>
      <c r="Q21" s="67">
        <f>+Q20</f>
        <v>317893859</v>
      </c>
      <c r="R21" s="57">
        <f>(Q21*1)/L21</f>
        <v>0.79077644172119888</v>
      </c>
      <c r="S21" s="58"/>
      <c r="T21" s="59"/>
      <c r="U21" s="60">
        <f>+U20</f>
        <v>317893859</v>
      </c>
      <c r="V21" s="58"/>
      <c r="W21" s="59"/>
      <c r="X21" s="172">
        <f>+X20</f>
        <v>317893859</v>
      </c>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row>
    <row r="22" spans="1:129" ht="15" x14ac:dyDescent="0.25">
      <c r="R22" s="4"/>
    </row>
    <row r="23" spans="1:129" ht="15" x14ac:dyDescent="0.25">
      <c r="Q23" s="39"/>
      <c r="R23" s="6"/>
      <c r="S23" s="39"/>
    </row>
    <row r="24" spans="1:129" ht="15" x14ac:dyDescent="0.25">
      <c r="Q24" s="39"/>
      <c r="R24" s="6"/>
      <c r="S24" s="39"/>
    </row>
    <row r="25" spans="1:129" ht="15" x14ac:dyDescent="0.25">
      <c r="Q25" s="39"/>
      <c r="R25" s="6"/>
      <c r="S25" s="39"/>
    </row>
    <row r="26" spans="1:129" ht="15" x14ac:dyDescent="0.25">
      <c r="Q26" s="547"/>
      <c r="R26" s="6"/>
      <c r="S26" s="39"/>
    </row>
    <row r="27" spans="1:129" ht="15" x14ac:dyDescent="0.25">
      <c r="Q27" s="547"/>
      <c r="R27" s="6"/>
      <c r="S27" s="39"/>
    </row>
    <row r="28" spans="1:129" ht="15" x14ac:dyDescent="0.25">
      <c r="Q28" s="39"/>
      <c r="R28" s="6"/>
      <c r="S28" s="39"/>
    </row>
    <row r="29" spans="1:129" ht="15" x14ac:dyDescent="0.25">
      <c r="Q29" s="39"/>
      <c r="R29" s="6"/>
      <c r="S29" s="39"/>
    </row>
    <row r="30" spans="1:129" ht="15" x14ac:dyDescent="0.25">
      <c r="Q30" s="39"/>
      <c r="R30" s="6"/>
      <c r="S30" s="39"/>
    </row>
    <row r="31" spans="1:129" ht="15" x14ac:dyDescent="0.25">
      <c r="Q31" s="39"/>
      <c r="R31" s="7"/>
      <c r="S31" s="39"/>
    </row>
    <row r="32" spans="1:129"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customHeight="1" x14ac:dyDescent="0.25"/>
    <row r="75" ht="15"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sheetData>
  <sheetProtection algorithmName="SHA-512" hashValue="vIFwnspf/YwmiE+F3sqwkj9I2SjLD1fmlQc/sJg4Vcvhb7TOyYq+xjuZD4pQxLE0UMOYS8YkRLYQ2rXMjbJpOQ==" saltValue="PgcbB2NfiBARwF5KT4z/8A==" spinCount="100000" sheet="1" objects="1" scenarios="1" selectLockedCells="1" selectUnlockedCells="1"/>
  <mergeCells count="42">
    <mergeCell ref="L15:L16"/>
    <mergeCell ref="A8:A19"/>
    <mergeCell ref="I8:I9"/>
    <mergeCell ref="A2:A5"/>
    <mergeCell ref="B2:V2"/>
    <mergeCell ref="D17:D18"/>
    <mergeCell ref="E17:E18"/>
    <mergeCell ref="F17:F18"/>
    <mergeCell ref="G17:G18"/>
    <mergeCell ref="L17:L18"/>
    <mergeCell ref="K17:K18"/>
    <mergeCell ref="J17:J18"/>
    <mergeCell ref="I17:I18"/>
    <mergeCell ref="H17:H18"/>
    <mergeCell ref="M8:M19"/>
    <mergeCell ref="C8:C19"/>
    <mergeCell ref="B8:B19"/>
    <mergeCell ref="F8:F9"/>
    <mergeCell ref="G8:G9"/>
    <mergeCell ref="H8:H9"/>
    <mergeCell ref="D15:D16"/>
    <mergeCell ref="E15:E16"/>
    <mergeCell ref="K8:K9"/>
    <mergeCell ref="D8:D10"/>
    <mergeCell ref="E8:E10"/>
    <mergeCell ref="L8:L10"/>
    <mergeCell ref="D11:D13"/>
    <mergeCell ref="E11:E13"/>
    <mergeCell ref="L11:L13"/>
    <mergeCell ref="J8:J9"/>
    <mergeCell ref="K11:K12"/>
    <mergeCell ref="F11:F12"/>
    <mergeCell ref="G11:G12"/>
    <mergeCell ref="H11:H12"/>
    <mergeCell ref="I11:I12"/>
    <mergeCell ref="J11:J12"/>
    <mergeCell ref="W2:X2"/>
    <mergeCell ref="B3:V3"/>
    <mergeCell ref="W3:X3"/>
    <mergeCell ref="B4:V5"/>
    <mergeCell ref="W4:X4"/>
    <mergeCell ref="W5:X5"/>
  </mergeCells>
  <conditionalFormatting sqref="R31:R1048576 R7:R19 R21">
    <cfRule type="cellIs" dxfId="709" priority="11" operator="between">
      <formula>0.51</formula>
      <formula>0.69</formula>
    </cfRule>
    <cfRule type="cellIs" dxfId="708" priority="12" operator="between">
      <formula>0.51</formula>
      <formula>0.69</formula>
    </cfRule>
    <cfRule type="cellIs" dxfId="707" priority="13" operator="lessThan">
      <formula>0.5</formula>
    </cfRule>
    <cfRule type="cellIs" dxfId="706" priority="14" operator="greaterThan">
      <formula>0.7</formula>
    </cfRule>
    <cfRule type="cellIs" dxfId="705" priority="15" operator="between">
      <formula>0.51</formula>
      <formula>0.69</formula>
    </cfRule>
    <cfRule type="cellIs" dxfId="704" priority="16" operator="lessThan">
      <formula>50</formula>
    </cfRule>
    <cfRule type="cellIs" dxfId="703" priority="17" operator="greaterThan">
      <formula>0.7</formula>
    </cfRule>
    <cfRule type="cellIs" dxfId="702" priority="18" operator="between">
      <formula>0.51</formula>
      <formula>0.69</formula>
    </cfRule>
    <cfRule type="cellIs" dxfId="701" priority="19" operator="lessThan">
      <formula>0.5</formula>
    </cfRule>
    <cfRule type="cellIs" dxfId="700" priority="20" operator="greaterThan">
      <formula>0.7</formula>
    </cfRule>
  </conditionalFormatting>
  <conditionalFormatting sqref="R20">
    <cfRule type="cellIs" dxfId="699" priority="1" operator="between">
      <formula>0.51</formula>
      <formula>0.69</formula>
    </cfRule>
    <cfRule type="cellIs" dxfId="698" priority="2" operator="between">
      <formula>0.51</formula>
      <formula>0.69</formula>
    </cfRule>
    <cfRule type="cellIs" dxfId="697" priority="3" operator="lessThan">
      <formula>0.5</formula>
    </cfRule>
    <cfRule type="cellIs" dxfId="696" priority="4" operator="greaterThan">
      <formula>0.7</formula>
    </cfRule>
    <cfRule type="cellIs" dxfId="695" priority="5" operator="between">
      <formula>0.51</formula>
      <formula>0.69</formula>
    </cfRule>
    <cfRule type="cellIs" dxfId="694" priority="6" operator="lessThan">
      <formula>50</formula>
    </cfRule>
    <cfRule type="cellIs" dxfId="693" priority="7" operator="greaterThan">
      <formula>0.7</formula>
    </cfRule>
    <cfRule type="cellIs" dxfId="692" priority="8" operator="between">
      <formula>0.51</formula>
      <formula>0.69</formula>
    </cfRule>
    <cfRule type="cellIs" dxfId="691" priority="9" operator="lessThan">
      <formula>0.5</formula>
    </cfRule>
    <cfRule type="cellIs" dxfId="690" priority="10" operator="greaterThan">
      <formula>0.7</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482B"/>
  </sheetPr>
  <dimension ref="A1:EB852"/>
  <sheetViews>
    <sheetView showGridLines="0" topLeftCell="D7" zoomScale="80" zoomScaleNormal="80" workbookViewId="0">
      <pane ySplit="1" topLeftCell="A8" activePane="bottomLeft" state="frozen"/>
      <selection activeCell="A7" sqref="A7"/>
      <selection pane="bottomLeft" activeCell="U36" sqref="U36"/>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1.42578125" style="40" hidden="1" customWidth="1"/>
    <col min="9" max="9" width="12.7109375" style="40" hidden="1" customWidth="1"/>
    <col min="10" max="10" width="16.7109375" style="40" hidden="1" customWidth="1"/>
    <col min="11" max="11" width="18.7109375" style="40" hidden="1" customWidth="1"/>
    <col min="12" max="12" width="19.5703125" style="40" customWidth="1"/>
    <col min="13" max="13" width="17.7109375" style="40" bestFit="1" customWidth="1"/>
    <col min="14" max="14" width="15.7109375" style="40" customWidth="1"/>
    <col min="15" max="15" width="11.42578125" style="40" customWidth="1"/>
    <col min="16" max="16" width="15.42578125" style="40" customWidth="1"/>
    <col min="17" max="17" width="17.28515625" style="40" bestFit="1" customWidth="1"/>
    <col min="18" max="18" width="11.5703125" style="3" bestFit="1" customWidth="1"/>
    <col min="19" max="19" width="11.42578125" style="40" customWidth="1"/>
    <col min="20" max="20" width="16.7109375" style="35" bestFit="1" customWidth="1"/>
    <col min="21" max="21" width="19.140625" style="40" bestFit="1" customWidth="1"/>
    <col min="22" max="22" width="11.42578125" style="40" customWidth="1"/>
    <col min="23" max="23" width="14.5703125" style="35" customWidth="1"/>
    <col min="24" max="24" width="17.28515625" style="40" bestFit="1" customWidth="1"/>
    <col min="25" max="129" width="11.5703125" style="39" hidden="1" customWidth="1"/>
    <col min="130" max="132" width="11.5703125" style="40" hidden="1" customWidth="1"/>
    <col min="133" max="16384" width="11.42578125" style="40" hidden="1"/>
  </cols>
  <sheetData>
    <row r="1" spans="1:129" ht="15" hidden="1" x14ac:dyDescent="0.25">
      <c r="A1" s="24"/>
      <c r="B1" s="25"/>
      <c r="C1" s="25"/>
      <c r="D1" s="26"/>
      <c r="E1" s="26"/>
      <c r="F1" s="27"/>
      <c r="G1" s="28"/>
      <c r="H1" s="28"/>
      <c r="I1" s="28"/>
      <c r="J1" s="28"/>
      <c r="K1" s="29"/>
      <c r="L1" s="24"/>
      <c r="M1" s="24"/>
      <c r="N1" s="24"/>
      <c r="O1" s="24"/>
      <c r="P1" s="24"/>
      <c r="Q1" s="24"/>
      <c r="R1" s="24"/>
      <c r="S1" s="24"/>
      <c r="T1" s="36"/>
      <c r="U1" s="24"/>
      <c r="V1" s="24"/>
      <c r="W1" s="36"/>
    </row>
    <row r="2" spans="1:129"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hidden="1"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1134</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27" x14ac:dyDescent="0.25">
      <c r="A8" s="692" t="s">
        <v>172</v>
      </c>
      <c r="B8" s="766" t="s">
        <v>173</v>
      </c>
      <c r="C8" s="689" t="s">
        <v>174</v>
      </c>
      <c r="D8" s="44" t="s">
        <v>776</v>
      </c>
      <c r="E8" s="8" t="s">
        <v>116</v>
      </c>
      <c r="F8" s="289">
        <v>25000000</v>
      </c>
      <c r="G8" s="66">
        <v>0</v>
      </c>
      <c r="H8" s="44"/>
      <c r="I8" s="45"/>
      <c r="J8" s="44"/>
      <c r="K8" s="289">
        <f>10000000+15000000</f>
        <v>25000000</v>
      </c>
      <c r="L8" s="65">
        <f>+F8+G8+H8+J8-K8</f>
        <v>0</v>
      </c>
      <c r="M8" s="742">
        <v>451301300</v>
      </c>
      <c r="N8" s="44"/>
      <c r="O8" s="44"/>
      <c r="P8" s="44"/>
      <c r="Q8" s="44"/>
      <c r="R8" s="46"/>
      <c r="S8" s="44"/>
      <c r="T8" s="79"/>
      <c r="U8" s="44"/>
      <c r="V8" s="44"/>
      <c r="W8" s="79"/>
      <c r="X8" s="44"/>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42" customHeight="1" x14ac:dyDescent="0.25">
      <c r="A9" s="693"/>
      <c r="B9" s="767"/>
      <c r="C9" s="690"/>
      <c r="D9" s="44" t="s">
        <v>777</v>
      </c>
      <c r="E9" s="8" t="s">
        <v>165</v>
      </c>
      <c r="F9" s="289">
        <v>40000000</v>
      </c>
      <c r="G9" s="64">
        <v>0</v>
      </c>
      <c r="H9" s="44"/>
      <c r="I9" s="45"/>
      <c r="J9" s="44"/>
      <c r="K9" s="44"/>
      <c r="L9" s="65">
        <f>+F9+G9+H9+J9-K9</f>
        <v>40000000</v>
      </c>
      <c r="M9" s="743"/>
      <c r="N9" s="78" t="s">
        <v>1415</v>
      </c>
      <c r="O9" s="457" t="s">
        <v>1416</v>
      </c>
      <c r="P9" s="78" t="s">
        <v>1417</v>
      </c>
      <c r="Q9" s="274">
        <v>38629168.299999997</v>
      </c>
      <c r="R9" s="46"/>
      <c r="S9" s="568">
        <v>596</v>
      </c>
      <c r="T9" s="273">
        <v>44690</v>
      </c>
      <c r="U9" s="274">
        <v>38629168.299999997</v>
      </c>
      <c r="V9" s="568">
        <v>2903</v>
      </c>
      <c r="W9" s="273">
        <v>44727</v>
      </c>
      <c r="X9" s="278">
        <v>38629168.299999997</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36.75" customHeight="1" x14ac:dyDescent="0.25">
      <c r="A10" s="693"/>
      <c r="B10" s="767"/>
      <c r="C10" s="690"/>
      <c r="D10" s="44" t="s">
        <v>778</v>
      </c>
      <c r="E10" s="69" t="s">
        <v>117</v>
      </c>
      <c r="F10" s="289">
        <v>10000000</v>
      </c>
      <c r="G10" s="66">
        <v>0</v>
      </c>
      <c r="H10" s="44"/>
      <c r="I10" s="45"/>
      <c r="J10" s="44"/>
      <c r="K10" s="274">
        <v>10000000</v>
      </c>
      <c r="L10" s="65">
        <f t="shared" ref="L10:L35" si="0">+F10+G10+H10+J10-K10</f>
        <v>0</v>
      </c>
      <c r="M10" s="743"/>
      <c r="N10" s="44"/>
      <c r="O10" s="44"/>
      <c r="P10" s="44"/>
      <c r="Q10" s="44"/>
      <c r="R10" s="46"/>
      <c r="S10" s="44"/>
      <c r="T10" s="79"/>
      <c r="U10" s="44"/>
      <c r="V10" s="44"/>
      <c r="W10" s="79"/>
      <c r="X10" s="44"/>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28.5" customHeight="1" x14ac:dyDescent="0.25">
      <c r="A11" s="693"/>
      <c r="B11" s="767"/>
      <c r="C11" s="690"/>
      <c r="D11" s="44" t="s">
        <v>779</v>
      </c>
      <c r="E11" s="69" t="s">
        <v>140</v>
      </c>
      <c r="F11" s="289">
        <v>10000000</v>
      </c>
      <c r="G11" s="66">
        <v>0</v>
      </c>
      <c r="H11" s="44"/>
      <c r="I11" s="45"/>
      <c r="J11" s="44"/>
      <c r="K11" s="274">
        <v>10000000</v>
      </c>
      <c r="L11" s="65">
        <f t="shared" si="0"/>
        <v>0</v>
      </c>
      <c r="M11" s="743"/>
      <c r="N11" s="44"/>
      <c r="O11" s="44"/>
      <c r="P11" s="44"/>
      <c r="Q11" s="44"/>
      <c r="R11" s="46"/>
      <c r="S11" s="44"/>
      <c r="T11" s="79"/>
      <c r="U11" s="44"/>
      <c r="V11" s="44"/>
      <c r="W11" s="79"/>
      <c r="X11" s="44"/>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15" x14ac:dyDescent="0.25">
      <c r="A12" s="693"/>
      <c r="B12" s="767"/>
      <c r="C12" s="690"/>
      <c r="D12" s="736" t="s">
        <v>844</v>
      </c>
      <c r="E12" s="705" t="s">
        <v>100</v>
      </c>
      <c r="F12" s="783">
        <v>401025000</v>
      </c>
      <c r="G12" s="786">
        <v>0</v>
      </c>
      <c r="H12" s="692"/>
      <c r="I12" s="692"/>
      <c r="J12" s="692"/>
      <c r="K12" s="728">
        <f>20723700+17704500</f>
        <v>38428200</v>
      </c>
      <c r="L12" s="797">
        <f>+F12+G12+H12+J12-K12</f>
        <v>362596800</v>
      </c>
      <c r="M12" s="743"/>
      <c r="N12" s="78" t="s">
        <v>613</v>
      </c>
      <c r="O12" s="457" t="s">
        <v>34</v>
      </c>
      <c r="P12" s="78" t="s">
        <v>630</v>
      </c>
      <c r="Q12" s="66">
        <v>30305000</v>
      </c>
      <c r="R12" s="46"/>
      <c r="S12" s="38">
        <v>155</v>
      </c>
      <c r="T12" s="122">
        <v>44585</v>
      </c>
      <c r="U12" s="66">
        <v>30305000</v>
      </c>
      <c r="V12" s="38">
        <v>1129</v>
      </c>
      <c r="W12" s="122">
        <v>44589</v>
      </c>
      <c r="X12" s="66">
        <v>30305000</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15" x14ac:dyDescent="0.25">
      <c r="A13" s="693"/>
      <c r="B13" s="767"/>
      <c r="C13" s="690"/>
      <c r="D13" s="802"/>
      <c r="E13" s="706"/>
      <c r="F13" s="784"/>
      <c r="G13" s="787"/>
      <c r="H13" s="693"/>
      <c r="I13" s="693"/>
      <c r="J13" s="693"/>
      <c r="K13" s="735"/>
      <c r="L13" s="803"/>
      <c r="M13" s="743"/>
      <c r="N13" s="78" t="s">
        <v>614</v>
      </c>
      <c r="O13" s="457" t="s">
        <v>33</v>
      </c>
      <c r="P13" s="78" t="s">
        <v>631</v>
      </c>
      <c r="Q13" s="66">
        <v>38280000</v>
      </c>
      <c r="R13" s="46"/>
      <c r="S13" s="38">
        <v>194</v>
      </c>
      <c r="T13" s="122">
        <v>44587</v>
      </c>
      <c r="U13" s="66">
        <v>38280000</v>
      </c>
      <c r="V13" s="38">
        <v>1261</v>
      </c>
      <c r="W13" s="122">
        <v>44589</v>
      </c>
      <c r="X13" s="66">
        <v>38280000</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15" x14ac:dyDescent="0.25">
      <c r="A14" s="693"/>
      <c r="B14" s="767"/>
      <c r="C14" s="690"/>
      <c r="D14" s="802"/>
      <c r="E14" s="706"/>
      <c r="F14" s="784"/>
      <c r="G14" s="787"/>
      <c r="H14" s="693"/>
      <c r="I14" s="693"/>
      <c r="J14" s="693"/>
      <c r="K14" s="735"/>
      <c r="L14" s="803"/>
      <c r="M14" s="743"/>
      <c r="N14" s="78" t="s">
        <v>615</v>
      </c>
      <c r="O14" s="457" t="s">
        <v>54</v>
      </c>
      <c r="P14" s="78" t="s">
        <v>632</v>
      </c>
      <c r="Q14" s="66">
        <v>38811600</v>
      </c>
      <c r="R14" s="46"/>
      <c r="S14" s="38">
        <v>161</v>
      </c>
      <c r="T14" s="122">
        <v>44585</v>
      </c>
      <c r="U14" s="66">
        <v>38811600</v>
      </c>
      <c r="V14" s="38">
        <v>737</v>
      </c>
      <c r="W14" s="122">
        <v>44588</v>
      </c>
      <c r="X14" s="66">
        <v>38811600</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15" x14ac:dyDescent="0.25">
      <c r="A15" s="693"/>
      <c r="B15" s="767"/>
      <c r="C15" s="690"/>
      <c r="D15" s="802"/>
      <c r="E15" s="706"/>
      <c r="F15" s="784"/>
      <c r="G15" s="787"/>
      <c r="H15" s="693"/>
      <c r="I15" s="693"/>
      <c r="J15" s="693"/>
      <c r="K15" s="735"/>
      <c r="L15" s="803"/>
      <c r="M15" s="743"/>
      <c r="N15" s="78" t="s">
        <v>616</v>
      </c>
      <c r="O15" s="457" t="s">
        <v>623</v>
      </c>
      <c r="P15" s="78" t="s">
        <v>633</v>
      </c>
      <c r="Q15" s="66">
        <v>38811600</v>
      </c>
      <c r="R15" s="46"/>
      <c r="S15" s="38">
        <v>160</v>
      </c>
      <c r="T15" s="122">
        <v>44585</v>
      </c>
      <c r="U15" s="66">
        <v>38811600</v>
      </c>
      <c r="V15" s="38">
        <v>1128</v>
      </c>
      <c r="W15" s="122">
        <v>44589</v>
      </c>
      <c r="X15" s="66">
        <v>38811600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15" x14ac:dyDescent="0.25">
      <c r="A16" s="693"/>
      <c r="B16" s="767"/>
      <c r="C16" s="690"/>
      <c r="D16" s="802"/>
      <c r="E16" s="706"/>
      <c r="F16" s="784"/>
      <c r="G16" s="787"/>
      <c r="H16" s="693"/>
      <c r="I16" s="693"/>
      <c r="J16" s="693"/>
      <c r="K16" s="735"/>
      <c r="L16" s="803"/>
      <c r="M16" s="743"/>
      <c r="N16" s="78" t="s">
        <v>617</v>
      </c>
      <c r="O16" s="457" t="s">
        <v>624</v>
      </c>
      <c r="P16" s="78" t="s">
        <v>634</v>
      </c>
      <c r="Q16" s="66">
        <v>38811600</v>
      </c>
      <c r="R16" s="46"/>
      <c r="S16" s="38">
        <v>159</v>
      </c>
      <c r="T16" s="122">
        <v>44585</v>
      </c>
      <c r="U16" s="66">
        <v>38811600</v>
      </c>
      <c r="V16" s="38">
        <v>1241</v>
      </c>
      <c r="W16" s="122">
        <v>44589</v>
      </c>
      <c r="X16" s="66">
        <v>38811600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15" x14ac:dyDescent="0.25">
      <c r="A17" s="693"/>
      <c r="B17" s="767"/>
      <c r="C17" s="690"/>
      <c r="D17" s="802"/>
      <c r="E17" s="706"/>
      <c r="F17" s="784"/>
      <c r="G17" s="787"/>
      <c r="H17" s="693"/>
      <c r="I17" s="693"/>
      <c r="J17" s="693"/>
      <c r="K17" s="735"/>
      <c r="L17" s="803"/>
      <c r="M17" s="743"/>
      <c r="N17" s="78" t="s">
        <v>618</v>
      </c>
      <c r="O17" s="457" t="s">
        <v>625</v>
      </c>
      <c r="P17" s="78" t="s">
        <v>635</v>
      </c>
      <c r="Q17" s="66">
        <v>40406600</v>
      </c>
      <c r="R17" s="46"/>
      <c r="S17" s="38">
        <v>177</v>
      </c>
      <c r="T17" s="122">
        <v>44586</v>
      </c>
      <c r="U17" s="66">
        <v>40406600</v>
      </c>
      <c r="V17" s="38">
        <v>1240</v>
      </c>
      <c r="W17" s="122">
        <v>44589</v>
      </c>
      <c r="X17" s="66">
        <v>40406600</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15" x14ac:dyDescent="0.25">
      <c r="A18" s="693"/>
      <c r="B18" s="767"/>
      <c r="C18" s="690"/>
      <c r="D18" s="802"/>
      <c r="E18" s="706"/>
      <c r="F18" s="784"/>
      <c r="G18" s="787"/>
      <c r="H18" s="693"/>
      <c r="I18" s="693"/>
      <c r="J18" s="693"/>
      <c r="K18" s="735"/>
      <c r="L18" s="803"/>
      <c r="M18" s="743"/>
      <c r="N18" s="78" t="s">
        <v>619</v>
      </c>
      <c r="O18" s="457" t="s">
        <v>626</v>
      </c>
      <c r="P18" s="78" t="s">
        <v>636</v>
      </c>
      <c r="Q18" s="274">
        <v>30145500</v>
      </c>
      <c r="R18" s="46"/>
      <c r="S18" s="38">
        <v>156</v>
      </c>
      <c r="T18" s="122">
        <v>44585</v>
      </c>
      <c r="U18" s="66">
        <v>30145500</v>
      </c>
      <c r="V18" s="38">
        <v>1242</v>
      </c>
      <c r="W18" s="122">
        <v>44589</v>
      </c>
      <c r="X18" s="66">
        <v>30145500</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15" x14ac:dyDescent="0.25">
      <c r="A19" s="693"/>
      <c r="B19" s="767"/>
      <c r="C19" s="690"/>
      <c r="D19" s="802"/>
      <c r="E19" s="706"/>
      <c r="F19" s="784"/>
      <c r="G19" s="787"/>
      <c r="H19" s="693"/>
      <c r="I19" s="693"/>
      <c r="J19" s="693"/>
      <c r="K19" s="735"/>
      <c r="L19" s="803"/>
      <c r="M19" s="743"/>
      <c r="N19" s="78" t="s">
        <v>620</v>
      </c>
      <c r="O19" s="457" t="s">
        <v>627</v>
      </c>
      <c r="P19" s="78" t="s">
        <v>637</v>
      </c>
      <c r="Q19" s="66">
        <v>36153300</v>
      </c>
      <c r="R19" s="46"/>
      <c r="S19" s="38">
        <v>253</v>
      </c>
      <c r="T19" s="122">
        <v>44588</v>
      </c>
      <c r="U19" s="66">
        <v>36153300</v>
      </c>
      <c r="V19" s="38">
        <v>1321</v>
      </c>
      <c r="W19" s="122">
        <v>44589</v>
      </c>
      <c r="X19" s="66">
        <v>36153300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50" customFormat="1" ht="15" x14ac:dyDescent="0.25">
      <c r="A20" s="693"/>
      <c r="B20" s="767"/>
      <c r="C20" s="690"/>
      <c r="D20" s="802"/>
      <c r="E20" s="706"/>
      <c r="F20" s="784"/>
      <c r="G20" s="787"/>
      <c r="H20" s="693"/>
      <c r="I20" s="693"/>
      <c r="J20" s="693"/>
      <c r="K20" s="735"/>
      <c r="L20" s="803"/>
      <c r="M20" s="743"/>
      <c r="N20" s="78" t="s">
        <v>621</v>
      </c>
      <c r="O20" s="457" t="s">
        <v>628</v>
      </c>
      <c r="P20" s="78" t="s">
        <v>638</v>
      </c>
      <c r="Q20" s="66">
        <v>38811600</v>
      </c>
      <c r="R20" s="46"/>
      <c r="S20" s="38">
        <v>256</v>
      </c>
      <c r="T20" s="122">
        <v>44589</v>
      </c>
      <c r="U20" s="66">
        <v>38811600</v>
      </c>
      <c r="V20" s="38">
        <v>1312</v>
      </c>
      <c r="W20" s="122">
        <v>44589</v>
      </c>
      <c r="X20" s="66">
        <v>38811600</v>
      </c>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row>
    <row r="21" spans="1:129" s="50" customFormat="1" ht="15" x14ac:dyDescent="0.25">
      <c r="A21" s="693"/>
      <c r="B21" s="767"/>
      <c r="C21" s="690"/>
      <c r="D21" s="802"/>
      <c r="E21" s="706"/>
      <c r="F21" s="784"/>
      <c r="G21" s="787"/>
      <c r="H21" s="693"/>
      <c r="I21" s="693"/>
      <c r="J21" s="693"/>
      <c r="K21" s="735"/>
      <c r="L21" s="803"/>
      <c r="M21" s="743"/>
      <c r="N21" s="78" t="s">
        <v>622</v>
      </c>
      <c r="O21" s="457" t="s">
        <v>629</v>
      </c>
      <c r="P21" s="78" t="s">
        <v>639</v>
      </c>
      <c r="Q21" s="66">
        <v>27560000</v>
      </c>
      <c r="R21" s="46"/>
      <c r="S21" s="38">
        <v>255</v>
      </c>
      <c r="T21" s="122">
        <v>44589</v>
      </c>
      <c r="U21" s="66">
        <v>27560000</v>
      </c>
      <c r="V21" s="38">
        <v>1305</v>
      </c>
      <c r="W21" s="122">
        <v>44589</v>
      </c>
      <c r="X21" s="66">
        <v>27560000</v>
      </c>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row>
    <row r="22" spans="1:129" s="50" customFormat="1" ht="15" x14ac:dyDescent="0.25">
      <c r="A22" s="693"/>
      <c r="B22" s="767"/>
      <c r="C22" s="690"/>
      <c r="D22" s="799"/>
      <c r="E22" s="707"/>
      <c r="F22" s="785"/>
      <c r="G22" s="788"/>
      <c r="H22" s="694"/>
      <c r="I22" s="694"/>
      <c r="J22" s="694"/>
      <c r="K22" s="729"/>
      <c r="L22" s="804"/>
      <c r="M22" s="743"/>
      <c r="N22" s="78" t="s">
        <v>953</v>
      </c>
      <c r="O22" s="457" t="s">
        <v>954</v>
      </c>
      <c r="P22" s="78" t="s">
        <v>955</v>
      </c>
      <c r="Q22" s="274">
        <v>2729612.16</v>
      </c>
      <c r="R22" s="46"/>
      <c r="S22" s="38">
        <v>442</v>
      </c>
      <c r="T22" s="122">
        <v>44642</v>
      </c>
      <c r="U22" s="66">
        <v>2729612.16</v>
      </c>
      <c r="V22" s="38">
        <v>2210</v>
      </c>
      <c r="W22" s="122">
        <v>44672</v>
      </c>
      <c r="X22" s="274">
        <v>2729612.16</v>
      </c>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row>
    <row r="23" spans="1:129" s="50" customFormat="1" ht="27" customHeight="1" x14ac:dyDescent="0.25">
      <c r="A23" s="693"/>
      <c r="B23" s="767"/>
      <c r="C23" s="690"/>
      <c r="D23" s="692" t="s">
        <v>780</v>
      </c>
      <c r="E23" s="689" t="s">
        <v>119</v>
      </c>
      <c r="F23" s="710">
        <v>2000000</v>
      </c>
      <c r="G23" s="728">
        <v>0</v>
      </c>
      <c r="H23" s="692"/>
      <c r="I23" s="692"/>
      <c r="J23" s="710">
        <v>15000000</v>
      </c>
      <c r="K23" s="728">
        <v>110443</v>
      </c>
      <c r="L23" s="758">
        <f t="shared" si="0"/>
        <v>16889557</v>
      </c>
      <c r="M23" s="743"/>
      <c r="N23" s="78" t="s">
        <v>956</v>
      </c>
      <c r="O23" s="457" t="s">
        <v>957</v>
      </c>
      <c r="P23" s="78" t="s">
        <v>958</v>
      </c>
      <c r="Q23" s="274">
        <v>1853544</v>
      </c>
      <c r="R23" s="46"/>
      <c r="S23" s="568">
        <v>511</v>
      </c>
      <c r="T23" s="273">
        <v>44669</v>
      </c>
      <c r="U23" s="274">
        <v>1853544</v>
      </c>
      <c r="V23" s="568">
        <v>2880</v>
      </c>
      <c r="W23" s="273">
        <v>44726</v>
      </c>
      <c r="X23" s="278">
        <v>1853544</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row>
    <row r="24" spans="1:129" s="50" customFormat="1" ht="15" x14ac:dyDescent="0.25">
      <c r="A24" s="693"/>
      <c r="B24" s="767"/>
      <c r="C24" s="690"/>
      <c r="D24" s="694"/>
      <c r="E24" s="691"/>
      <c r="F24" s="712"/>
      <c r="G24" s="729"/>
      <c r="H24" s="694"/>
      <c r="I24" s="694"/>
      <c r="J24" s="712"/>
      <c r="K24" s="729"/>
      <c r="L24" s="759"/>
      <c r="M24" s="743"/>
      <c r="N24" s="78" t="s">
        <v>2093</v>
      </c>
      <c r="O24" s="457">
        <v>619</v>
      </c>
      <c r="P24" s="78" t="s">
        <v>2092</v>
      </c>
      <c r="Q24" s="274">
        <v>13421795.800000001</v>
      </c>
      <c r="R24" s="46"/>
      <c r="S24" s="568">
        <v>1184</v>
      </c>
      <c r="T24" s="273">
        <v>44825</v>
      </c>
      <c r="U24" s="274">
        <v>13421795.800000001</v>
      </c>
      <c r="V24" s="568">
        <v>5578</v>
      </c>
      <c r="W24" s="273" t="s">
        <v>2773</v>
      </c>
      <c r="X24" s="274">
        <v>13421795.800000001</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row>
    <row r="25" spans="1:129" s="50" customFormat="1" ht="27" x14ac:dyDescent="0.25">
      <c r="A25" s="693"/>
      <c r="B25" s="767"/>
      <c r="C25" s="690"/>
      <c r="D25" s="44" t="s">
        <v>781</v>
      </c>
      <c r="E25" s="69" t="s">
        <v>120</v>
      </c>
      <c r="F25" s="289">
        <v>14000000</v>
      </c>
      <c r="G25" s="66">
        <v>0</v>
      </c>
      <c r="H25" s="44"/>
      <c r="I25" s="45"/>
      <c r="J25" s="44"/>
      <c r="K25" s="274">
        <v>2457575</v>
      </c>
      <c r="L25" s="65">
        <f t="shared" si="0"/>
        <v>11542425</v>
      </c>
      <c r="M25" s="743"/>
      <c r="N25" s="80" t="s">
        <v>2089</v>
      </c>
      <c r="O25" s="457">
        <v>618</v>
      </c>
      <c r="P25" s="80" t="s">
        <v>2088</v>
      </c>
      <c r="Q25" s="345">
        <v>9341500</v>
      </c>
      <c r="R25" s="46"/>
      <c r="S25" s="568">
        <v>1179</v>
      </c>
      <c r="T25" s="273">
        <v>44823</v>
      </c>
      <c r="U25" s="345">
        <v>9341500</v>
      </c>
      <c r="V25" s="568">
        <v>5415</v>
      </c>
      <c r="W25" s="273" t="s">
        <v>2786</v>
      </c>
      <c r="X25" s="345">
        <v>9341500</v>
      </c>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row>
    <row r="26" spans="1:129" s="50" customFormat="1" ht="40.5" x14ac:dyDescent="0.25">
      <c r="A26" s="694"/>
      <c r="B26" s="768"/>
      <c r="C26" s="691"/>
      <c r="D26" s="44" t="s">
        <v>782</v>
      </c>
      <c r="E26" s="69" t="s">
        <v>138</v>
      </c>
      <c r="F26" s="289">
        <v>5000000</v>
      </c>
      <c r="G26" s="66">
        <v>0</v>
      </c>
      <c r="H26" s="44"/>
      <c r="I26" s="45"/>
      <c r="J26" s="44"/>
      <c r="K26" s="289">
        <v>5000000</v>
      </c>
      <c r="L26" s="65">
        <f t="shared" si="0"/>
        <v>0</v>
      </c>
      <c r="M26" s="744"/>
      <c r="N26" s="44"/>
      <c r="O26" s="44"/>
      <c r="P26" s="44"/>
      <c r="Q26" s="44"/>
      <c r="R26" s="46"/>
      <c r="S26" s="44"/>
      <c r="T26" s="79"/>
      <c r="U26" s="44"/>
      <c r="V26" s="44"/>
      <c r="W26" s="79"/>
      <c r="X26" s="44"/>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row>
    <row r="27" spans="1:129" s="107" customFormat="1" ht="15" x14ac:dyDescent="0.25">
      <c r="A27" s="92"/>
      <c r="B27" s="92"/>
      <c r="C27" s="92"/>
      <c r="D27" s="92"/>
      <c r="E27" s="104"/>
      <c r="F27" s="101"/>
      <c r="G27" s="101"/>
      <c r="H27" s="92"/>
      <c r="I27" s="93"/>
      <c r="J27" s="92"/>
      <c r="K27" s="92"/>
      <c r="L27" s="102">
        <f>SUM(L8:L26)</f>
        <v>431028782</v>
      </c>
      <c r="M27" s="101"/>
      <c r="N27" s="105"/>
      <c r="O27" s="86"/>
      <c r="P27" s="95"/>
      <c r="Q27" s="103">
        <f>SUM(Q8:Q26)</f>
        <v>424072420.26000005</v>
      </c>
      <c r="R27" s="89"/>
      <c r="S27" s="86"/>
      <c r="T27" s="95"/>
      <c r="U27" s="103">
        <f>SUM(U8:U26)</f>
        <v>424072420.26000005</v>
      </c>
      <c r="V27" s="86"/>
      <c r="W27" s="95"/>
      <c r="X27" s="103">
        <f>SUM(X8:X26)</f>
        <v>424072420.26000005</v>
      </c>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row>
    <row r="28" spans="1:129" s="112" customFormat="1" ht="28.5" customHeight="1" x14ac:dyDescent="0.25">
      <c r="A28" s="692" t="s">
        <v>1116</v>
      </c>
      <c r="B28" s="791" t="s">
        <v>1117</v>
      </c>
      <c r="C28" s="689" t="s">
        <v>174</v>
      </c>
      <c r="D28" s="183" t="s">
        <v>1186</v>
      </c>
      <c r="E28" s="192" t="s">
        <v>117</v>
      </c>
      <c r="F28" s="191"/>
      <c r="G28" s="289">
        <v>150000000</v>
      </c>
      <c r="H28" s="187"/>
      <c r="I28" s="45"/>
      <c r="J28" s="200"/>
      <c r="K28" s="274">
        <f>117064818+32935182</f>
        <v>150000000</v>
      </c>
      <c r="L28" s="65">
        <f>+F28+G28+H28+J28-K28</f>
        <v>0</v>
      </c>
      <c r="M28" s="769">
        <v>528448356</v>
      </c>
      <c r="N28" s="219"/>
      <c r="O28" s="228"/>
      <c r="P28" s="79"/>
      <c r="Q28" s="230"/>
      <c r="R28" s="46"/>
      <c r="S28" s="228"/>
      <c r="T28" s="79"/>
      <c r="U28" s="230"/>
      <c r="V28" s="228"/>
      <c r="W28" s="79"/>
      <c r="X28" s="230"/>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row>
    <row r="29" spans="1:129" s="112" customFormat="1" ht="25.5" x14ac:dyDescent="0.25">
      <c r="A29" s="693"/>
      <c r="B29" s="792"/>
      <c r="C29" s="690"/>
      <c r="D29" s="197" t="s">
        <v>1187</v>
      </c>
      <c r="E29" s="192" t="s">
        <v>140</v>
      </c>
      <c r="F29" s="195"/>
      <c r="G29" s="288">
        <v>50000000</v>
      </c>
      <c r="H29" s="197"/>
      <c r="I29" s="85"/>
      <c r="J29" s="200"/>
      <c r="K29" s="274">
        <v>50000000</v>
      </c>
      <c r="L29" s="65">
        <f t="shared" si="0"/>
        <v>0</v>
      </c>
      <c r="M29" s="769"/>
      <c r="N29" s="219"/>
      <c r="O29" s="228"/>
      <c r="P29" s="79"/>
      <c r="Q29" s="230"/>
      <c r="R29" s="46"/>
      <c r="S29" s="228"/>
      <c r="T29" s="79"/>
      <c r="U29" s="230"/>
      <c r="V29" s="228"/>
      <c r="W29" s="79"/>
      <c r="X29" s="230"/>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row>
    <row r="30" spans="1:129" s="112" customFormat="1" ht="25.5" x14ac:dyDescent="0.25">
      <c r="A30" s="693"/>
      <c r="B30" s="792"/>
      <c r="C30" s="690"/>
      <c r="D30" s="197" t="s">
        <v>1188</v>
      </c>
      <c r="E30" s="192" t="s">
        <v>102</v>
      </c>
      <c r="F30" s="195"/>
      <c r="G30" s="288">
        <v>15513174</v>
      </c>
      <c r="H30" s="197"/>
      <c r="I30" s="85"/>
      <c r="J30" s="200"/>
      <c r="K30" s="274">
        <v>15513174</v>
      </c>
      <c r="L30" s="65">
        <f t="shared" si="0"/>
        <v>0</v>
      </c>
      <c r="M30" s="769"/>
      <c r="N30" s="219"/>
      <c r="O30" s="228"/>
      <c r="P30" s="79"/>
      <c r="Q30" s="230"/>
      <c r="R30" s="46"/>
      <c r="S30" s="228"/>
      <c r="T30" s="79"/>
      <c r="U30" s="230"/>
      <c r="V30" s="228"/>
      <c r="W30" s="79"/>
      <c r="X30" s="230"/>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row>
    <row r="31" spans="1:129" s="112" customFormat="1" ht="40.5" x14ac:dyDescent="0.25">
      <c r="A31" s="693"/>
      <c r="B31" s="792"/>
      <c r="C31" s="690"/>
      <c r="D31" s="197" t="s">
        <v>1189</v>
      </c>
      <c r="E31" s="192" t="s">
        <v>138</v>
      </c>
      <c r="F31" s="195"/>
      <c r="G31" s="288">
        <v>20000000</v>
      </c>
      <c r="H31" s="197"/>
      <c r="I31" s="85"/>
      <c r="J31" s="200"/>
      <c r="K31" s="274">
        <v>20000000</v>
      </c>
      <c r="L31" s="65">
        <f t="shared" si="0"/>
        <v>0</v>
      </c>
      <c r="M31" s="769"/>
      <c r="N31" s="219"/>
      <c r="O31" s="228"/>
      <c r="P31" s="79"/>
      <c r="Q31" s="230"/>
      <c r="R31" s="46"/>
      <c r="S31" s="228"/>
      <c r="T31" s="79"/>
      <c r="U31" s="230"/>
      <c r="V31" s="228"/>
      <c r="W31" s="79"/>
      <c r="X31" s="23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row>
    <row r="32" spans="1:129" s="112" customFormat="1" ht="67.5" x14ac:dyDescent="0.25">
      <c r="A32" s="693"/>
      <c r="B32" s="792"/>
      <c r="C32" s="690"/>
      <c r="D32" s="197" t="s">
        <v>1190</v>
      </c>
      <c r="E32" s="192" t="s">
        <v>100</v>
      </c>
      <c r="F32" s="195"/>
      <c r="G32" s="288">
        <v>232935182</v>
      </c>
      <c r="H32" s="197"/>
      <c r="I32" s="85"/>
      <c r="J32" s="274">
        <f>55723700+117064818</f>
        <v>172788518</v>
      </c>
      <c r="K32" s="274">
        <v>54500000</v>
      </c>
      <c r="L32" s="65">
        <f t="shared" si="0"/>
        <v>351223700</v>
      </c>
      <c r="M32" s="769"/>
      <c r="N32" s="78" t="s">
        <v>2410</v>
      </c>
      <c r="O32" s="154" t="s">
        <v>885</v>
      </c>
      <c r="P32" s="81" t="s">
        <v>2411</v>
      </c>
      <c r="Q32" s="275"/>
      <c r="R32" s="46"/>
      <c r="S32" s="228"/>
      <c r="T32" s="79"/>
      <c r="U32" s="230"/>
      <c r="V32" s="228"/>
      <c r="W32" s="79"/>
      <c r="X32" s="230"/>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row>
    <row r="33" spans="1:129" s="112" customFormat="1" ht="54" x14ac:dyDescent="0.25">
      <c r="A33" s="693"/>
      <c r="B33" s="792"/>
      <c r="C33" s="690"/>
      <c r="D33" s="197" t="s">
        <v>1191</v>
      </c>
      <c r="E33" s="192" t="s">
        <v>118</v>
      </c>
      <c r="F33" s="195"/>
      <c r="G33" s="288">
        <v>30000000</v>
      </c>
      <c r="H33" s="197"/>
      <c r="I33" s="85"/>
      <c r="J33" s="200"/>
      <c r="K33" s="274">
        <v>12223700</v>
      </c>
      <c r="L33" s="65">
        <f t="shared" si="0"/>
        <v>17776300</v>
      </c>
      <c r="M33" s="769"/>
      <c r="N33" s="78" t="s">
        <v>2412</v>
      </c>
      <c r="O33" s="457" t="s">
        <v>2413</v>
      </c>
      <c r="P33" s="81" t="s">
        <v>2414</v>
      </c>
      <c r="Q33" s="274">
        <v>5000000</v>
      </c>
      <c r="R33" s="46"/>
      <c r="S33" s="521">
        <v>1291</v>
      </c>
      <c r="T33" s="273" t="s">
        <v>2786</v>
      </c>
      <c r="U33" s="274">
        <v>5000000</v>
      </c>
      <c r="V33" s="568">
        <v>5538</v>
      </c>
      <c r="W33" s="273" t="s">
        <v>2861</v>
      </c>
      <c r="X33" s="274">
        <v>5000000</v>
      </c>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row>
    <row r="34" spans="1:129" s="112" customFormat="1" ht="15" x14ac:dyDescent="0.25">
      <c r="A34" s="693"/>
      <c r="B34" s="792"/>
      <c r="C34" s="690"/>
      <c r="D34" s="410"/>
      <c r="E34" s="440"/>
      <c r="F34" s="431"/>
      <c r="G34" s="423"/>
      <c r="H34" s="410"/>
      <c r="I34" s="85"/>
      <c r="J34" s="330"/>
      <c r="K34" s="330"/>
      <c r="L34" s="65"/>
      <c r="M34" s="769"/>
      <c r="N34" s="78" t="s">
        <v>2415</v>
      </c>
      <c r="O34" s="457" t="s">
        <v>2416</v>
      </c>
      <c r="P34" s="81" t="s">
        <v>2417</v>
      </c>
      <c r="Q34" s="274">
        <v>66102500</v>
      </c>
      <c r="R34" s="46"/>
      <c r="S34" s="521">
        <v>1519</v>
      </c>
      <c r="T34" s="273" t="s">
        <v>2783</v>
      </c>
      <c r="U34" s="274">
        <v>66102500</v>
      </c>
      <c r="V34" s="568">
        <v>6246</v>
      </c>
      <c r="W34" s="273" t="s">
        <v>2831</v>
      </c>
      <c r="X34" s="274">
        <v>66102500</v>
      </c>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row>
    <row r="35" spans="1:129" s="112" customFormat="1" ht="25.5" x14ac:dyDescent="0.25">
      <c r="A35" s="694"/>
      <c r="B35" s="793"/>
      <c r="C35" s="691"/>
      <c r="D35" s="197" t="s">
        <v>1192</v>
      </c>
      <c r="E35" s="192" t="s">
        <v>113</v>
      </c>
      <c r="F35" s="195"/>
      <c r="G35" s="288">
        <v>30000000</v>
      </c>
      <c r="H35" s="197"/>
      <c r="I35" s="85"/>
      <c r="J35" s="200"/>
      <c r="K35" s="274">
        <v>30000000</v>
      </c>
      <c r="L35" s="65">
        <f t="shared" si="0"/>
        <v>0</v>
      </c>
      <c r="M35" s="769"/>
      <c r="N35" s="219"/>
      <c r="O35" s="228"/>
      <c r="P35" s="79"/>
      <c r="Q35" s="230"/>
      <c r="R35" s="46"/>
      <c r="S35" s="228"/>
      <c r="T35" s="79"/>
      <c r="U35" s="230"/>
      <c r="V35" s="228"/>
      <c r="W35" s="79"/>
      <c r="X35" s="230"/>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row>
    <row r="36" spans="1:129" s="107" customFormat="1" ht="15.75" thickBot="1" x14ac:dyDescent="0.3">
      <c r="A36" s="92"/>
      <c r="B36" s="92"/>
      <c r="C36" s="92"/>
      <c r="D36" s="92"/>
      <c r="E36" s="104"/>
      <c r="F36" s="101"/>
      <c r="G36" s="101"/>
      <c r="H36" s="92"/>
      <c r="I36" s="93"/>
      <c r="J36" s="92"/>
      <c r="K36" s="92"/>
      <c r="L36" s="102">
        <f>SUM(L28:L35)</f>
        <v>369000000</v>
      </c>
      <c r="M36" s="101"/>
      <c r="N36" s="105"/>
      <c r="O36" s="86"/>
      <c r="P36" s="95"/>
      <c r="Q36" s="103">
        <f>SUM(Q28:Q35)</f>
        <v>71102500</v>
      </c>
      <c r="R36" s="89"/>
      <c r="S36" s="86"/>
      <c r="T36" s="95"/>
      <c r="U36" s="103">
        <f>SUM(U28:U35)</f>
        <v>71102500</v>
      </c>
      <c r="V36" s="86"/>
      <c r="W36" s="95"/>
      <c r="X36" s="103">
        <f>SUM(X28:X35)</f>
        <v>71102500</v>
      </c>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row>
    <row r="37" spans="1:129" s="63" customFormat="1" ht="17.25" thickBot="1" x14ac:dyDescent="0.35">
      <c r="A37" s="51"/>
      <c r="B37" s="51"/>
      <c r="C37" s="42"/>
      <c r="D37" s="42"/>
      <c r="E37" s="42"/>
      <c r="F37" s="221"/>
      <c r="G37" s="220"/>
      <c r="H37" s="220"/>
      <c r="I37" s="217"/>
      <c r="J37" s="53" t="s">
        <v>29</v>
      </c>
      <c r="K37" s="54"/>
      <c r="L37" s="55">
        <f>+L27+L36</f>
        <v>800028782</v>
      </c>
      <c r="M37" s="56"/>
      <c r="N37" s="56"/>
      <c r="O37" s="56"/>
      <c r="P37" s="56"/>
      <c r="Q37" s="67">
        <f>+Q27+Q36</f>
        <v>495174920.26000005</v>
      </c>
      <c r="R37" s="57">
        <f>(Q37*1)/L37</f>
        <v>0.61894638218153508</v>
      </c>
      <c r="S37" s="58"/>
      <c r="T37" s="59"/>
      <c r="U37" s="60">
        <f>+U27+U36</f>
        <v>495174920.26000005</v>
      </c>
      <c r="V37" s="58"/>
      <c r="W37" s="59"/>
      <c r="X37" s="61">
        <f>+X27+X36</f>
        <v>495174920.26000005</v>
      </c>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row>
    <row r="38" spans="1:129" ht="15" x14ac:dyDescent="0.25">
      <c r="R38" s="4"/>
    </row>
    <row r="39" spans="1:129" ht="15" x14ac:dyDescent="0.25">
      <c r="Q39" s="39"/>
      <c r="R39" s="6"/>
      <c r="S39" s="39"/>
    </row>
    <row r="40" spans="1:129" ht="15" x14ac:dyDescent="0.25">
      <c r="Q40" s="39"/>
      <c r="R40" s="6"/>
      <c r="S40" s="39"/>
    </row>
    <row r="41" spans="1:129" ht="15" x14ac:dyDescent="0.25">
      <c r="Q41" s="39"/>
      <c r="R41" s="6"/>
      <c r="S41" s="39"/>
    </row>
    <row r="42" spans="1:129" ht="15" x14ac:dyDescent="0.25">
      <c r="Q42" s="39"/>
      <c r="R42" s="6"/>
      <c r="S42" s="39"/>
    </row>
    <row r="43" spans="1:129" ht="15" x14ac:dyDescent="0.25">
      <c r="Q43" s="39"/>
      <c r="R43" s="6"/>
      <c r="S43" s="39"/>
    </row>
    <row r="44" spans="1:129" ht="15" x14ac:dyDescent="0.25">
      <c r="Q44" s="39"/>
      <c r="R44" s="6"/>
      <c r="S44" s="39"/>
    </row>
    <row r="45" spans="1:129" ht="15" x14ac:dyDescent="0.25">
      <c r="Q45" s="39"/>
      <c r="R45" s="6"/>
      <c r="S45" s="39"/>
    </row>
    <row r="46" spans="1:129" ht="15" x14ac:dyDescent="0.25">
      <c r="Q46" s="39"/>
      <c r="R46" s="6"/>
      <c r="S46" s="39"/>
    </row>
    <row r="47" spans="1:129" ht="15" x14ac:dyDescent="0.25">
      <c r="Q47" s="39"/>
      <c r="R47" s="7"/>
      <c r="S47" s="39"/>
    </row>
    <row r="48" spans="1:129"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customHeight="1" x14ac:dyDescent="0.25"/>
    <row r="91" ht="15"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sheetData>
  <sheetProtection algorithmName="SHA-512" hashValue="5bCwwN+KgpDOr5IC2YazOgR+lgaN6mx5i5naoqe1HbDsDHVSwebjkGoDGx4H9puYQW5UDDEPMj1lHQgliGMy7Q==" saltValue="TV3IXj/BglzBo7BPYyx3tA==" spinCount="100000" sheet="1" objects="1" scenarios="1" selectLockedCells="1" selectUnlockedCells="1"/>
  <mergeCells count="34">
    <mergeCell ref="M28:M35"/>
    <mergeCell ref="M8:M26"/>
    <mergeCell ref="B8:B26"/>
    <mergeCell ref="A8:A26"/>
    <mergeCell ref="C8:C26"/>
    <mergeCell ref="A28:A35"/>
    <mergeCell ref="B28:B35"/>
    <mergeCell ref="C28:C35"/>
    <mergeCell ref="D23:D24"/>
    <mergeCell ref="E23:E24"/>
    <mergeCell ref="L23:L24"/>
    <mergeCell ref="F23:F24"/>
    <mergeCell ref="G23:G24"/>
    <mergeCell ref="H23:H24"/>
    <mergeCell ref="I23:I24"/>
    <mergeCell ref="J23:J24"/>
    <mergeCell ref="A2:A5"/>
    <mergeCell ref="B2:V2"/>
    <mergeCell ref="E12:E22"/>
    <mergeCell ref="D12:D22"/>
    <mergeCell ref="F12:F22"/>
    <mergeCell ref="G12:G22"/>
    <mergeCell ref="L12:L22"/>
    <mergeCell ref="H12:H22"/>
    <mergeCell ref="I12:I22"/>
    <mergeCell ref="J12:J22"/>
    <mergeCell ref="K12:K22"/>
    <mergeCell ref="K23:K24"/>
    <mergeCell ref="W2:X2"/>
    <mergeCell ref="B3:V3"/>
    <mergeCell ref="W3:X3"/>
    <mergeCell ref="B4:V5"/>
    <mergeCell ref="W4:X4"/>
    <mergeCell ref="W5:X5"/>
  </mergeCells>
  <conditionalFormatting sqref="R47:R1048576 R7:R26 R37">
    <cfRule type="cellIs" dxfId="689" priority="21" operator="between">
      <formula>0.51</formula>
      <formula>0.69</formula>
    </cfRule>
    <cfRule type="cellIs" dxfId="688" priority="22" operator="between">
      <formula>0.51</formula>
      <formula>0.69</formula>
    </cfRule>
    <cfRule type="cellIs" dxfId="687" priority="23" operator="lessThan">
      <formula>0.5</formula>
    </cfRule>
    <cfRule type="cellIs" dxfId="686" priority="24" operator="greaterThan">
      <formula>0.7</formula>
    </cfRule>
    <cfRule type="cellIs" dxfId="685" priority="25" operator="between">
      <formula>0.51</formula>
      <formula>0.69</formula>
    </cfRule>
    <cfRule type="cellIs" dxfId="684" priority="26" operator="lessThan">
      <formula>50</formula>
    </cfRule>
    <cfRule type="cellIs" dxfId="683" priority="27" operator="greaterThan">
      <formula>0.7</formula>
    </cfRule>
    <cfRule type="cellIs" dxfId="682" priority="28" operator="between">
      <formula>0.51</formula>
      <formula>0.69</formula>
    </cfRule>
    <cfRule type="cellIs" dxfId="681" priority="29" operator="lessThan">
      <formula>0.5</formula>
    </cfRule>
    <cfRule type="cellIs" dxfId="680" priority="30" operator="greaterThan">
      <formula>0.7</formula>
    </cfRule>
  </conditionalFormatting>
  <conditionalFormatting sqref="R27:R35">
    <cfRule type="cellIs" dxfId="679" priority="11" operator="between">
      <formula>0.51</formula>
      <formula>0.69</formula>
    </cfRule>
    <cfRule type="cellIs" dxfId="678" priority="12" operator="between">
      <formula>0.51</formula>
      <formula>0.69</formula>
    </cfRule>
    <cfRule type="cellIs" dxfId="677" priority="13" operator="lessThan">
      <formula>0.5</formula>
    </cfRule>
    <cfRule type="cellIs" dxfId="676" priority="14" operator="greaterThan">
      <formula>0.7</formula>
    </cfRule>
    <cfRule type="cellIs" dxfId="675" priority="15" operator="between">
      <formula>0.51</formula>
      <formula>0.69</formula>
    </cfRule>
    <cfRule type="cellIs" dxfId="674" priority="16" operator="lessThan">
      <formula>50</formula>
    </cfRule>
    <cfRule type="cellIs" dxfId="673" priority="17" operator="greaterThan">
      <formula>0.7</formula>
    </cfRule>
    <cfRule type="cellIs" dxfId="672" priority="18" operator="between">
      <formula>0.51</formula>
      <formula>0.69</formula>
    </cfRule>
    <cfRule type="cellIs" dxfId="671" priority="19" operator="lessThan">
      <formula>0.5</formula>
    </cfRule>
    <cfRule type="cellIs" dxfId="670" priority="20" operator="greaterThan">
      <formula>0.7</formula>
    </cfRule>
  </conditionalFormatting>
  <conditionalFormatting sqref="R36">
    <cfRule type="cellIs" dxfId="669" priority="1" operator="between">
      <formula>0.51</formula>
      <formula>0.69</formula>
    </cfRule>
    <cfRule type="cellIs" dxfId="668" priority="2" operator="between">
      <formula>0.51</formula>
      <formula>0.69</formula>
    </cfRule>
    <cfRule type="cellIs" dxfId="667" priority="3" operator="lessThan">
      <formula>0.5</formula>
    </cfRule>
    <cfRule type="cellIs" dxfId="666" priority="4" operator="greaterThan">
      <formula>0.7</formula>
    </cfRule>
    <cfRule type="cellIs" dxfId="665" priority="5" operator="between">
      <formula>0.51</formula>
      <formula>0.69</formula>
    </cfRule>
    <cfRule type="cellIs" dxfId="664" priority="6" operator="lessThan">
      <formula>50</formula>
    </cfRule>
    <cfRule type="cellIs" dxfId="663" priority="7" operator="greaterThan">
      <formula>0.7</formula>
    </cfRule>
    <cfRule type="cellIs" dxfId="662" priority="8" operator="between">
      <formula>0.51</formula>
      <formula>0.69</formula>
    </cfRule>
    <cfRule type="cellIs" dxfId="661" priority="9" operator="lessThan">
      <formula>0.5</formula>
    </cfRule>
    <cfRule type="cellIs" dxfId="660" priority="10" operator="greaterThan">
      <formula>0.7</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482B"/>
  </sheetPr>
  <dimension ref="A1:EB842"/>
  <sheetViews>
    <sheetView showGridLines="0" topLeftCell="D1" zoomScale="80" zoomScaleNormal="80" workbookViewId="0">
      <selection activeCell="U26" sqref="U26"/>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8.42578125" style="40" hidden="1" customWidth="1"/>
    <col min="9" max="9" width="12.7109375" style="40" hidden="1" customWidth="1"/>
    <col min="10" max="11" width="15.7109375" style="40" hidden="1" customWidth="1"/>
    <col min="12" max="12" width="18.7109375" style="40" customWidth="1"/>
    <col min="13" max="13" width="17.7109375" style="40" bestFit="1" customWidth="1"/>
    <col min="14" max="14" width="15.7109375" style="40" customWidth="1"/>
    <col min="15" max="15" width="11.42578125" style="40" customWidth="1"/>
    <col min="16" max="16" width="15.42578125" style="40" customWidth="1"/>
    <col min="17" max="17" width="16.7109375" style="40" customWidth="1"/>
    <col min="18" max="18" width="11.5703125" style="3" bestFit="1" customWidth="1"/>
    <col min="19" max="19" width="11.42578125" style="40" customWidth="1"/>
    <col min="20" max="20" width="16.7109375" style="35" bestFit="1" customWidth="1"/>
    <col min="21" max="21" width="16.7109375" style="40" bestFit="1" customWidth="1"/>
    <col min="22" max="22" width="11.42578125" style="40" customWidth="1"/>
    <col min="23" max="23" width="14.5703125" style="35" customWidth="1"/>
    <col min="24" max="24" width="19" style="40" bestFit="1" customWidth="1"/>
    <col min="25" max="129" width="11.5703125" style="39" hidden="1" customWidth="1"/>
    <col min="130" max="132" width="11.5703125" style="40" hidden="1" customWidth="1"/>
    <col min="133" max="16384" width="11.42578125" style="40"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871</v>
      </c>
      <c r="H7" s="41" t="s">
        <v>1134</v>
      </c>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15" customHeight="1" x14ac:dyDescent="0.25">
      <c r="A8" s="692" t="s">
        <v>175</v>
      </c>
      <c r="B8" s="766" t="s">
        <v>176</v>
      </c>
      <c r="C8" s="689" t="s">
        <v>177</v>
      </c>
      <c r="D8" s="736" t="s">
        <v>845</v>
      </c>
      <c r="E8" s="689" t="s">
        <v>100</v>
      </c>
      <c r="F8" s="710">
        <v>114400000</v>
      </c>
      <c r="G8" s="728">
        <v>0</v>
      </c>
      <c r="H8" s="692"/>
      <c r="I8" s="692"/>
      <c r="J8" s="692"/>
      <c r="K8" s="728">
        <v>5633302</v>
      </c>
      <c r="L8" s="758">
        <f>+F8+G8+H8+J8-K8</f>
        <v>108766698</v>
      </c>
      <c r="M8" s="742">
        <f>210000000+102000000</f>
        <v>312000000</v>
      </c>
      <c r="N8" s="78" t="s">
        <v>640</v>
      </c>
      <c r="O8" s="457" t="s">
        <v>643</v>
      </c>
      <c r="P8" s="78" t="s">
        <v>645</v>
      </c>
      <c r="Q8" s="66">
        <v>25699648</v>
      </c>
      <c r="R8" s="46"/>
      <c r="S8" s="38">
        <v>246</v>
      </c>
      <c r="T8" s="122">
        <v>44588</v>
      </c>
      <c r="U8" s="66">
        <v>25699648</v>
      </c>
      <c r="V8" s="38">
        <v>1323</v>
      </c>
      <c r="W8" s="122">
        <v>44589</v>
      </c>
      <c r="X8" s="66">
        <v>25699648</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15" x14ac:dyDescent="0.25">
      <c r="A9" s="693"/>
      <c r="B9" s="767"/>
      <c r="C9" s="690"/>
      <c r="D9" s="737"/>
      <c r="E9" s="690"/>
      <c r="F9" s="711"/>
      <c r="G9" s="735"/>
      <c r="H9" s="693"/>
      <c r="I9" s="693"/>
      <c r="J9" s="693"/>
      <c r="K9" s="735"/>
      <c r="L9" s="763"/>
      <c r="M9" s="743"/>
      <c r="N9" s="78" t="s">
        <v>641</v>
      </c>
      <c r="O9" s="457" t="s">
        <v>644</v>
      </c>
      <c r="P9" s="78" t="s">
        <v>646</v>
      </c>
      <c r="Q9" s="66">
        <v>63483717</v>
      </c>
      <c r="R9" s="46"/>
      <c r="S9" s="38">
        <v>249</v>
      </c>
      <c r="T9" s="122">
        <v>44588</v>
      </c>
      <c r="U9" s="66">
        <v>63483717</v>
      </c>
      <c r="V9" s="38">
        <v>1313</v>
      </c>
      <c r="W9" s="122">
        <v>44589</v>
      </c>
      <c r="X9" s="66">
        <v>63483717</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15" x14ac:dyDescent="0.25">
      <c r="A10" s="693"/>
      <c r="B10" s="767"/>
      <c r="C10" s="690"/>
      <c r="D10" s="737"/>
      <c r="E10" s="690"/>
      <c r="F10" s="712"/>
      <c r="G10" s="729"/>
      <c r="H10" s="694"/>
      <c r="I10" s="694"/>
      <c r="J10" s="694"/>
      <c r="K10" s="729"/>
      <c r="L10" s="763"/>
      <c r="M10" s="743"/>
      <c r="N10" s="78" t="s">
        <v>642</v>
      </c>
      <c r="O10" s="154" t="s">
        <v>885</v>
      </c>
      <c r="P10" s="78" t="s">
        <v>647</v>
      </c>
      <c r="Q10" s="66"/>
      <c r="R10" s="46"/>
      <c r="S10" s="44"/>
      <c r="T10" s="79"/>
      <c r="U10" s="44"/>
      <c r="V10" s="44"/>
      <c r="W10" s="79"/>
      <c r="X10" s="44"/>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15" x14ac:dyDescent="0.25">
      <c r="A11" s="693"/>
      <c r="B11" s="767"/>
      <c r="C11" s="690"/>
      <c r="D11" s="737"/>
      <c r="E11" s="690"/>
      <c r="F11" s="313"/>
      <c r="G11" s="317"/>
      <c r="H11" s="303"/>
      <c r="I11" s="85"/>
      <c r="J11" s="303"/>
      <c r="K11" s="303"/>
      <c r="L11" s="763"/>
      <c r="M11" s="743"/>
      <c r="N11" s="78" t="s">
        <v>1856</v>
      </c>
      <c r="O11" s="457" t="s">
        <v>1858</v>
      </c>
      <c r="P11" s="78" t="s">
        <v>1854</v>
      </c>
      <c r="Q11" s="274">
        <v>10750000</v>
      </c>
      <c r="R11" s="46"/>
      <c r="S11" s="404">
        <v>1015</v>
      </c>
      <c r="T11" s="273">
        <v>44782</v>
      </c>
      <c r="U11" s="274">
        <v>10750000</v>
      </c>
      <c r="V11" s="404">
        <v>4525</v>
      </c>
      <c r="W11" s="273">
        <v>44792</v>
      </c>
      <c r="X11" s="274">
        <v>10750000</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15" x14ac:dyDescent="0.25">
      <c r="A12" s="693"/>
      <c r="B12" s="767"/>
      <c r="C12" s="690"/>
      <c r="D12" s="738"/>
      <c r="E12" s="691"/>
      <c r="F12" s="313"/>
      <c r="G12" s="317"/>
      <c r="H12" s="303"/>
      <c r="I12" s="85"/>
      <c r="J12" s="303"/>
      <c r="K12" s="303"/>
      <c r="L12" s="759"/>
      <c r="M12" s="743"/>
      <c r="N12" s="78" t="s">
        <v>1857</v>
      </c>
      <c r="O12" s="457" t="s">
        <v>1859</v>
      </c>
      <c r="P12" s="78" t="s">
        <v>1855</v>
      </c>
      <c r="Q12" s="274">
        <v>4000000</v>
      </c>
      <c r="R12" s="46"/>
      <c r="S12" s="404">
        <v>1153</v>
      </c>
      <c r="T12" s="273">
        <v>44812</v>
      </c>
      <c r="U12" s="274">
        <v>4000000</v>
      </c>
      <c r="V12" s="585">
        <v>5385</v>
      </c>
      <c r="W12" s="273" t="s">
        <v>2785</v>
      </c>
      <c r="X12" s="274">
        <v>4000000</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15" x14ac:dyDescent="0.25">
      <c r="A13" s="693"/>
      <c r="B13" s="767"/>
      <c r="C13" s="690"/>
      <c r="D13" s="420"/>
      <c r="E13" s="415"/>
      <c r="F13" s="423"/>
      <c r="G13" s="418"/>
      <c r="H13" s="410"/>
      <c r="I13" s="85"/>
      <c r="J13" s="410"/>
      <c r="K13" s="410"/>
      <c r="L13" s="427"/>
      <c r="M13" s="743"/>
      <c r="N13" s="78" t="s">
        <v>2418</v>
      </c>
      <c r="O13" s="457" t="s">
        <v>2419</v>
      </c>
      <c r="P13" s="78" t="s">
        <v>2420</v>
      </c>
      <c r="Q13" s="274">
        <v>2812570</v>
      </c>
      <c r="R13" s="46"/>
      <c r="S13" s="443">
        <v>1551</v>
      </c>
      <c r="T13" s="273" t="s">
        <v>2794</v>
      </c>
      <c r="U13" s="274">
        <v>2812570</v>
      </c>
      <c r="V13" s="585">
        <v>6097</v>
      </c>
      <c r="W13" s="273" t="s">
        <v>2809</v>
      </c>
      <c r="X13" s="274">
        <v>2812570</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15" x14ac:dyDescent="0.25">
      <c r="A14" s="693"/>
      <c r="B14" s="767"/>
      <c r="C14" s="690"/>
      <c r="D14" s="420"/>
      <c r="E14" s="415"/>
      <c r="F14" s="423"/>
      <c r="G14" s="418"/>
      <c r="H14" s="410"/>
      <c r="I14" s="85"/>
      <c r="J14" s="410"/>
      <c r="K14" s="410"/>
      <c r="L14" s="427"/>
      <c r="M14" s="743"/>
      <c r="N14" s="78" t="s">
        <v>2421</v>
      </c>
      <c r="O14" s="457" t="s">
        <v>2422</v>
      </c>
      <c r="P14" s="78" t="s">
        <v>2423</v>
      </c>
      <c r="Q14" s="274">
        <v>933333</v>
      </c>
      <c r="R14" s="46"/>
      <c r="S14" s="443">
        <v>1528</v>
      </c>
      <c r="T14" s="273" t="s">
        <v>2783</v>
      </c>
      <c r="U14" s="274">
        <v>933333</v>
      </c>
      <c r="V14" s="585">
        <v>6058</v>
      </c>
      <c r="W14" s="273" t="s">
        <v>2794</v>
      </c>
      <c r="X14" s="274">
        <v>933333</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42" customHeight="1" x14ac:dyDescent="0.25">
      <c r="A15" s="693"/>
      <c r="B15" s="767"/>
      <c r="C15" s="690"/>
      <c r="D15" s="44" t="s">
        <v>783</v>
      </c>
      <c r="E15" s="8" t="s">
        <v>178</v>
      </c>
      <c r="F15" s="289">
        <v>42800000</v>
      </c>
      <c r="G15" s="289">
        <v>32800000</v>
      </c>
      <c r="H15" s="44"/>
      <c r="I15" s="45"/>
      <c r="J15" s="44"/>
      <c r="K15" s="66">
        <v>75600000</v>
      </c>
      <c r="L15" s="65">
        <f>+F15+G15+H15+J15-K15</f>
        <v>0</v>
      </c>
      <c r="M15" s="743"/>
      <c r="N15" s="44"/>
      <c r="O15" s="44"/>
      <c r="P15" s="44"/>
      <c r="Q15" s="44"/>
      <c r="R15" s="46"/>
      <c r="S15" s="404"/>
      <c r="T15" s="273"/>
      <c r="U15" s="44"/>
      <c r="V15" s="44"/>
      <c r="W15" s="79"/>
      <c r="X15" s="44"/>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42" customHeight="1" x14ac:dyDescent="0.25">
      <c r="A16" s="693"/>
      <c r="B16" s="767"/>
      <c r="C16" s="690"/>
      <c r="D16" s="692" t="s">
        <v>876</v>
      </c>
      <c r="E16" s="689" t="s">
        <v>128</v>
      </c>
      <c r="F16" s="134">
        <v>0</v>
      </c>
      <c r="G16" s="288">
        <v>10000000</v>
      </c>
      <c r="H16" s="133"/>
      <c r="I16" s="85"/>
      <c r="J16" s="179">
        <f>75600000+5633302</f>
        <v>81233302</v>
      </c>
      <c r="K16" s="317">
        <v>20500000</v>
      </c>
      <c r="L16" s="758">
        <f t="shared" ref="L16:L19" si="0">+F16+G16+H16+J16-K16</f>
        <v>70733302</v>
      </c>
      <c r="M16" s="743"/>
      <c r="N16" s="80" t="s">
        <v>1653</v>
      </c>
      <c r="O16" s="457" t="s">
        <v>1659</v>
      </c>
      <c r="P16" s="80" t="s">
        <v>1656</v>
      </c>
      <c r="Q16" s="345">
        <v>9463680</v>
      </c>
      <c r="R16" s="46"/>
      <c r="S16" s="404">
        <v>1044</v>
      </c>
      <c r="T16" s="273">
        <v>44792</v>
      </c>
      <c r="U16" s="345">
        <v>9463680</v>
      </c>
      <c r="V16" s="404">
        <v>5020</v>
      </c>
      <c r="W16" s="273">
        <v>44824</v>
      </c>
      <c r="X16" s="274">
        <v>9463680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42" customHeight="1" x14ac:dyDescent="0.25">
      <c r="A17" s="693"/>
      <c r="B17" s="767"/>
      <c r="C17" s="690"/>
      <c r="D17" s="693"/>
      <c r="E17" s="690"/>
      <c r="F17" s="317"/>
      <c r="G17" s="313"/>
      <c r="H17" s="303"/>
      <c r="I17" s="85"/>
      <c r="J17" s="317"/>
      <c r="K17" s="317"/>
      <c r="L17" s="763"/>
      <c r="M17" s="743"/>
      <c r="N17" s="80" t="s">
        <v>1654</v>
      </c>
      <c r="O17" s="457" t="s">
        <v>1660</v>
      </c>
      <c r="P17" s="80" t="s">
        <v>1657</v>
      </c>
      <c r="Q17" s="345">
        <v>16710096</v>
      </c>
      <c r="R17" s="46"/>
      <c r="S17" s="404">
        <v>1135</v>
      </c>
      <c r="T17" s="273">
        <v>44804</v>
      </c>
      <c r="U17" s="345">
        <v>16710096</v>
      </c>
      <c r="V17" s="404">
        <v>5683</v>
      </c>
      <c r="W17" s="273" t="s">
        <v>2803</v>
      </c>
      <c r="X17" s="345">
        <v>16710096</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42" customHeight="1" x14ac:dyDescent="0.25">
      <c r="A18" s="693"/>
      <c r="B18" s="767"/>
      <c r="C18" s="690"/>
      <c r="D18" s="694"/>
      <c r="E18" s="691"/>
      <c r="F18" s="317"/>
      <c r="G18" s="313"/>
      <c r="H18" s="303"/>
      <c r="I18" s="85"/>
      <c r="J18" s="317"/>
      <c r="K18" s="317"/>
      <c r="L18" s="759"/>
      <c r="M18" s="743"/>
      <c r="N18" s="80" t="s">
        <v>1655</v>
      </c>
      <c r="O18" s="457" t="s">
        <v>1661</v>
      </c>
      <c r="P18" s="80" t="s">
        <v>1658</v>
      </c>
      <c r="Q18" s="345">
        <v>23600400</v>
      </c>
      <c r="R18" s="46"/>
      <c r="S18" s="404">
        <v>1240</v>
      </c>
      <c r="T18" s="273">
        <v>44831</v>
      </c>
      <c r="U18" s="345">
        <v>23600400</v>
      </c>
      <c r="V18" s="404">
        <v>5730</v>
      </c>
      <c r="W18" s="273" t="s">
        <v>2787</v>
      </c>
      <c r="X18" s="345">
        <v>23600400</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42" customHeight="1" x14ac:dyDescent="0.25">
      <c r="A19" s="693"/>
      <c r="B19" s="767"/>
      <c r="C19" s="690"/>
      <c r="D19" s="692" t="s">
        <v>877</v>
      </c>
      <c r="E19" s="689" t="s">
        <v>131</v>
      </c>
      <c r="F19" s="134">
        <v>0</v>
      </c>
      <c r="G19" s="288">
        <v>10000000</v>
      </c>
      <c r="H19" s="288">
        <v>102000000</v>
      </c>
      <c r="I19" s="85"/>
      <c r="J19" s="317">
        <v>20500000</v>
      </c>
      <c r="K19" s="133"/>
      <c r="L19" s="758">
        <f t="shared" si="0"/>
        <v>132500000</v>
      </c>
      <c r="M19" s="743"/>
      <c r="N19" s="78" t="s">
        <v>1418</v>
      </c>
      <c r="O19" s="457" t="s">
        <v>1419</v>
      </c>
      <c r="P19" s="78" t="s">
        <v>1420</v>
      </c>
      <c r="Q19" s="274">
        <v>6720000</v>
      </c>
      <c r="R19" s="46"/>
      <c r="S19" s="404">
        <v>762</v>
      </c>
      <c r="T19" s="273">
        <v>44736</v>
      </c>
      <c r="U19" s="267">
        <v>6720000</v>
      </c>
      <c r="V19" s="404">
        <v>4319</v>
      </c>
      <c r="W19" s="273">
        <v>44777</v>
      </c>
      <c r="X19" s="274">
        <v>6720000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50" customFormat="1" ht="42" customHeight="1" x14ac:dyDescent="0.25">
      <c r="A20" s="693"/>
      <c r="B20" s="767"/>
      <c r="C20" s="690"/>
      <c r="D20" s="693"/>
      <c r="E20" s="690"/>
      <c r="F20" s="317"/>
      <c r="G20" s="313"/>
      <c r="H20" s="313"/>
      <c r="I20" s="85"/>
      <c r="J20" s="317"/>
      <c r="K20" s="303"/>
      <c r="L20" s="763"/>
      <c r="M20" s="743"/>
      <c r="N20" s="78" t="s">
        <v>1592</v>
      </c>
      <c r="O20" s="457" t="s">
        <v>1602</v>
      </c>
      <c r="P20" s="78" t="s">
        <v>1597</v>
      </c>
      <c r="Q20" s="274">
        <v>18480240</v>
      </c>
      <c r="R20" s="46"/>
      <c r="S20" s="404">
        <v>1004</v>
      </c>
      <c r="T20" s="273">
        <v>44781</v>
      </c>
      <c r="U20" s="274">
        <v>18480240</v>
      </c>
      <c r="V20" s="404">
        <v>4927</v>
      </c>
      <c r="W20" s="273">
        <v>44813</v>
      </c>
      <c r="X20" s="274">
        <v>18480240</v>
      </c>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row>
    <row r="21" spans="1:129" s="50" customFormat="1" ht="42" customHeight="1" x14ac:dyDescent="0.25">
      <c r="A21" s="693"/>
      <c r="B21" s="767"/>
      <c r="C21" s="690"/>
      <c r="D21" s="693"/>
      <c r="E21" s="690"/>
      <c r="F21" s="317"/>
      <c r="G21" s="313"/>
      <c r="H21" s="313"/>
      <c r="I21" s="85"/>
      <c r="J21" s="317"/>
      <c r="K21" s="303"/>
      <c r="L21" s="763"/>
      <c r="M21" s="743"/>
      <c r="N21" s="78" t="s">
        <v>1593</v>
      </c>
      <c r="O21" s="457" t="s">
        <v>1603</v>
      </c>
      <c r="P21" s="78" t="s">
        <v>1598</v>
      </c>
      <c r="Q21" s="274">
        <v>8332200</v>
      </c>
      <c r="R21" s="46"/>
      <c r="S21" s="404">
        <v>996</v>
      </c>
      <c r="T21" s="273">
        <v>44778</v>
      </c>
      <c r="U21" s="274">
        <v>8332200</v>
      </c>
      <c r="V21" s="404">
        <v>4880</v>
      </c>
      <c r="W21" s="273">
        <v>44810</v>
      </c>
      <c r="X21" s="274">
        <v>8332200</v>
      </c>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row>
    <row r="22" spans="1:129" s="50" customFormat="1" ht="42" customHeight="1" x14ac:dyDescent="0.25">
      <c r="A22" s="693"/>
      <c r="B22" s="767"/>
      <c r="C22" s="690"/>
      <c r="D22" s="693"/>
      <c r="E22" s="690"/>
      <c r="F22" s="317"/>
      <c r="G22" s="313"/>
      <c r="H22" s="313"/>
      <c r="I22" s="85"/>
      <c r="J22" s="317"/>
      <c r="K22" s="303"/>
      <c r="L22" s="763"/>
      <c r="M22" s="743"/>
      <c r="N22" s="78" t="s">
        <v>1594</v>
      </c>
      <c r="O22" s="457" t="s">
        <v>1604</v>
      </c>
      <c r="P22" s="78" t="s">
        <v>1599</v>
      </c>
      <c r="Q22" s="274">
        <v>28411560</v>
      </c>
      <c r="R22" s="46"/>
      <c r="S22" s="404">
        <v>979</v>
      </c>
      <c r="T22" s="273">
        <v>44778</v>
      </c>
      <c r="U22" s="274">
        <v>28411560</v>
      </c>
      <c r="V22" s="404">
        <v>4964</v>
      </c>
      <c r="W22" s="273">
        <v>44818</v>
      </c>
      <c r="X22" s="274">
        <v>28411560</v>
      </c>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row>
    <row r="23" spans="1:129" s="50" customFormat="1" ht="42" customHeight="1" x14ac:dyDescent="0.25">
      <c r="A23" s="693"/>
      <c r="B23" s="767"/>
      <c r="C23" s="690"/>
      <c r="D23" s="693"/>
      <c r="E23" s="690"/>
      <c r="F23" s="317"/>
      <c r="G23" s="313"/>
      <c r="H23" s="313"/>
      <c r="I23" s="85"/>
      <c r="J23" s="317"/>
      <c r="K23" s="303"/>
      <c r="L23" s="763"/>
      <c r="M23" s="743"/>
      <c r="N23" s="78" t="s">
        <v>1595</v>
      </c>
      <c r="O23" s="457" t="s">
        <v>1605</v>
      </c>
      <c r="P23" s="78" t="s">
        <v>1600</v>
      </c>
      <c r="Q23" s="274">
        <v>9240120</v>
      </c>
      <c r="R23" s="46"/>
      <c r="S23" s="404">
        <v>1017</v>
      </c>
      <c r="T23" s="273">
        <v>44782</v>
      </c>
      <c r="U23" s="274">
        <v>9240120</v>
      </c>
      <c r="V23" s="404">
        <v>5015</v>
      </c>
      <c r="W23" s="273">
        <v>44824</v>
      </c>
      <c r="X23" s="274">
        <v>9240120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row>
    <row r="24" spans="1:129" s="50" customFormat="1" ht="42" customHeight="1" x14ac:dyDescent="0.25">
      <c r="A24" s="694"/>
      <c r="B24" s="768"/>
      <c r="C24" s="691"/>
      <c r="D24" s="694"/>
      <c r="E24" s="691"/>
      <c r="F24" s="317"/>
      <c r="G24" s="313"/>
      <c r="H24" s="313"/>
      <c r="I24" s="85"/>
      <c r="J24" s="317"/>
      <c r="K24" s="303"/>
      <c r="L24" s="759"/>
      <c r="M24" s="744"/>
      <c r="N24" s="78" t="s">
        <v>1596</v>
      </c>
      <c r="O24" s="457" t="s">
        <v>1606</v>
      </c>
      <c r="P24" s="78" t="s">
        <v>1601</v>
      </c>
      <c r="Q24" s="274">
        <v>43983005</v>
      </c>
      <c r="R24" s="46"/>
      <c r="S24" s="404">
        <v>1136</v>
      </c>
      <c r="T24" s="273">
        <v>44804</v>
      </c>
      <c r="U24" s="274">
        <v>43983005</v>
      </c>
      <c r="V24" s="404">
        <v>5013</v>
      </c>
      <c r="W24" s="273">
        <v>44824</v>
      </c>
      <c r="X24" s="274">
        <v>43983005</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row>
    <row r="25" spans="1:129" s="107" customFormat="1" ht="15.75" thickBot="1" x14ac:dyDescent="0.3">
      <c r="A25" s="92"/>
      <c r="B25" s="92"/>
      <c r="C25" s="92"/>
      <c r="D25" s="92"/>
      <c r="E25" s="104"/>
      <c r="F25" s="101"/>
      <c r="G25" s="101"/>
      <c r="H25" s="92"/>
      <c r="I25" s="93"/>
      <c r="J25" s="92"/>
      <c r="K25" s="92"/>
      <c r="L25" s="102">
        <f>SUM(L8:L19)</f>
        <v>312000000</v>
      </c>
      <c r="M25" s="101"/>
      <c r="N25" s="105"/>
      <c r="O25" s="86"/>
      <c r="P25" s="95"/>
      <c r="Q25" s="103">
        <f>SUM(Q8:Q24)</f>
        <v>272620569</v>
      </c>
      <c r="R25" s="89"/>
      <c r="S25" s="86"/>
      <c r="T25" s="95"/>
      <c r="U25" s="103">
        <f>SUM(U8:U24)</f>
        <v>272620569</v>
      </c>
      <c r="V25" s="86"/>
      <c r="W25" s="95"/>
      <c r="X25" s="103">
        <f>SUM(X8:X24)</f>
        <v>272620569</v>
      </c>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row>
    <row r="26" spans="1:129" s="63" customFormat="1" ht="17.25" thickBot="1" x14ac:dyDescent="0.35">
      <c r="A26" s="51"/>
      <c r="B26" s="51"/>
      <c r="C26" s="42"/>
      <c r="D26" s="42"/>
      <c r="E26" s="42"/>
      <c r="F26" s="52"/>
      <c r="G26" s="42"/>
      <c r="H26" s="42"/>
      <c r="I26" s="43"/>
      <c r="J26" s="53" t="s">
        <v>29</v>
      </c>
      <c r="K26" s="54"/>
      <c r="L26" s="55">
        <f>+L25</f>
        <v>312000000</v>
      </c>
      <c r="M26" s="56"/>
      <c r="N26" s="56"/>
      <c r="O26" s="56"/>
      <c r="P26" s="56"/>
      <c r="Q26" s="67">
        <f>+Q25</f>
        <v>272620569</v>
      </c>
      <c r="R26" s="57">
        <f>(Q26*1)/L26</f>
        <v>0.87378387499999999</v>
      </c>
      <c r="S26" s="58"/>
      <c r="T26" s="59"/>
      <c r="U26" s="60">
        <f>+U25</f>
        <v>272620569</v>
      </c>
      <c r="V26" s="58"/>
      <c r="W26" s="59"/>
      <c r="X26" s="61">
        <f>+X25</f>
        <v>272620569</v>
      </c>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row>
    <row r="27" spans="1:129" ht="15" x14ac:dyDescent="0.25">
      <c r="R27" s="4"/>
    </row>
    <row r="28" spans="1:129" ht="15" x14ac:dyDescent="0.25">
      <c r="Q28" s="39"/>
      <c r="R28" s="6"/>
      <c r="S28" s="39"/>
    </row>
    <row r="29" spans="1:129" ht="15" x14ac:dyDescent="0.25">
      <c r="Q29" s="39"/>
      <c r="R29" s="6"/>
      <c r="S29" s="39"/>
    </row>
    <row r="30" spans="1:129" ht="15" x14ac:dyDescent="0.25">
      <c r="Q30" s="39"/>
      <c r="R30" s="6"/>
      <c r="S30" s="39"/>
    </row>
    <row r="31" spans="1:129" ht="15" x14ac:dyDescent="0.25">
      <c r="Q31" s="39"/>
      <c r="R31" s="6"/>
      <c r="S31" s="39"/>
    </row>
    <row r="32" spans="1:129" ht="15" x14ac:dyDescent="0.25">
      <c r="Q32" s="39"/>
      <c r="R32" s="6"/>
      <c r="S32" s="39"/>
    </row>
    <row r="33" spans="17:19" ht="15" x14ac:dyDescent="0.25">
      <c r="Q33" s="39"/>
      <c r="R33" s="6"/>
      <c r="S33" s="39"/>
    </row>
    <row r="34" spans="17:19" ht="15" x14ac:dyDescent="0.25">
      <c r="Q34" s="39"/>
      <c r="R34" s="6"/>
      <c r="S34" s="39"/>
    </row>
    <row r="35" spans="17:19" ht="15" x14ac:dyDescent="0.25">
      <c r="Q35" s="39"/>
      <c r="R35" s="6"/>
      <c r="S35" s="39"/>
    </row>
    <row r="36" spans="17:19" ht="15" x14ac:dyDescent="0.25">
      <c r="Q36" s="39"/>
      <c r="R36" s="7"/>
      <c r="S36" s="39"/>
    </row>
    <row r="37" spans="17:19" ht="15" x14ac:dyDescent="0.25"/>
    <row r="38" spans="17:19" ht="15" x14ac:dyDescent="0.25"/>
    <row r="39" spans="17:19" ht="15" x14ac:dyDescent="0.25"/>
    <row r="40" spans="17:19" ht="15" x14ac:dyDescent="0.25"/>
    <row r="41" spans="17:19" ht="15" x14ac:dyDescent="0.25"/>
    <row r="42" spans="17:19" ht="15" x14ac:dyDescent="0.25"/>
    <row r="43" spans="17:19" ht="15" x14ac:dyDescent="0.25"/>
    <row r="44" spans="17:19" ht="15" x14ac:dyDescent="0.25"/>
    <row r="45" spans="17:19" ht="15" x14ac:dyDescent="0.25"/>
    <row r="46" spans="17:19" ht="15" x14ac:dyDescent="0.25"/>
    <row r="47" spans="17:19" ht="15" x14ac:dyDescent="0.25"/>
    <row r="48" spans="17:19"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customHeight="1" x14ac:dyDescent="0.25"/>
    <row r="80" ht="15"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sheetData>
  <sheetProtection algorithmName="SHA-512" hashValue="U8w7VbOi5eeoUWz+dvc2EjRv8MKTegQU9ebtwPzTtmjebjvKmann9sviR6riBE7ORTC84HpIfZyRIfSKOGRc8Q==" saltValue="ohPyNmr2Pah9WOMUL4Mk5g==" spinCount="100000" sheet="1" objects="1" scenarios="1" selectLockedCells="1" selectUnlockedCells="1"/>
  <mergeCells count="27">
    <mergeCell ref="D19:D24"/>
    <mergeCell ref="E19:E24"/>
    <mergeCell ref="L19:L24"/>
    <mergeCell ref="M8:M24"/>
    <mergeCell ref="A8:A24"/>
    <mergeCell ref="B8:B24"/>
    <mergeCell ref="C8:C24"/>
    <mergeCell ref="E8:E12"/>
    <mergeCell ref="L8:L12"/>
    <mergeCell ref="D16:D18"/>
    <mergeCell ref="E16:E18"/>
    <mergeCell ref="L16:L18"/>
    <mergeCell ref="A2:A5"/>
    <mergeCell ref="B2:V2"/>
    <mergeCell ref="F8:F10"/>
    <mergeCell ref="G8:G10"/>
    <mergeCell ref="H8:H10"/>
    <mergeCell ref="I8:I10"/>
    <mergeCell ref="J8:J10"/>
    <mergeCell ref="K8:K10"/>
    <mergeCell ref="D8:D12"/>
    <mergeCell ref="W2:X2"/>
    <mergeCell ref="B3:V3"/>
    <mergeCell ref="W3:X3"/>
    <mergeCell ref="B4:V5"/>
    <mergeCell ref="W4:X4"/>
    <mergeCell ref="W5:X5"/>
  </mergeCells>
  <conditionalFormatting sqref="R36:R1048576 R7:R24 R26">
    <cfRule type="cellIs" dxfId="659" priority="11" operator="between">
      <formula>0.51</formula>
      <formula>0.69</formula>
    </cfRule>
    <cfRule type="cellIs" dxfId="658" priority="12" operator="between">
      <formula>0.51</formula>
      <formula>0.69</formula>
    </cfRule>
    <cfRule type="cellIs" dxfId="657" priority="13" operator="lessThan">
      <formula>0.5</formula>
    </cfRule>
    <cfRule type="cellIs" dxfId="656" priority="14" operator="greaterThan">
      <formula>0.7</formula>
    </cfRule>
    <cfRule type="cellIs" dxfId="655" priority="15" operator="between">
      <formula>0.51</formula>
      <formula>0.69</formula>
    </cfRule>
    <cfRule type="cellIs" dxfId="654" priority="16" operator="lessThan">
      <formula>50</formula>
    </cfRule>
    <cfRule type="cellIs" dxfId="653" priority="17" operator="greaterThan">
      <formula>0.7</formula>
    </cfRule>
    <cfRule type="cellIs" dxfId="652" priority="18" operator="between">
      <formula>0.51</formula>
      <formula>0.69</formula>
    </cfRule>
    <cfRule type="cellIs" dxfId="651" priority="19" operator="lessThan">
      <formula>0.5</formula>
    </cfRule>
    <cfRule type="cellIs" dxfId="650" priority="20" operator="greaterThan">
      <formula>0.7</formula>
    </cfRule>
  </conditionalFormatting>
  <conditionalFormatting sqref="R25">
    <cfRule type="cellIs" dxfId="649" priority="1" operator="between">
      <formula>0.51</formula>
      <formula>0.69</formula>
    </cfRule>
    <cfRule type="cellIs" dxfId="648" priority="2" operator="between">
      <formula>0.51</formula>
      <formula>0.69</formula>
    </cfRule>
    <cfRule type="cellIs" dxfId="647" priority="3" operator="lessThan">
      <formula>0.5</formula>
    </cfRule>
    <cfRule type="cellIs" dxfId="646" priority="4" operator="greaterThan">
      <formula>0.7</formula>
    </cfRule>
    <cfRule type="cellIs" dxfId="645" priority="5" operator="between">
      <formula>0.51</formula>
      <formula>0.69</formula>
    </cfRule>
    <cfRule type="cellIs" dxfId="644" priority="6" operator="lessThan">
      <formula>50</formula>
    </cfRule>
    <cfRule type="cellIs" dxfId="643" priority="7" operator="greaterThan">
      <formula>0.7</formula>
    </cfRule>
    <cfRule type="cellIs" dxfId="642" priority="8" operator="between">
      <formula>0.51</formula>
      <formula>0.69</formula>
    </cfRule>
    <cfRule type="cellIs" dxfId="641" priority="9" operator="lessThan">
      <formula>0.5</formula>
    </cfRule>
    <cfRule type="cellIs" dxfId="640" priority="10" operator="greaterThan">
      <formula>0.7</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482B"/>
  </sheetPr>
  <dimension ref="A1:EB833"/>
  <sheetViews>
    <sheetView showGridLines="0" topLeftCell="D1" zoomScale="80" zoomScaleNormal="80" workbookViewId="0">
      <selection activeCell="U19" sqref="U19"/>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1.42578125" style="40" hidden="1" customWidth="1"/>
    <col min="9" max="9" width="12.7109375" style="40" hidden="1" customWidth="1"/>
    <col min="10" max="10" width="15.140625" style="40" hidden="1" customWidth="1"/>
    <col min="11" max="11" width="15" style="40" hidden="1" customWidth="1"/>
    <col min="12" max="12" width="18.7109375" style="40" customWidth="1"/>
    <col min="13" max="13" width="17.7109375" style="40" bestFit="1" customWidth="1"/>
    <col min="14" max="14" width="15.7109375" style="40" customWidth="1"/>
    <col min="15" max="15" width="11.42578125" style="40" customWidth="1"/>
    <col min="16" max="16" width="15.42578125" style="40" customWidth="1"/>
    <col min="17" max="17" width="19.140625" style="40" bestFit="1" customWidth="1"/>
    <col min="18" max="18" width="11.5703125" style="3" bestFit="1" customWidth="1"/>
    <col min="19" max="19" width="11.42578125" style="40" customWidth="1"/>
    <col min="20" max="20" width="16.7109375" style="35" bestFit="1" customWidth="1"/>
    <col min="21" max="21" width="17.28515625" style="40" bestFit="1" customWidth="1"/>
    <col min="22" max="22" width="11.42578125" style="40" customWidth="1"/>
    <col min="23" max="23" width="14.5703125" style="35" customWidth="1"/>
    <col min="24" max="24" width="19" style="40" bestFit="1" customWidth="1"/>
    <col min="25" max="129" width="11.5703125" style="39" hidden="1" customWidth="1"/>
    <col min="130" max="132" width="11.5703125" style="40" hidden="1" customWidth="1"/>
    <col min="133" max="16384" width="11.42578125" style="40"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1135</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27" x14ac:dyDescent="0.25">
      <c r="A8" s="692" t="s">
        <v>179</v>
      </c>
      <c r="B8" s="766" t="s">
        <v>180</v>
      </c>
      <c r="C8" s="689" t="s">
        <v>181</v>
      </c>
      <c r="D8" s="44" t="s">
        <v>784</v>
      </c>
      <c r="E8" s="8" t="s">
        <v>116</v>
      </c>
      <c r="F8" s="289">
        <v>54645000</v>
      </c>
      <c r="G8" s="66">
        <v>0</v>
      </c>
      <c r="H8" s="44"/>
      <c r="I8" s="45"/>
      <c r="J8" s="289">
        <v>9837202</v>
      </c>
      <c r="K8" s="274">
        <v>57258000</v>
      </c>
      <c r="L8" s="65">
        <f>+F8+G8+H8+J8-K8</f>
        <v>7224202</v>
      </c>
      <c r="M8" s="742">
        <f>140261302+23317288</f>
        <v>163578590</v>
      </c>
      <c r="N8" s="80" t="s">
        <v>2424</v>
      </c>
      <c r="O8" s="459" t="s">
        <v>2425</v>
      </c>
      <c r="P8" s="80" t="s">
        <v>2426</v>
      </c>
      <c r="Q8" s="345">
        <v>6037993</v>
      </c>
      <c r="R8" s="46"/>
      <c r="S8" s="521">
        <v>1420</v>
      </c>
      <c r="T8" s="273" t="s">
        <v>2772</v>
      </c>
      <c r="U8" s="345">
        <v>6037993</v>
      </c>
      <c r="V8" s="585">
        <v>6052</v>
      </c>
      <c r="W8" s="273" t="s">
        <v>2794</v>
      </c>
      <c r="X8" s="345">
        <v>6037993</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42" customHeight="1" x14ac:dyDescent="0.25">
      <c r="A9" s="693"/>
      <c r="B9" s="767"/>
      <c r="C9" s="690"/>
      <c r="D9" s="736" t="s">
        <v>846</v>
      </c>
      <c r="E9" s="689" t="s">
        <v>100</v>
      </c>
      <c r="F9" s="710">
        <v>58088602</v>
      </c>
      <c r="G9" s="687">
        <v>0</v>
      </c>
      <c r="H9" s="692"/>
      <c r="I9" s="692"/>
      <c r="J9" s="692"/>
      <c r="K9" s="710">
        <v>5609502</v>
      </c>
      <c r="L9" s="758">
        <f>+F9+G9+H9+J9-K9</f>
        <v>52479100</v>
      </c>
      <c r="M9" s="743"/>
      <c r="N9" s="78" t="s">
        <v>648</v>
      </c>
      <c r="O9" s="457" t="s">
        <v>650</v>
      </c>
      <c r="P9" s="78" t="s">
        <v>652</v>
      </c>
      <c r="Q9" s="66">
        <v>33521280</v>
      </c>
      <c r="R9" s="46"/>
      <c r="S9" s="38">
        <v>250</v>
      </c>
      <c r="T9" s="122">
        <v>44588</v>
      </c>
      <c r="U9" s="66">
        <v>33521280</v>
      </c>
      <c r="V9" s="38">
        <v>1314</v>
      </c>
      <c r="W9" s="122">
        <v>44589</v>
      </c>
      <c r="X9" s="66">
        <v>33521280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42" customHeight="1" x14ac:dyDescent="0.25">
      <c r="A10" s="693"/>
      <c r="B10" s="767"/>
      <c r="C10" s="690"/>
      <c r="D10" s="737"/>
      <c r="E10" s="690"/>
      <c r="F10" s="712"/>
      <c r="G10" s="698"/>
      <c r="H10" s="694"/>
      <c r="I10" s="694"/>
      <c r="J10" s="694"/>
      <c r="K10" s="712"/>
      <c r="L10" s="763"/>
      <c r="M10" s="743"/>
      <c r="N10" s="78" t="s">
        <v>649</v>
      </c>
      <c r="O10" s="457" t="s">
        <v>651</v>
      </c>
      <c r="P10" s="78" t="s">
        <v>653</v>
      </c>
      <c r="Q10" s="66">
        <v>6930560</v>
      </c>
      <c r="R10" s="46"/>
      <c r="S10" s="38">
        <v>342</v>
      </c>
      <c r="T10" s="122">
        <v>44606</v>
      </c>
      <c r="U10" s="66">
        <v>6930560</v>
      </c>
      <c r="V10" s="404">
        <v>2212</v>
      </c>
      <c r="W10" s="273">
        <v>44673</v>
      </c>
      <c r="X10" s="274">
        <v>6930560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42" customHeight="1" x14ac:dyDescent="0.25">
      <c r="A11" s="693"/>
      <c r="B11" s="767"/>
      <c r="C11" s="690"/>
      <c r="D11" s="738"/>
      <c r="E11" s="691"/>
      <c r="F11" s="312"/>
      <c r="G11" s="324"/>
      <c r="H11" s="309"/>
      <c r="I11" s="309"/>
      <c r="J11" s="309"/>
      <c r="K11" s="312"/>
      <c r="L11" s="759"/>
      <c r="M11" s="743"/>
      <c r="N11" s="78" t="s">
        <v>1861</v>
      </c>
      <c r="O11" s="457">
        <v>520</v>
      </c>
      <c r="P11" s="78" t="s">
        <v>1860</v>
      </c>
      <c r="Q11" s="274">
        <v>2736864</v>
      </c>
      <c r="R11" s="46"/>
      <c r="S11" s="329">
        <v>1065</v>
      </c>
      <c r="T11" s="273">
        <v>44797</v>
      </c>
      <c r="U11" s="274">
        <v>2736864</v>
      </c>
      <c r="V11" s="404">
        <v>4653</v>
      </c>
      <c r="W11" s="273">
        <v>44802</v>
      </c>
      <c r="X11" s="274">
        <v>2736864</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42" customHeight="1" x14ac:dyDescent="0.25">
      <c r="A12" s="693"/>
      <c r="B12" s="767"/>
      <c r="C12" s="690"/>
      <c r="D12" s="692" t="s">
        <v>785</v>
      </c>
      <c r="E12" s="689" t="s">
        <v>144</v>
      </c>
      <c r="F12" s="710">
        <v>27527700</v>
      </c>
      <c r="G12" s="728">
        <v>0</v>
      </c>
      <c r="H12" s="692"/>
      <c r="I12" s="692"/>
      <c r="J12" s="692"/>
      <c r="K12" s="710">
        <v>4227700</v>
      </c>
      <c r="L12" s="758">
        <f>+F12+G12+H12+J12-K12</f>
        <v>23300000</v>
      </c>
      <c r="M12" s="743"/>
      <c r="N12" s="78" t="s">
        <v>959</v>
      </c>
      <c r="O12" s="457" t="s">
        <v>961</v>
      </c>
      <c r="P12" s="78" t="s">
        <v>963</v>
      </c>
      <c r="Q12" s="66">
        <v>5200000</v>
      </c>
      <c r="R12" s="46"/>
      <c r="S12" s="38">
        <v>521</v>
      </c>
      <c r="T12" s="122">
        <v>44672</v>
      </c>
      <c r="U12" s="267">
        <v>5200000</v>
      </c>
      <c r="V12" s="404">
        <v>2993</v>
      </c>
      <c r="W12" s="273">
        <v>44734</v>
      </c>
      <c r="X12" s="274">
        <v>5200000</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36.75" customHeight="1" x14ac:dyDescent="0.25">
      <c r="A13" s="693"/>
      <c r="B13" s="767"/>
      <c r="C13" s="690"/>
      <c r="D13" s="693"/>
      <c r="E13" s="690"/>
      <c r="F13" s="712"/>
      <c r="G13" s="729"/>
      <c r="H13" s="694"/>
      <c r="I13" s="694"/>
      <c r="J13" s="694"/>
      <c r="K13" s="712"/>
      <c r="L13" s="763"/>
      <c r="M13" s="743"/>
      <c r="N13" s="78" t="s">
        <v>960</v>
      </c>
      <c r="O13" s="457" t="s">
        <v>962</v>
      </c>
      <c r="P13" s="78" t="s">
        <v>964</v>
      </c>
      <c r="Q13" s="66">
        <v>5200000</v>
      </c>
      <c r="R13" s="46"/>
      <c r="S13" s="585">
        <v>529</v>
      </c>
      <c r="T13" s="266">
        <v>44677</v>
      </c>
      <c r="U13" s="267">
        <v>5200000</v>
      </c>
      <c r="V13" s="404">
        <v>3562</v>
      </c>
      <c r="W13" s="273">
        <v>44760</v>
      </c>
      <c r="X13" s="274">
        <v>5200000</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36.75" customHeight="1" x14ac:dyDescent="0.25">
      <c r="A14" s="693"/>
      <c r="B14" s="767"/>
      <c r="C14" s="690"/>
      <c r="D14" s="693"/>
      <c r="E14" s="690"/>
      <c r="F14" s="313"/>
      <c r="G14" s="317"/>
      <c r="H14" s="303"/>
      <c r="I14" s="85"/>
      <c r="J14" s="303"/>
      <c r="K14" s="313"/>
      <c r="L14" s="763"/>
      <c r="M14" s="743"/>
      <c r="N14" s="78" t="s">
        <v>2030</v>
      </c>
      <c r="O14" s="457" t="s">
        <v>2033</v>
      </c>
      <c r="P14" s="78" t="s">
        <v>2027</v>
      </c>
      <c r="Q14" s="274">
        <v>5200000</v>
      </c>
      <c r="R14" s="46"/>
      <c r="S14" s="585">
        <v>963</v>
      </c>
      <c r="T14" s="273">
        <v>44778</v>
      </c>
      <c r="U14" s="274">
        <v>5200000</v>
      </c>
      <c r="V14" s="585">
        <v>5536</v>
      </c>
      <c r="W14" s="273" t="s">
        <v>2861</v>
      </c>
      <c r="X14" s="274">
        <v>5200000</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36.75" customHeight="1" x14ac:dyDescent="0.25">
      <c r="A15" s="693"/>
      <c r="B15" s="767"/>
      <c r="C15" s="690"/>
      <c r="D15" s="693"/>
      <c r="E15" s="690"/>
      <c r="F15" s="313"/>
      <c r="G15" s="317"/>
      <c r="H15" s="303"/>
      <c r="I15" s="85"/>
      <c r="J15" s="303"/>
      <c r="K15" s="313"/>
      <c r="L15" s="763"/>
      <c r="M15" s="743"/>
      <c r="N15" s="78" t="s">
        <v>2031</v>
      </c>
      <c r="O15" s="457" t="s">
        <v>2034</v>
      </c>
      <c r="P15" s="78" t="s">
        <v>2028</v>
      </c>
      <c r="Q15" s="274">
        <v>5200000</v>
      </c>
      <c r="R15" s="46"/>
      <c r="S15" s="585">
        <v>974</v>
      </c>
      <c r="T15" s="273">
        <v>44778</v>
      </c>
      <c r="U15" s="274">
        <v>5200000</v>
      </c>
      <c r="V15" s="585">
        <v>5537</v>
      </c>
      <c r="W15" s="273" t="s">
        <v>2861</v>
      </c>
      <c r="X15" s="274">
        <v>5200000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36.75" customHeight="1" x14ac:dyDescent="0.25">
      <c r="A16" s="693"/>
      <c r="B16" s="767"/>
      <c r="C16" s="690"/>
      <c r="D16" s="694"/>
      <c r="E16" s="691"/>
      <c r="F16" s="313"/>
      <c r="G16" s="317"/>
      <c r="H16" s="303"/>
      <c r="I16" s="85"/>
      <c r="J16" s="303"/>
      <c r="K16" s="313"/>
      <c r="L16" s="759"/>
      <c r="M16" s="743"/>
      <c r="N16" s="78" t="s">
        <v>2032</v>
      </c>
      <c r="O16" s="457" t="s">
        <v>2035</v>
      </c>
      <c r="P16" s="78" t="s">
        <v>2029</v>
      </c>
      <c r="Q16" s="289">
        <v>2500000</v>
      </c>
      <c r="R16" s="46"/>
      <c r="S16" s="330"/>
      <c r="T16" s="273"/>
      <c r="U16" s="274"/>
      <c r="V16" s="330"/>
      <c r="W16" s="79"/>
      <c r="X16" s="330"/>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36.75" customHeight="1" x14ac:dyDescent="0.25">
      <c r="A17" s="694"/>
      <c r="B17" s="768"/>
      <c r="C17" s="691"/>
      <c r="D17" s="197" t="s">
        <v>1193</v>
      </c>
      <c r="E17" s="193" t="s">
        <v>246</v>
      </c>
      <c r="F17" s="198"/>
      <c r="G17" s="288">
        <v>23317288</v>
      </c>
      <c r="H17" s="197"/>
      <c r="I17" s="85"/>
      <c r="J17" s="317">
        <v>57258000</v>
      </c>
      <c r="K17" s="198"/>
      <c r="L17" s="199">
        <f>+F17+G17+H17+J17-K17</f>
        <v>80575288</v>
      </c>
      <c r="M17" s="744"/>
      <c r="N17" s="78" t="s">
        <v>1588</v>
      </c>
      <c r="O17" s="457" t="s">
        <v>1589</v>
      </c>
      <c r="P17" s="78" t="s">
        <v>1587</v>
      </c>
      <c r="Q17" s="66">
        <v>80575000</v>
      </c>
      <c r="R17" s="46"/>
      <c r="S17" s="200">
        <v>1121</v>
      </c>
      <c r="T17" s="79">
        <v>44802</v>
      </c>
      <c r="U17" s="274">
        <v>80575000</v>
      </c>
      <c r="V17" s="585">
        <v>5196</v>
      </c>
      <c r="W17" s="273" t="s">
        <v>2856</v>
      </c>
      <c r="X17" s="274">
        <v>80575000</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107" customFormat="1" ht="15.75" thickBot="1" x14ac:dyDescent="0.3">
      <c r="A18" s="92"/>
      <c r="B18" s="92"/>
      <c r="C18" s="92"/>
      <c r="D18" s="92"/>
      <c r="E18" s="104"/>
      <c r="F18" s="101"/>
      <c r="G18" s="101"/>
      <c r="H18" s="92"/>
      <c r="I18" s="93"/>
      <c r="J18" s="92"/>
      <c r="K18" s="92"/>
      <c r="L18" s="102">
        <f>SUM(L8:L17)</f>
        <v>163578590</v>
      </c>
      <c r="M18" s="101"/>
      <c r="N18" s="105"/>
      <c r="O18" s="86"/>
      <c r="P18" s="95"/>
      <c r="Q18" s="103">
        <f>SUM(Q8:Q17)</f>
        <v>153101697</v>
      </c>
      <c r="R18" s="89"/>
      <c r="S18" s="86"/>
      <c r="T18" s="95"/>
      <c r="U18" s="103">
        <f>SUM(U8:U17)</f>
        <v>150601697</v>
      </c>
      <c r="V18" s="86"/>
      <c r="W18" s="95"/>
      <c r="X18" s="103">
        <f>SUM(X8:X17)</f>
        <v>150601697</v>
      </c>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row>
    <row r="19" spans="1:129" s="63" customFormat="1" ht="17.25" thickBot="1" x14ac:dyDescent="0.35">
      <c r="A19" s="51"/>
      <c r="B19" s="51"/>
      <c r="C19" s="42"/>
      <c r="D19" s="42"/>
      <c r="E19" s="42"/>
      <c r="F19" s="52"/>
      <c r="G19" s="42"/>
      <c r="H19" s="42"/>
      <c r="I19" s="43"/>
      <c r="J19" s="53" t="s">
        <v>29</v>
      </c>
      <c r="K19" s="54"/>
      <c r="L19" s="55">
        <f>+L18</f>
        <v>163578590</v>
      </c>
      <c r="M19" s="56"/>
      <c r="N19" s="56"/>
      <c r="O19" s="56"/>
      <c r="P19" s="56"/>
      <c r="Q19" s="67">
        <f>+Q18</f>
        <v>153101697</v>
      </c>
      <c r="R19" s="57">
        <f>(Q19*1)/L19</f>
        <v>0.93595192989498199</v>
      </c>
      <c r="S19" s="58"/>
      <c r="T19" s="59"/>
      <c r="U19" s="60">
        <f>+U18</f>
        <v>150601697</v>
      </c>
      <c r="V19" s="58"/>
      <c r="W19" s="59"/>
      <c r="X19" s="61">
        <f>+X18</f>
        <v>150601697</v>
      </c>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row>
    <row r="20" spans="1:129" ht="15" x14ac:dyDescent="0.25">
      <c r="R20" s="4"/>
    </row>
    <row r="21" spans="1:129" ht="15" x14ac:dyDescent="0.25">
      <c r="Q21" s="39"/>
      <c r="R21" s="6"/>
      <c r="S21" s="39"/>
    </row>
    <row r="22" spans="1:129" ht="15" x14ac:dyDescent="0.25">
      <c r="Q22" s="39"/>
      <c r="R22" s="6"/>
      <c r="S22" s="39"/>
    </row>
    <row r="23" spans="1:129" ht="15" x14ac:dyDescent="0.25">
      <c r="Q23" s="39"/>
      <c r="R23" s="6"/>
      <c r="S23" s="39"/>
    </row>
    <row r="24" spans="1:129" ht="15" x14ac:dyDescent="0.25">
      <c r="Q24" s="39"/>
      <c r="R24" s="6"/>
      <c r="S24" s="39"/>
    </row>
    <row r="25" spans="1:129" ht="15" x14ac:dyDescent="0.25">
      <c r="Q25" s="39"/>
      <c r="R25" s="6"/>
      <c r="S25" s="39"/>
    </row>
    <row r="26" spans="1:129" ht="15" x14ac:dyDescent="0.25">
      <c r="Q26" s="39"/>
      <c r="R26" s="6"/>
      <c r="S26" s="39"/>
    </row>
    <row r="27" spans="1:129" ht="15" x14ac:dyDescent="0.25">
      <c r="Q27" s="39"/>
      <c r="R27" s="6"/>
      <c r="S27" s="39"/>
    </row>
    <row r="28" spans="1:129" ht="15" x14ac:dyDescent="0.25">
      <c r="Q28" s="39"/>
      <c r="R28" s="6"/>
      <c r="S28" s="39"/>
    </row>
    <row r="29" spans="1:129" ht="15" x14ac:dyDescent="0.25">
      <c r="Q29" s="39"/>
      <c r="R29" s="7"/>
      <c r="S29" s="39"/>
    </row>
    <row r="30" spans="1:129" ht="15" x14ac:dyDescent="0.25"/>
    <row r="31" spans="1:129" ht="15" x14ac:dyDescent="0.25"/>
    <row r="32" spans="1:129"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customHeight="1" x14ac:dyDescent="0.25"/>
    <row r="73" ht="15"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sheetData>
  <sheetProtection algorithmName="SHA-512" hashValue="5YB8ehe4JDyoXEp90vyzGmC7/IcnsAyxM8+BtOnx6ag0u8ffcdVrVuKBG5eyDX/oykNzEbvXmSBT+ux4lY0HGg==" saltValue="Q4gYg0sqZC/wgUxT8Z98Sg==" spinCount="100000" sheet="1" objects="1" scenarios="1" selectLockedCells="1" selectUnlockedCells="1"/>
  <mergeCells count="30">
    <mergeCell ref="E9:E11"/>
    <mergeCell ref="L9:L11"/>
    <mergeCell ref="D9:D11"/>
    <mergeCell ref="D12:D16"/>
    <mergeCell ref="E12:E16"/>
    <mergeCell ref="L12:L16"/>
    <mergeCell ref="J12:J13"/>
    <mergeCell ref="K12:K13"/>
    <mergeCell ref="A2:A5"/>
    <mergeCell ref="B2:V2"/>
    <mergeCell ref="F9:F10"/>
    <mergeCell ref="G9:G10"/>
    <mergeCell ref="A8:A17"/>
    <mergeCell ref="B8:B17"/>
    <mergeCell ref="C8:C17"/>
    <mergeCell ref="M8:M17"/>
    <mergeCell ref="K9:K10"/>
    <mergeCell ref="H9:H10"/>
    <mergeCell ref="F12:F13"/>
    <mergeCell ref="I9:I10"/>
    <mergeCell ref="J9:J10"/>
    <mergeCell ref="G12:G13"/>
    <mergeCell ref="H12:H13"/>
    <mergeCell ref="I12:I13"/>
    <mergeCell ref="W2:X2"/>
    <mergeCell ref="B3:V3"/>
    <mergeCell ref="W3:X3"/>
    <mergeCell ref="B4:V5"/>
    <mergeCell ref="W4:X4"/>
    <mergeCell ref="W5:X5"/>
  </mergeCells>
  <conditionalFormatting sqref="R29:R1048576 R7:R17 R19">
    <cfRule type="cellIs" dxfId="639" priority="11" operator="between">
      <formula>0.51</formula>
      <formula>0.69</formula>
    </cfRule>
    <cfRule type="cellIs" dxfId="638" priority="12" operator="between">
      <formula>0.51</formula>
      <formula>0.69</formula>
    </cfRule>
    <cfRule type="cellIs" dxfId="637" priority="13" operator="lessThan">
      <formula>0.5</formula>
    </cfRule>
    <cfRule type="cellIs" dxfId="636" priority="14" operator="greaterThan">
      <formula>0.7</formula>
    </cfRule>
    <cfRule type="cellIs" dxfId="635" priority="15" operator="between">
      <formula>0.51</formula>
      <formula>0.69</formula>
    </cfRule>
    <cfRule type="cellIs" dxfId="634" priority="16" operator="lessThan">
      <formula>50</formula>
    </cfRule>
    <cfRule type="cellIs" dxfId="633" priority="17" operator="greaterThan">
      <formula>0.7</formula>
    </cfRule>
    <cfRule type="cellIs" dxfId="632" priority="18" operator="between">
      <formula>0.51</formula>
      <formula>0.69</formula>
    </cfRule>
    <cfRule type="cellIs" dxfId="631" priority="19" operator="lessThan">
      <formula>0.5</formula>
    </cfRule>
    <cfRule type="cellIs" dxfId="630" priority="20" operator="greaterThan">
      <formula>0.7</formula>
    </cfRule>
  </conditionalFormatting>
  <conditionalFormatting sqref="R18">
    <cfRule type="cellIs" dxfId="629" priority="1" operator="between">
      <formula>0.51</formula>
      <formula>0.69</formula>
    </cfRule>
    <cfRule type="cellIs" dxfId="628" priority="2" operator="between">
      <formula>0.51</formula>
      <formula>0.69</formula>
    </cfRule>
    <cfRule type="cellIs" dxfId="627" priority="3" operator="lessThan">
      <formula>0.5</formula>
    </cfRule>
    <cfRule type="cellIs" dxfId="626" priority="4" operator="greaterThan">
      <formula>0.7</formula>
    </cfRule>
    <cfRule type="cellIs" dxfId="625" priority="5" operator="between">
      <formula>0.51</formula>
      <formula>0.69</formula>
    </cfRule>
    <cfRule type="cellIs" dxfId="624" priority="6" operator="lessThan">
      <formula>50</formula>
    </cfRule>
    <cfRule type="cellIs" dxfId="623" priority="7" operator="greaterThan">
      <formula>0.7</formula>
    </cfRule>
    <cfRule type="cellIs" dxfId="622" priority="8" operator="between">
      <formula>0.51</formula>
      <formula>0.69</formula>
    </cfRule>
    <cfRule type="cellIs" dxfId="621" priority="9" operator="lessThan">
      <formula>0.5</formula>
    </cfRule>
    <cfRule type="cellIs" dxfId="620" priority="10" operator="greaterThan">
      <formula>0.7</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482B"/>
  </sheetPr>
  <dimension ref="A1:EB829"/>
  <sheetViews>
    <sheetView showGridLines="0" zoomScale="90" zoomScaleNormal="90" workbookViewId="0">
      <selection activeCell="U10" sqref="U10"/>
    </sheetView>
  </sheetViews>
  <sheetFormatPr baseColWidth="10" defaultColWidth="0" defaultRowHeight="0" customHeight="1" zeroHeight="1" x14ac:dyDescent="0.25"/>
  <cols>
    <col min="1" max="1" width="11.42578125" style="73" customWidth="1"/>
    <col min="2" max="2" width="45.7109375" style="73" customWidth="1"/>
    <col min="3" max="3" width="17.28515625" style="73" customWidth="1"/>
    <col min="4" max="4" width="14.7109375" style="73" customWidth="1"/>
    <col min="5" max="5" width="30" style="73" customWidth="1"/>
    <col min="6" max="6" width="21.140625" style="1" hidden="1" customWidth="1"/>
    <col min="7" max="7" width="19.85546875" style="73" hidden="1" customWidth="1"/>
    <col min="8" max="8" width="16.7109375" style="73" hidden="1" customWidth="1"/>
    <col min="9" max="9" width="12.7109375" style="73" hidden="1" customWidth="1"/>
    <col min="10" max="10" width="15.140625" style="73" hidden="1" customWidth="1"/>
    <col min="11" max="11" width="15" style="73" hidden="1" customWidth="1"/>
    <col min="12" max="12" width="18.7109375" style="73" customWidth="1"/>
    <col min="13" max="13" width="17.7109375" style="73" customWidth="1"/>
    <col min="14" max="14" width="15.7109375" style="73" customWidth="1"/>
    <col min="15" max="15" width="11.42578125" style="73" customWidth="1"/>
    <col min="16" max="16" width="15.42578125" style="73" customWidth="1"/>
    <col min="17" max="17" width="16.28515625" style="73" customWidth="1"/>
    <col min="18" max="18" width="11.5703125" style="3" bestFit="1" customWidth="1"/>
    <col min="19" max="19" width="11.42578125" style="73" customWidth="1"/>
    <col min="20" max="20" width="16.7109375" style="35" bestFit="1" customWidth="1"/>
    <col min="21" max="21" width="17.28515625" style="73" bestFit="1" customWidth="1"/>
    <col min="22" max="22" width="11.42578125" style="73" customWidth="1"/>
    <col min="23" max="23" width="14.5703125" style="35" customWidth="1"/>
    <col min="24" max="24" width="19" style="73" bestFit="1" customWidth="1"/>
    <col min="25" max="129" width="11.5703125" style="72" hidden="1" customWidth="1"/>
    <col min="130" max="132" width="11.5703125" style="73" hidden="1" customWidth="1"/>
    <col min="133" max="16384" width="11.42578125" style="73"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97</v>
      </c>
      <c r="H7" s="41" t="s">
        <v>1135</v>
      </c>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15" x14ac:dyDescent="0.25">
      <c r="A8" s="692" t="s">
        <v>1053</v>
      </c>
      <c r="B8" s="766" t="s">
        <v>248</v>
      </c>
      <c r="C8" s="689" t="s">
        <v>77</v>
      </c>
      <c r="D8" s="692" t="s">
        <v>786</v>
      </c>
      <c r="E8" s="689" t="s">
        <v>144</v>
      </c>
      <c r="F8" s="66">
        <v>0</v>
      </c>
      <c r="G8" s="289">
        <v>348993100</v>
      </c>
      <c r="H8" s="44"/>
      <c r="I8" s="45"/>
      <c r="J8" s="44"/>
      <c r="K8" s="44"/>
      <c r="L8" s="758">
        <f>+F8+G8+H8+J8-K8</f>
        <v>348993100</v>
      </c>
      <c r="M8" s="805">
        <v>348993100</v>
      </c>
      <c r="N8" s="153" t="s">
        <v>900</v>
      </c>
      <c r="O8" s="471" t="s">
        <v>899</v>
      </c>
      <c r="P8" s="158">
        <v>44631</v>
      </c>
      <c r="Q8" s="519">
        <v>170230151</v>
      </c>
      <c r="R8" s="46"/>
      <c r="S8" s="162">
        <v>443</v>
      </c>
      <c r="T8" s="168" t="s">
        <v>1011</v>
      </c>
      <c r="U8" s="164">
        <v>170230151</v>
      </c>
      <c r="V8" s="568">
        <v>3467</v>
      </c>
      <c r="W8" s="273">
        <v>44753</v>
      </c>
      <c r="X8" s="274">
        <v>170230151</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15" x14ac:dyDescent="0.25">
      <c r="A9" s="694"/>
      <c r="B9" s="768"/>
      <c r="C9" s="691"/>
      <c r="D9" s="694"/>
      <c r="E9" s="691"/>
      <c r="F9" s="301"/>
      <c r="G9" s="300"/>
      <c r="H9" s="299"/>
      <c r="I9" s="85"/>
      <c r="J9" s="299"/>
      <c r="K9" s="299"/>
      <c r="L9" s="759"/>
      <c r="M9" s="806"/>
      <c r="N9" s="153" t="s">
        <v>1421</v>
      </c>
      <c r="O9" s="471" t="s">
        <v>1422</v>
      </c>
      <c r="P9" s="158" t="s">
        <v>1423</v>
      </c>
      <c r="Q9" s="274">
        <v>141666810</v>
      </c>
      <c r="R9" s="46"/>
      <c r="S9" s="367">
        <v>827</v>
      </c>
      <c r="T9" s="273">
        <v>44763</v>
      </c>
      <c r="U9" s="274">
        <v>141666810</v>
      </c>
      <c r="V9" s="568">
        <v>5663</v>
      </c>
      <c r="W9" s="273" t="s">
        <v>2774</v>
      </c>
      <c r="X9" s="274">
        <v>141666810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107" customFormat="1" ht="15" x14ac:dyDescent="0.25">
      <c r="A10" s="92"/>
      <c r="B10" s="92"/>
      <c r="C10" s="92"/>
      <c r="D10" s="92"/>
      <c r="E10" s="104"/>
      <c r="F10" s="101"/>
      <c r="G10" s="101"/>
      <c r="H10" s="92"/>
      <c r="I10" s="93"/>
      <c r="J10" s="92"/>
      <c r="K10" s="92"/>
      <c r="L10" s="102">
        <f>SUM(L5:L8)</f>
        <v>348993100</v>
      </c>
      <c r="M10" s="101"/>
      <c r="N10" s="105"/>
      <c r="O10" s="86"/>
      <c r="P10" s="95"/>
      <c r="Q10" s="103">
        <f>SUM(Q8:Q9)</f>
        <v>311896961</v>
      </c>
      <c r="R10" s="89"/>
      <c r="S10" s="86"/>
      <c r="T10" s="95"/>
      <c r="U10" s="103">
        <f>+U8+U9</f>
        <v>311896961</v>
      </c>
      <c r="V10" s="86"/>
      <c r="W10" s="95"/>
      <c r="X10" s="103">
        <f>SUM(X8:X9)</f>
        <v>311896961</v>
      </c>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row>
    <row r="11" spans="1:129" s="112" customFormat="1" ht="42.75" x14ac:dyDescent="0.25">
      <c r="A11" s="183" t="s">
        <v>1530</v>
      </c>
      <c r="B11" s="501" t="s">
        <v>1118</v>
      </c>
      <c r="C11" s="185" t="s">
        <v>77</v>
      </c>
      <c r="D11" s="200" t="s">
        <v>786</v>
      </c>
      <c r="E11" s="8" t="s">
        <v>144</v>
      </c>
      <c r="F11" s="181"/>
      <c r="G11" s="181"/>
      <c r="H11" s="288">
        <v>203000000</v>
      </c>
      <c r="I11" s="187"/>
      <c r="J11" s="187"/>
      <c r="K11" s="187"/>
      <c r="L11" s="65">
        <f>+F11+G11+H11+J11-K11</f>
        <v>203000000</v>
      </c>
      <c r="M11" s="296">
        <v>203000000</v>
      </c>
      <c r="N11" s="153" t="s">
        <v>1421</v>
      </c>
      <c r="O11" s="471" t="s">
        <v>1422</v>
      </c>
      <c r="P11" s="158" t="s">
        <v>1423</v>
      </c>
      <c r="Q11" s="274">
        <v>200100000</v>
      </c>
      <c r="R11" s="46"/>
      <c r="S11" s="554">
        <v>827</v>
      </c>
      <c r="T11" s="265">
        <v>44763</v>
      </c>
      <c r="U11" s="274">
        <v>200100000</v>
      </c>
      <c r="V11" s="554">
        <v>5663</v>
      </c>
      <c r="W11" s="265" t="s">
        <v>2774</v>
      </c>
      <c r="X11" s="274">
        <v>200100000</v>
      </c>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row>
    <row r="12" spans="1:129" s="107" customFormat="1" ht="15.75" thickBot="1" x14ac:dyDescent="0.3">
      <c r="A12" s="92"/>
      <c r="B12" s="92"/>
      <c r="C12" s="92"/>
      <c r="D12" s="92"/>
      <c r="E12" s="104"/>
      <c r="F12" s="101"/>
      <c r="G12" s="101"/>
      <c r="H12" s="92"/>
      <c r="I12" s="93"/>
      <c r="J12" s="92"/>
      <c r="K12" s="92"/>
      <c r="L12" s="102">
        <f>+L11</f>
        <v>203000000</v>
      </c>
      <c r="M12" s="101"/>
      <c r="N12" s="105"/>
      <c r="O12" s="86"/>
      <c r="P12" s="95"/>
      <c r="Q12" s="103">
        <f>+Q11</f>
        <v>200100000</v>
      </c>
      <c r="R12" s="89"/>
      <c r="S12" s="86"/>
      <c r="T12" s="95"/>
      <c r="U12" s="103">
        <f>+U11</f>
        <v>200100000</v>
      </c>
      <c r="V12" s="86"/>
      <c r="W12" s="95"/>
      <c r="X12" s="103">
        <f>+X11</f>
        <v>200100000</v>
      </c>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row>
    <row r="13" spans="1:129" s="63" customFormat="1" ht="17.25" thickBot="1" x14ac:dyDescent="0.35">
      <c r="A13" s="51"/>
      <c r="B13" s="51"/>
      <c r="C13" s="42"/>
      <c r="D13" s="42"/>
      <c r="E13" s="42"/>
      <c r="F13" s="52"/>
      <c r="G13" s="42"/>
      <c r="H13" s="42"/>
      <c r="I13" s="217"/>
      <c r="J13" s="53" t="s">
        <v>29</v>
      </c>
      <c r="K13" s="54"/>
      <c r="L13" s="55">
        <f>+L10+L12</f>
        <v>551993100</v>
      </c>
      <c r="M13" s="75"/>
      <c r="N13" s="75"/>
      <c r="O13" s="75"/>
      <c r="P13" s="75"/>
      <c r="Q13" s="130">
        <f>+Q10+Q12</f>
        <v>511996961</v>
      </c>
      <c r="R13" s="57">
        <f>(Q13*1)/L13</f>
        <v>0.92754232072828446</v>
      </c>
      <c r="S13" s="58"/>
      <c r="T13" s="59"/>
      <c r="U13" s="60">
        <f>+U10+U12</f>
        <v>511996961</v>
      </c>
      <c r="V13" s="58"/>
      <c r="W13" s="59"/>
      <c r="X13" s="172">
        <f>+X10+X12</f>
        <v>511996961</v>
      </c>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row>
    <row r="14" spans="1:129" ht="15" x14ac:dyDescent="0.25">
      <c r="R14" s="4"/>
    </row>
    <row r="15" spans="1:129" ht="15" x14ac:dyDescent="0.25">
      <c r="Q15" s="72"/>
      <c r="R15" s="6"/>
      <c r="S15" s="72"/>
    </row>
    <row r="16" spans="1:129" ht="15" x14ac:dyDescent="0.25">
      <c r="Q16" s="72"/>
      <c r="R16" s="6"/>
      <c r="S16" s="72"/>
    </row>
    <row r="17" spans="17:19" ht="15" x14ac:dyDescent="0.25">
      <c r="Q17" s="72"/>
      <c r="R17" s="6"/>
      <c r="S17" s="72"/>
    </row>
    <row r="18" spans="17:19" ht="15" x14ac:dyDescent="0.25">
      <c r="Q18" s="72"/>
      <c r="R18" s="6"/>
      <c r="S18" s="72"/>
    </row>
    <row r="19" spans="17:19" ht="15" x14ac:dyDescent="0.25">
      <c r="Q19" s="72"/>
      <c r="R19" s="6"/>
      <c r="S19" s="72"/>
    </row>
    <row r="20" spans="17:19" ht="15" x14ac:dyDescent="0.25">
      <c r="Q20" s="72"/>
      <c r="R20" s="6"/>
      <c r="S20" s="72"/>
    </row>
    <row r="21" spans="17:19" ht="15" x14ac:dyDescent="0.25">
      <c r="Q21" s="72"/>
      <c r="R21" s="6"/>
      <c r="S21" s="72"/>
    </row>
    <row r="22" spans="17:19" ht="15" x14ac:dyDescent="0.25">
      <c r="Q22" s="72"/>
      <c r="R22" s="6"/>
      <c r="S22" s="72"/>
    </row>
    <row r="23" spans="17:19" ht="15" x14ac:dyDescent="0.25">
      <c r="Q23" s="72"/>
      <c r="R23" s="7"/>
      <c r="S23" s="72"/>
    </row>
    <row r="24" spans="17:19" ht="15" x14ac:dyDescent="0.25"/>
    <row r="25" spans="17:19" ht="15" x14ac:dyDescent="0.25"/>
    <row r="26" spans="17:19" ht="15" x14ac:dyDescent="0.25"/>
    <row r="27" spans="17:19" ht="15" x14ac:dyDescent="0.25"/>
    <row r="28" spans="17:19" ht="15" x14ac:dyDescent="0.25"/>
    <row r="29" spans="17:19" ht="15" x14ac:dyDescent="0.25"/>
    <row r="30" spans="17:19" ht="15" x14ac:dyDescent="0.25"/>
    <row r="31" spans="17:19" ht="15" x14ac:dyDescent="0.25"/>
    <row r="32" spans="17:19"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customHeight="1" x14ac:dyDescent="0.25"/>
    <row r="67" ht="15"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sheetData>
  <sheetProtection algorithmName="SHA-512" hashValue="qoObIseGKfGRjcdPyRxRAF0ye4P/qo1wgbLmj3tN+BV51igjZwHn8IZCej8EuG1Y46CdZYMsyBc8IOwWVHZcYg==" saltValue="7vw5p6VuHnkf7w6R6QVvNA==" spinCount="100000" sheet="1" objects="1" scenarios="1" selectLockedCells="1" selectUnlockedCells="1"/>
  <mergeCells count="15">
    <mergeCell ref="L8:L9"/>
    <mergeCell ref="M8:M9"/>
    <mergeCell ref="B8:B9"/>
    <mergeCell ref="A8:A9"/>
    <mergeCell ref="C8:C9"/>
    <mergeCell ref="D8:D9"/>
    <mergeCell ref="E8:E9"/>
    <mergeCell ref="A2:A5"/>
    <mergeCell ref="B2:V2"/>
    <mergeCell ref="W2:X2"/>
    <mergeCell ref="B3:V3"/>
    <mergeCell ref="W3:X3"/>
    <mergeCell ref="B4:V5"/>
    <mergeCell ref="W4:X4"/>
    <mergeCell ref="W5:X5"/>
  </mergeCells>
  <conditionalFormatting sqref="R23:R1048576 R7:R9 R13">
    <cfRule type="cellIs" dxfId="619" priority="21" operator="between">
      <formula>0.51</formula>
      <formula>0.69</formula>
    </cfRule>
    <cfRule type="cellIs" dxfId="618" priority="22" operator="between">
      <formula>0.51</formula>
      <formula>0.69</formula>
    </cfRule>
    <cfRule type="cellIs" dxfId="617" priority="23" operator="lessThan">
      <formula>0.5</formula>
    </cfRule>
    <cfRule type="cellIs" dxfId="616" priority="24" operator="greaterThan">
      <formula>0.7</formula>
    </cfRule>
    <cfRule type="cellIs" dxfId="615" priority="25" operator="between">
      <formula>0.51</formula>
      <formula>0.69</formula>
    </cfRule>
    <cfRule type="cellIs" dxfId="614" priority="26" operator="lessThan">
      <formula>50</formula>
    </cfRule>
    <cfRule type="cellIs" dxfId="613" priority="27" operator="greaterThan">
      <formula>0.7</formula>
    </cfRule>
    <cfRule type="cellIs" dxfId="612" priority="28" operator="between">
      <formula>0.51</formula>
      <formula>0.69</formula>
    </cfRule>
    <cfRule type="cellIs" dxfId="611" priority="29" operator="lessThan">
      <formula>0.5</formula>
    </cfRule>
    <cfRule type="cellIs" dxfId="610" priority="30" operator="greaterThan">
      <formula>0.7</formula>
    </cfRule>
  </conditionalFormatting>
  <conditionalFormatting sqref="R10:R11">
    <cfRule type="cellIs" dxfId="609" priority="11" operator="between">
      <formula>0.51</formula>
      <formula>0.69</formula>
    </cfRule>
    <cfRule type="cellIs" dxfId="608" priority="12" operator="between">
      <formula>0.51</formula>
      <formula>0.69</formula>
    </cfRule>
    <cfRule type="cellIs" dxfId="607" priority="13" operator="lessThan">
      <formula>0.5</formula>
    </cfRule>
    <cfRule type="cellIs" dxfId="606" priority="14" operator="greaterThan">
      <formula>0.7</formula>
    </cfRule>
    <cfRule type="cellIs" dxfId="605" priority="15" operator="between">
      <formula>0.51</formula>
      <formula>0.69</formula>
    </cfRule>
    <cfRule type="cellIs" dxfId="604" priority="16" operator="lessThan">
      <formula>50</formula>
    </cfRule>
    <cfRule type="cellIs" dxfId="603" priority="17" operator="greaterThan">
      <formula>0.7</formula>
    </cfRule>
    <cfRule type="cellIs" dxfId="602" priority="18" operator="between">
      <formula>0.51</formula>
      <formula>0.69</formula>
    </cfRule>
    <cfRule type="cellIs" dxfId="601" priority="19" operator="lessThan">
      <formula>0.5</formula>
    </cfRule>
    <cfRule type="cellIs" dxfId="600" priority="20" operator="greaterThan">
      <formula>0.7</formula>
    </cfRule>
  </conditionalFormatting>
  <conditionalFormatting sqref="R12">
    <cfRule type="cellIs" dxfId="599" priority="1" operator="between">
      <formula>0.51</formula>
      <formula>0.69</formula>
    </cfRule>
    <cfRule type="cellIs" dxfId="598" priority="2" operator="between">
      <formula>0.51</formula>
      <formula>0.69</formula>
    </cfRule>
    <cfRule type="cellIs" dxfId="597" priority="3" operator="lessThan">
      <formula>0.5</formula>
    </cfRule>
    <cfRule type="cellIs" dxfId="596" priority="4" operator="greaterThan">
      <formula>0.7</formula>
    </cfRule>
    <cfRule type="cellIs" dxfId="595" priority="5" operator="between">
      <formula>0.51</formula>
      <formula>0.69</formula>
    </cfRule>
    <cfRule type="cellIs" dxfId="594" priority="6" operator="lessThan">
      <formula>50</formula>
    </cfRule>
    <cfRule type="cellIs" dxfId="593" priority="7" operator="greaterThan">
      <formula>0.7</formula>
    </cfRule>
    <cfRule type="cellIs" dxfId="592" priority="8" operator="between">
      <formula>0.51</formula>
      <formula>0.69</formula>
    </cfRule>
    <cfRule type="cellIs" dxfId="591" priority="9" operator="lessThan">
      <formula>0.5</formula>
    </cfRule>
    <cfRule type="cellIs" dxfId="590" priority="10" operator="greaterThan">
      <formula>0.7</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482B"/>
  </sheetPr>
  <dimension ref="A1:EB844"/>
  <sheetViews>
    <sheetView showGridLines="0" topLeftCell="D1" workbookViewId="0">
      <selection activeCell="U28" sqref="U28"/>
    </sheetView>
  </sheetViews>
  <sheetFormatPr baseColWidth="10" defaultColWidth="0" defaultRowHeight="0" customHeight="1" zeroHeight="1" x14ac:dyDescent="0.25"/>
  <cols>
    <col min="1" max="1" width="11.42578125" style="73" customWidth="1"/>
    <col min="2" max="2" width="45.7109375" style="73" customWidth="1"/>
    <col min="3" max="3" width="17.28515625" style="73" customWidth="1"/>
    <col min="4" max="4" width="14.7109375" style="73" customWidth="1"/>
    <col min="5" max="5" width="41.28515625" style="73" customWidth="1"/>
    <col min="6" max="6" width="21.140625" style="1" hidden="1" customWidth="1"/>
    <col min="7" max="7" width="19.85546875" style="73" hidden="1" customWidth="1"/>
    <col min="8" max="8" width="11.42578125" style="73" hidden="1" customWidth="1"/>
    <col min="9" max="9" width="12.7109375" style="73" hidden="1" customWidth="1"/>
    <col min="10" max="10" width="15.140625" style="73" hidden="1" customWidth="1"/>
    <col min="11" max="11" width="15" style="73" hidden="1" customWidth="1"/>
    <col min="12" max="12" width="18.7109375" style="73" customWidth="1"/>
    <col min="13" max="13" width="17.7109375" style="73" customWidth="1"/>
    <col min="14" max="14" width="15.7109375" style="73" customWidth="1"/>
    <col min="15" max="15" width="11.42578125" style="73" customWidth="1"/>
    <col min="16" max="16" width="15.42578125" style="73" customWidth="1"/>
    <col min="17" max="17" width="16.140625" style="73" bestFit="1" customWidth="1"/>
    <col min="18" max="18" width="11.5703125" style="3" bestFit="1" customWidth="1"/>
    <col min="19" max="19" width="11.42578125" style="73" customWidth="1"/>
    <col min="20" max="20" width="16.7109375" style="35" bestFit="1" customWidth="1"/>
    <col min="21" max="21" width="16.140625" style="73" bestFit="1" customWidth="1"/>
    <col min="22" max="22" width="11.42578125" style="73" customWidth="1"/>
    <col min="23" max="23" width="14.5703125" style="35" customWidth="1"/>
    <col min="24" max="24" width="19" style="73" bestFit="1" customWidth="1"/>
    <col min="25" max="129" width="11.5703125" style="72" hidden="1" customWidth="1"/>
    <col min="130" max="132" width="11.5703125" style="73" hidden="1" customWidth="1"/>
    <col min="133" max="16384" width="11.42578125" style="73"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97</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15" x14ac:dyDescent="0.25">
      <c r="A8" s="692" t="s">
        <v>188</v>
      </c>
      <c r="B8" s="766" t="s">
        <v>17</v>
      </c>
      <c r="C8" s="689" t="s">
        <v>189</v>
      </c>
      <c r="D8" s="736" t="s">
        <v>847</v>
      </c>
      <c r="E8" s="689" t="s">
        <v>144</v>
      </c>
      <c r="F8" s="710">
        <v>50000000</v>
      </c>
      <c r="G8" s="728">
        <v>0</v>
      </c>
      <c r="H8" s="692"/>
      <c r="I8" s="692"/>
      <c r="J8" s="692"/>
      <c r="K8" s="692"/>
      <c r="L8" s="758">
        <f>+F8+G8+H8+J8-K8</f>
        <v>50000000</v>
      </c>
      <c r="M8" s="742">
        <v>60000000</v>
      </c>
      <c r="N8" s="78" t="s">
        <v>1527</v>
      </c>
      <c r="O8" s="457" t="s">
        <v>1526</v>
      </c>
      <c r="P8" s="78" t="s">
        <v>679</v>
      </c>
      <c r="Q8" s="274">
        <v>27000000</v>
      </c>
      <c r="R8" s="46"/>
      <c r="S8" s="38">
        <v>132</v>
      </c>
      <c r="T8" s="122">
        <v>44582</v>
      </c>
      <c r="U8" s="66">
        <v>41148514.600000001</v>
      </c>
      <c r="V8" s="38">
        <v>1697</v>
      </c>
      <c r="W8" s="122" t="s">
        <v>1032</v>
      </c>
      <c r="X8" s="66">
        <v>3420000</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15" x14ac:dyDescent="0.25">
      <c r="A9" s="693"/>
      <c r="B9" s="767"/>
      <c r="C9" s="690"/>
      <c r="D9" s="737"/>
      <c r="E9" s="690"/>
      <c r="F9" s="711"/>
      <c r="G9" s="735"/>
      <c r="H9" s="693"/>
      <c r="I9" s="693"/>
      <c r="J9" s="693"/>
      <c r="K9" s="693"/>
      <c r="L9" s="763"/>
      <c r="M9" s="743"/>
      <c r="N9" s="78" t="s">
        <v>1996</v>
      </c>
      <c r="O9" s="522" t="s">
        <v>1998</v>
      </c>
      <c r="P9" s="78" t="s">
        <v>1994</v>
      </c>
      <c r="Q9" s="274">
        <v>8649847</v>
      </c>
      <c r="R9" s="46"/>
      <c r="S9" s="271"/>
      <c r="T9" s="273"/>
      <c r="U9" s="274"/>
      <c r="V9" s="271">
        <v>1702</v>
      </c>
      <c r="W9" s="273" t="s">
        <v>1032</v>
      </c>
      <c r="X9" s="274">
        <v>3420000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15" x14ac:dyDescent="0.25">
      <c r="A10" s="693"/>
      <c r="B10" s="767"/>
      <c r="C10" s="690"/>
      <c r="D10" s="737"/>
      <c r="E10" s="690"/>
      <c r="F10" s="711"/>
      <c r="G10" s="735"/>
      <c r="H10" s="693"/>
      <c r="I10" s="693"/>
      <c r="J10" s="693"/>
      <c r="K10" s="693"/>
      <c r="L10" s="763"/>
      <c r="M10" s="743"/>
      <c r="N10" s="78" t="s">
        <v>1997</v>
      </c>
      <c r="O10" s="522" t="s">
        <v>1999</v>
      </c>
      <c r="P10" s="78" t="s">
        <v>1995</v>
      </c>
      <c r="Q10" s="274">
        <v>5498667.5999999996</v>
      </c>
      <c r="R10" s="46"/>
      <c r="S10" s="271"/>
      <c r="T10" s="273"/>
      <c r="U10" s="274"/>
      <c r="V10" s="271">
        <v>2360</v>
      </c>
      <c r="W10" s="273" t="s">
        <v>2863</v>
      </c>
      <c r="X10" s="274">
        <v>3094000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15" x14ac:dyDescent="0.25">
      <c r="A11" s="693"/>
      <c r="B11" s="767"/>
      <c r="C11" s="690"/>
      <c r="D11" s="737"/>
      <c r="E11" s="690"/>
      <c r="F11" s="711"/>
      <c r="G11" s="735"/>
      <c r="H11" s="693"/>
      <c r="I11" s="693"/>
      <c r="J11" s="693"/>
      <c r="K11" s="693"/>
      <c r="L11" s="763"/>
      <c r="M11" s="743"/>
      <c r="N11" s="78"/>
      <c r="O11" s="270"/>
      <c r="P11" s="78"/>
      <c r="Q11" s="274"/>
      <c r="R11" s="46"/>
      <c r="S11" s="271"/>
      <c r="T11" s="273"/>
      <c r="U11" s="274"/>
      <c r="V11" s="271">
        <v>2460</v>
      </c>
      <c r="W11" s="273" t="s">
        <v>2864</v>
      </c>
      <c r="X11" s="274">
        <v>1392300</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15" x14ac:dyDescent="0.25">
      <c r="A12" s="693"/>
      <c r="B12" s="767"/>
      <c r="C12" s="690"/>
      <c r="D12" s="737"/>
      <c r="E12" s="690"/>
      <c r="F12" s="711"/>
      <c r="G12" s="735"/>
      <c r="H12" s="693"/>
      <c r="I12" s="693"/>
      <c r="J12" s="693"/>
      <c r="K12" s="693"/>
      <c r="L12" s="763"/>
      <c r="M12" s="743"/>
      <c r="N12" s="78"/>
      <c r="O12" s="270"/>
      <c r="P12" s="78"/>
      <c r="Q12" s="274"/>
      <c r="R12" s="46"/>
      <c r="S12" s="271"/>
      <c r="T12" s="273"/>
      <c r="U12" s="274"/>
      <c r="V12" s="271">
        <v>2822</v>
      </c>
      <c r="W12" s="273" t="s">
        <v>2865</v>
      </c>
      <c r="X12" s="274">
        <v>5408000</v>
      </c>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15" x14ac:dyDescent="0.25">
      <c r="A13" s="693"/>
      <c r="B13" s="767"/>
      <c r="C13" s="690"/>
      <c r="D13" s="737"/>
      <c r="E13" s="690"/>
      <c r="F13" s="711"/>
      <c r="G13" s="735"/>
      <c r="H13" s="693"/>
      <c r="I13" s="693"/>
      <c r="J13" s="693"/>
      <c r="K13" s="693"/>
      <c r="L13" s="763"/>
      <c r="M13" s="743"/>
      <c r="N13" s="78"/>
      <c r="O13" s="330"/>
      <c r="P13" s="78"/>
      <c r="Q13" s="274"/>
      <c r="R13" s="46"/>
      <c r="S13" s="377"/>
      <c r="T13" s="273"/>
      <c r="U13" s="274"/>
      <c r="V13" s="377">
        <v>3468</v>
      </c>
      <c r="W13" s="273" t="s">
        <v>2866</v>
      </c>
      <c r="X13" s="274">
        <v>5130000</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15" x14ac:dyDescent="0.25">
      <c r="A14" s="693"/>
      <c r="B14" s="767"/>
      <c r="C14" s="690"/>
      <c r="D14" s="737"/>
      <c r="E14" s="690"/>
      <c r="F14" s="711"/>
      <c r="G14" s="735"/>
      <c r="H14" s="693"/>
      <c r="I14" s="693"/>
      <c r="J14" s="693"/>
      <c r="K14" s="693"/>
      <c r="L14" s="763"/>
      <c r="M14" s="743"/>
      <c r="N14" s="78"/>
      <c r="O14" s="330"/>
      <c r="P14" s="78"/>
      <c r="Q14" s="274"/>
      <c r="R14" s="46"/>
      <c r="S14" s="377"/>
      <c r="T14" s="273"/>
      <c r="U14" s="274"/>
      <c r="V14" s="377">
        <v>4439</v>
      </c>
      <c r="W14" s="273" t="s">
        <v>2867</v>
      </c>
      <c r="X14" s="274">
        <v>500000</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15" x14ac:dyDescent="0.25">
      <c r="A15" s="693"/>
      <c r="B15" s="767"/>
      <c r="C15" s="690"/>
      <c r="D15" s="737"/>
      <c r="E15" s="690"/>
      <c r="F15" s="711"/>
      <c r="G15" s="735"/>
      <c r="H15" s="693"/>
      <c r="I15" s="693"/>
      <c r="J15" s="693"/>
      <c r="K15" s="693"/>
      <c r="L15" s="763"/>
      <c r="M15" s="743"/>
      <c r="N15" s="78"/>
      <c r="O15" s="330"/>
      <c r="P15" s="78"/>
      <c r="Q15" s="274"/>
      <c r="R15" s="46"/>
      <c r="S15" s="377"/>
      <c r="T15" s="273"/>
      <c r="U15" s="274"/>
      <c r="V15" s="377">
        <v>4445</v>
      </c>
      <c r="W15" s="273" t="s">
        <v>2868</v>
      </c>
      <c r="X15" s="274">
        <v>3080000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15" x14ac:dyDescent="0.25">
      <c r="A16" s="693"/>
      <c r="B16" s="767"/>
      <c r="C16" s="690"/>
      <c r="D16" s="737"/>
      <c r="E16" s="690"/>
      <c r="F16" s="711"/>
      <c r="G16" s="735"/>
      <c r="H16" s="693"/>
      <c r="I16" s="693"/>
      <c r="J16" s="693"/>
      <c r="K16" s="693"/>
      <c r="L16" s="763"/>
      <c r="M16" s="743"/>
      <c r="N16" s="78"/>
      <c r="O16" s="330"/>
      <c r="P16" s="78"/>
      <c r="Q16" s="274"/>
      <c r="R16" s="46"/>
      <c r="S16" s="377"/>
      <c r="T16" s="273"/>
      <c r="U16" s="274"/>
      <c r="V16" s="377">
        <v>4451</v>
      </c>
      <c r="W16" s="273" t="s">
        <v>2869</v>
      </c>
      <c r="X16" s="274">
        <v>2960000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15" x14ac:dyDescent="0.25">
      <c r="A17" s="693"/>
      <c r="B17" s="767"/>
      <c r="C17" s="690"/>
      <c r="D17" s="737"/>
      <c r="E17" s="690"/>
      <c r="F17" s="711"/>
      <c r="G17" s="735"/>
      <c r="H17" s="693"/>
      <c r="I17" s="693"/>
      <c r="J17" s="693"/>
      <c r="K17" s="693"/>
      <c r="L17" s="763"/>
      <c r="M17" s="743"/>
      <c r="N17" s="78"/>
      <c r="O17" s="330"/>
      <c r="P17" s="78"/>
      <c r="Q17" s="274"/>
      <c r="R17" s="46"/>
      <c r="S17" s="377"/>
      <c r="T17" s="273"/>
      <c r="U17" s="274"/>
      <c r="V17" s="377">
        <v>4515</v>
      </c>
      <c r="W17" s="273" t="s">
        <v>2842</v>
      </c>
      <c r="X17" s="274">
        <v>809200</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15" x14ac:dyDescent="0.25">
      <c r="A18" s="693"/>
      <c r="B18" s="767"/>
      <c r="C18" s="690"/>
      <c r="D18" s="737"/>
      <c r="E18" s="690"/>
      <c r="F18" s="711"/>
      <c r="G18" s="735"/>
      <c r="H18" s="693"/>
      <c r="I18" s="693"/>
      <c r="J18" s="693"/>
      <c r="K18" s="693"/>
      <c r="L18" s="763"/>
      <c r="M18" s="743"/>
      <c r="N18" s="78"/>
      <c r="O18" s="330"/>
      <c r="P18" s="78"/>
      <c r="Q18" s="274"/>
      <c r="R18" s="46"/>
      <c r="S18" s="377"/>
      <c r="T18" s="273"/>
      <c r="U18" s="274"/>
      <c r="V18" s="377">
        <v>4894</v>
      </c>
      <c r="W18" s="273" t="s">
        <v>2846</v>
      </c>
      <c r="X18" s="274">
        <v>1755000</v>
      </c>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15" x14ac:dyDescent="0.25">
      <c r="A19" s="693"/>
      <c r="B19" s="767"/>
      <c r="C19" s="690"/>
      <c r="D19" s="737"/>
      <c r="E19" s="690"/>
      <c r="F19" s="711"/>
      <c r="G19" s="735"/>
      <c r="H19" s="693"/>
      <c r="I19" s="693"/>
      <c r="J19" s="693"/>
      <c r="K19" s="693"/>
      <c r="L19" s="763"/>
      <c r="M19" s="743"/>
      <c r="N19" s="78"/>
      <c r="O19" s="330"/>
      <c r="P19" s="78"/>
      <c r="Q19" s="274"/>
      <c r="R19" s="46"/>
      <c r="S19" s="377"/>
      <c r="T19" s="273"/>
      <c r="U19" s="274"/>
      <c r="V19" s="377">
        <v>4999</v>
      </c>
      <c r="W19" s="273" t="s">
        <v>2825</v>
      </c>
      <c r="X19" s="274">
        <v>660000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50" customFormat="1" ht="15" x14ac:dyDescent="0.25">
      <c r="A20" s="693"/>
      <c r="B20" s="767"/>
      <c r="C20" s="690"/>
      <c r="D20" s="737"/>
      <c r="E20" s="690"/>
      <c r="F20" s="711"/>
      <c r="G20" s="735"/>
      <c r="H20" s="693"/>
      <c r="I20" s="693"/>
      <c r="J20" s="693"/>
      <c r="K20" s="693"/>
      <c r="L20" s="763"/>
      <c r="M20" s="743"/>
      <c r="N20" s="78"/>
      <c r="O20" s="330"/>
      <c r="P20" s="78"/>
      <c r="Q20" s="274"/>
      <c r="R20" s="46"/>
      <c r="S20" s="377"/>
      <c r="T20" s="273"/>
      <c r="U20" s="274"/>
      <c r="V20" s="377">
        <v>5028</v>
      </c>
      <c r="W20" s="273" t="s">
        <v>2827</v>
      </c>
      <c r="X20" s="274">
        <v>350000</v>
      </c>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row>
    <row r="21" spans="1:129" s="50" customFormat="1" ht="15" x14ac:dyDescent="0.25">
      <c r="A21" s="693"/>
      <c r="B21" s="767"/>
      <c r="C21" s="690"/>
      <c r="D21" s="737"/>
      <c r="E21" s="690"/>
      <c r="F21" s="711"/>
      <c r="G21" s="735"/>
      <c r="H21" s="693"/>
      <c r="I21" s="693"/>
      <c r="J21" s="693"/>
      <c r="K21" s="693"/>
      <c r="L21" s="763"/>
      <c r="M21" s="743"/>
      <c r="N21" s="78"/>
      <c r="O21" s="330"/>
      <c r="P21" s="78"/>
      <c r="Q21" s="274"/>
      <c r="R21" s="46"/>
      <c r="S21" s="585"/>
      <c r="T21" s="273"/>
      <c r="U21" s="274"/>
      <c r="V21" s="585">
        <v>5261</v>
      </c>
      <c r="W21" s="273" t="s">
        <v>2851</v>
      </c>
      <c r="X21" s="274">
        <v>719950</v>
      </c>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row>
    <row r="22" spans="1:129" s="50" customFormat="1" ht="15" x14ac:dyDescent="0.25">
      <c r="A22" s="693"/>
      <c r="B22" s="767"/>
      <c r="C22" s="690"/>
      <c r="D22" s="737"/>
      <c r="E22" s="690"/>
      <c r="F22" s="711"/>
      <c r="G22" s="735"/>
      <c r="H22" s="693"/>
      <c r="I22" s="693"/>
      <c r="J22" s="693"/>
      <c r="K22" s="693"/>
      <c r="L22" s="763"/>
      <c r="M22" s="743"/>
      <c r="N22" s="78"/>
      <c r="O22" s="330"/>
      <c r="P22" s="78"/>
      <c r="Q22" s="274"/>
      <c r="R22" s="46"/>
      <c r="S22" s="585"/>
      <c r="T22" s="273"/>
      <c r="U22" s="274"/>
      <c r="V22" s="585">
        <v>5501</v>
      </c>
      <c r="W22" s="273" t="s">
        <v>2861</v>
      </c>
      <c r="X22" s="274">
        <v>2000000</v>
      </c>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row>
    <row r="23" spans="1:129" s="50" customFormat="1" ht="15" x14ac:dyDescent="0.25">
      <c r="A23" s="693"/>
      <c r="B23" s="767"/>
      <c r="C23" s="690"/>
      <c r="D23" s="737"/>
      <c r="E23" s="690"/>
      <c r="F23" s="711"/>
      <c r="G23" s="735"/>
      <c r="H23" s="693"/>
      <c r="I23" s="693"/>
      <c r="J23" s="693"/>
      <c r="K23" s="693"/>
      <c r="L23" s="763"/>
      <c r="M23" s="743"/>
      <c r="N23" s="78"/>
      <c r="O23" s="330"/>
      <c r="P23" s="78"/>
      <c r="Q23" s="274"/>
      <c r="R23" s="46"/>
      <c r="S23" s="585"/>
      <c r="T23" s="273"/>
      <c r="U23" s="274"/>
      <c r="V23" s="585">
        <v>5682</v>
      </c>
      <c r="W23" s="273" t="s">
        <v>2803</v>
      </c>
      <c r="X23" s="274">
        <v>4620000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row>
    <row r="24" spans="1:129" s="50" customFormat="1" ht="15" x14ac:dyDescent="0.25">
      <c r="A24" s="693"/>
      <c r="B24" s="767"/>
      <c r="C24" s="690"/>
      <c r="D24" s="737"/>
      <c r="E24" s="690"/>
      <c r="F24" s="711"/>
      <c r="G24" s="735"/>
      <c r="H24" s="693"/>
      <c r="I24" s="693"/>
      <c r="J24" s="693"/>
      <c r="K24" s="693"/>
      <c r="L24" s="763"/>
      <c r="M24" s="743"/>
      <c r="N24" s="78"/>
      <c r="O24" s="330"/>
      <c r="P24" s="78"/>
      <c r="Q24" s="274"/>
      <c r="R24" s="46"/>
      <c r="S24" s="585"/>
      <c r="T24" s="273"/>
      <c r="U24" s="274"/>
      <c r="V24" s="585">
        <v>5698</v>
      </c>
      <c r="W24" s="273" t="s">
        <v>2771</v>
      </c>
      <c r="X24" s="274">
        <v>1830064.6</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row>
    <row r="25" spans="1:129" s="50" customFormat="1" ht="15" x14ac:dyDescent="0.25">
      <c r="A25" s="693"/>
      <c r="B25" s="767"/>
      <c r="C25" s="690"/>
      <c r="D25" s="737"/>
      <c r="E25" s="690"/>
      <c r="F25" s="711"/>
      <c r="G25" s="735"/>
      <c r="H25" s="693"/>
      <c r="I25" s="693"/>
      <c r="J25" s="693"/>
      <c r="K25" s="693"/>
      <c r="L25" s="763"/>
      <c r="M25" s="743"/>
      <c r="N25" s="78"/>
      <c r="O25" s="270"/>
      <c r="P25" s="78"/>
      <c r="Q25" s="274"/>
      <c r="R25" s="46"/>
      <c r="S25" s="271"/>
      <c r="T25" s="273"/>
      <c r="U25" s="274"/>
      <c r="V25" s="271"/>
      <c r="W25" s="273"/>
      <c r="X25" s="274"/>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row>
    <row r="26" spans="1:129" s="50" customFormat="1" ht="15" x14ac:dyDescent="0.25">
      <c r="A26" s="693"/>
      <c r="B26" s="767"/>
      <c r="C26" s="690"/>
      <c r="D26" s="737"/>
      <c r="E26" s="690"/>
      <c r="F26" s="711"/>
      <c r="G26" s="735"/>
      <c r="H26" s="693"/>
      <c r="I26" s="693"/>
      <c r="J26" s="693"/>
      <c r="K26" s="693"/>
      <c r="L26" s="763"/>
      <c r="M26" s="743"/>
      <c r="N26" s="78" t="s">
        <v>1424</v>
      </c>
      <c r="O26" s="457" t="s">
        <v>1425</v>
      </c>
      <c r="P26" s="78" t="s">
        <v>1426</v>
      </c>
      <c r="Q26" s="274">
        <v>8550150</v>
      </c>
      <c r="R26" s="46"/>
      <c r="S26" s="250">
        <v>574</v>
      </c>
      <c r="T26" s="122">
        <v>44680</v>
      </c>
      <c r="U26" s="267">
        <v>8550150</v>
      </c>
      <c r="V26" s="271">
        <v>2910</v>
      </c>
      <c r="W26" s="273">
        <v>44733</v>
      </c>
      <c r="X26" s="274">
        <v>8550150</v>
      </c>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row>
    <row r="27" spans="1:129" s="50" customFormat="1" ht="42" customHeight="1" x14ac:dyDescent="0.25">
      <c r="A27" s="694"/>
      <c r="B27" s="768"/>
      <c r="C27" s="691"/>
      <c r="D27" s="44" t="s">
        <v>787</v>
      </c>
      <c r="E27" s="8" t="s">
        <v>162</v>
      </c>
      <c r="F27" s="289">
        <v>10000000</v>
      </c>
      <c r="G27" s="64">
        <v>0</v>
      </c>
      <c r="H27" s="44"/>
      <c r="I27" s="45"/>
      <c r="J27" s="44"/>
      <c r="K27" s="274">
        <v>10000000</v>
      </c>
      <c r="L27" s="65">
        <f>+F27+G27+H27+J27-K27</f>
        <v>0</v>
      </c>
      <c r="M27" s="744"/>
      <c r="N27" s="44"/>
      <c r="O27" s="44"/>
      <c r="P27" s="44"/>
      <c r="Q27" s="44"/>
      <c r="R27" s="46"/>
      <c r="S27" s="44"/>
      <c r="T27" s="79"/>
      <c r="U27" s="44"/>
      <c r="V27" s="44"/>
      <c r="W27" s="79"/>
      <c r="X27" s="44"/>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row>
    <row r="28" spans="1:129" s="107" customFormat="1" ht="15.75" thickBot="1" x14ac:dyDescent="0.3">
      <c r="A28" s="92"/>
      <c r="B28" s="92"/>
      <c r="C28" s="92"/>
      <c r="D28" s="92"/>
      <c r="E28" s="104"/>
      <c r="F28" s="101"/>
      <c r="G28" s="101"/>
      <c r="H28" s="92"/>
      <c r="I28" s="93"/>
      <c r="J28" s="92"/>
      <c r="K28" s="92"/>
      <c r="L28" s="102">
        <f>SUM(L8:L27)</f>
        <v>50000000</v>
      </c>
      <c r="M28" s="101"/>
      <c r="N28" s="105"/>
      <c r="O28" s="86"/>
      <c r="P28" s="95"/>
      <c r="Q28" s="103">
        <f>SUM(Q8:Q27)</f>
        <v>49698664.600000001</v>
      </c>
      <c r="R28" s="89"/>
      <c r="S28" s="86"/>
      <c r="T28" s="95"/>
      <c r="U28" s="103">
        <f>SUM(U8:U27)</f>
        <v>49698664.600000001</v>
      </c>
      <c r="V28" s="86"/>
      <c r="W28" s="95"/>
      <c r="X28" s="103">
        <f>SUM(X8:X27)</f>
        <v>49698664.600000001</v>
      </c>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row>
    <row r="29" spans="1:129" s="63" customFormat="1" ht="17.25" thickBot="1" x14ac:dyDescent="0.35">
      <c r="A29" s="51"/>
      <c r="B29" s="51"/>
      <c r="C29" s="42"/>
      <c r="D29" s="42"/>
      <c r="E29" s="42"/>
      <c r="F29" s="52"/>
      <c r="G29" s="42"/>
      <c r="H29" s="42"/>
      <c r="I29" s="43"/>
      <c r="J29" s="53" t="s">
        <v>29</v>
      </c>
      <c r="K29" s="54"/>
      <c r="L29" s="55">
        <f>+L28</f>
        <v>50000000</v>
      </c>
      <c r="M29" s="75"/>
      <c r="N29" s="75"/>
      <c r="O29" s="75"/>
      <c r="P29" s="75"/>
      <c r="Q29" s="74">
        <f>+Q28</f>
        <v>49698664.600000001</v>
      </c>
      <c r="R29" s="57">
        <f>(Q29*1)/L29</f>
        <v>0.99397329200000006</v>
      </c>
      <c r="S29" s="58"/>
      <c r="T29" s="59"/>
      <c r="U29" s="60">
        <f>+U28</f>
        <v>49698664.600000001</v>
      </c>
      <c r="V29" s="58"/>
      <c r="W29" s="59"/>
      <c r="X29" s="61">
        <f>+X28</f>
        <v>49698664.600000001</v>
      </c>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row>
    <row r="30" spans="1:129" ht="15" x14ac:dyDescent="0.25">
      <c r="R30" s="4"/>
    </row>
    <row r="31" spans="1:129" ht="15" x14ac:dyDescent="0.25">
      <c r="Q31" s="72"/>
      <c r="R31" s="6"/>
      <c r="S31" s="72"/>
    </row>
    <row r="32" spans="1:129" ht="15" x14ac:dyDescent="0.25">
      <c r="Q32" s="72"/>
      <c r="R32" s="6"/>
      <c r="S32" s="72"/>
    </row>
    <row r="33" spans="17:19" ht="15" x14ac:dyDescent="0.25">
      <c r="Q33" s="72"/>
      <c r="R33" s="6"/>
      <c r="S33" s="72"/>
    </row>
    <row r="34" spans="17:19" ht="15" x14ac:dyDescent="0.25">
      <c r="Q34" s="72"/>
      <c r="R34" s="6"/>
      <c r="S34" s="72"/>
    </row>
    <row r="35" spans="17:19" ht="15" x14ac:dyDescent="0.25">
      <c r="Q35" s="72"/>
      <c r="R35" s="6"/>
      <c r="S35" s="72"/>
    </row>
    <row r="36" spans="17:19" ht="15" x14ac:dyDescent="0.25">
      <c r="Q36" s="72"/>
      <c r="R36" s="6"/>
      <c r="S36" s="72"/>
    </row>
    <row r="37" spans="17:19" ht="15" x14ac:dyDescent="0.25">
      <c r="Q37" s="72"/>
      <c r="R37" s="6"/>
      <c r="S37" s="72"/>
    </row>
    <row r="38" spans="17:19" ht="15" x14ac:dyDescent="0.25">
      <c r="Q38" s="72"/>
      <c r="R38" s="6"/>
      <c r="S38" s="72"/>
    </row>
    <row r="39" spans="17:19" ht="15" x14ac:dyDescent="0.25">
      <c r="Q39" s="72"/>
      <c r="R39" s="7"/>
      <c r="S39" s="72"/>
    </row>
    <row r="40" spans="17:19" ht="15" x14ac:dyDescent="0.25"/>
    <row r="41" spans="17:19" ht="15" x14ac:dyDescent="0.25"/>
    <row r="42" spans="17:19" ht="15" x14ac:dyDescent="0.25"/>
    <row r="43" spans="17:19" ht="15" x14ac:dyDescent="0.25"/>
    <row r="44" spans="17:19" ht="15" x14ac:dyDescent="0.25"/>
    <row r="45" spans="17:19" ht="15" x14ac:dyDescent="0.25"/>
    <row r="46" spans="17:19" ht="15" x14ac:dyDescent="0.25"/>
    <row r="47" spans="17:19" ht="15" x14ac:dyDescent="0.25"/>
    <row r="48" spans="17:19"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customHeight="1" x14ac:dyDescent="0.25"/>
    <row r="83" ht="15"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sheetData>
  <sheetProtection algorithmName="SHA-512" hashValue="Owv0agNQqC0L/TEFK//X08uirtTpibyE4mv5WOtv8udSEepcyL7tfwk3cLOGVi1ZVJkvnjIpnK4NiUSCELIDdQ==" saltValue="y4G/WangaeOo7FrjAbtnGg==" spinCount="100000" sheet="1" objects="1" scenarios="1" selectLockedCells="1" selectUnlockedCells="1"/>
  <mergeCells count="21">
    <mergeCell ref="A8:A27"/>
    <mergeCell ref="B8:B27"/>
    <mergeCell ref="C8:C27"/>
    <mergeCell ref="M8:M27"/>
    <mergeCell ref="A2:A5"/>
    <mergeCell ref="B2:V2"/>
    <mergeCell ref="D8:D26"/>
    <mergeCell ref="E8:E26"/>
    <mergeCell ref="F8:F26"/>
    <mergeCell ref="G8:G26"/>
    <mergeCell ref="H8:H26"/>
    <mergeCell ref="I8:I26"/>
    <mergeCell ref="J8:J26"/>
    <mergeCell ref="K8:K26"/>
    <mergeCell ref="L8:L26"/>
    <mergeCell ref="W2:X2"/>
    <mergeCell ref="B3:V3"/>
    <mergeCell ref="W3:X3"/>
    <mergeCell ref="B4:V5"/>
    <mergeCell ref="W4:X4"/>
    <mergeCell ref="W5:X5"/>
  </mergeCells>
  <conditionalFormatting sqref="R39:R1048576 R29 R7:R27">
    <cfRule type="cellIs" dxfId="589" priority="11" operator="between">
      <formula>0.51</formula>
      <formula>0.69</formula>
    </cfRule>
    <cfRule type="cellIs" dxfId="588" priority="12" operator="between">
      <formula>0.51</formula>
      <formula>0.69</formula>
    </cfRule>
    <cfRule type="cellIs" dxfId="587" priority="13" operator="lessThan">
      <formula>0.5</formula>
    </cfRule>
    <cfRule type="cellIs" dxfId="586" priority="14" operator="greaterThan">
      <formula>0.7</formula>
    </cfRule>
    <cfRule type="cellIs" dxfId="585" priority="15" operator="between">
      <formula>0.51</formula>
      <formula>0.69</formula>
    </cfRule>
    <cfRule type="cellIs" dxfId="584" priority="16" operator="lessThan">
      <formula>50</formula>
    </cfRule>
    <cfRule type="cellIs" dxfId="583" priority="17" operator="greaterThan">
      <formula>0.7</formula>
    </cfRule>
    <cfRule type="cellIs" dxfId="582" priority="18" operator="between">
      <formula>0.51</formula>
      <formula>0.69</formula>
    </cfRule>
    <cfRule type="cellIs" dxfId="581" priority="19" operator="lessThan">
      <formula>0.5</formula>
    </cfRule>
    <cfRule type="cellIs" dxfId="580" priority="20" operator="greaterThan">
      <formula>0.7</formula>
    </cfRule>
  </conditionalFormatting>
  <conditionalFormatting sqref="R28">
    <cfRule type="cellIs" dxfId="579" priority="1" operator="between">
      <formula>0.51</formula>
      <formula>0.69</formula>
    </cfRule>
    <cfRule type="cellIs" dxfId="578" priority="2" operator="between">
      <formula>0.51</formula>
      <formula>0.69</formula>
    </cfRule>
    <cfRule type="cellIs" dxfId="577" priority="3" operator="lessThan">
      <formula>0.5</formula>
    </cfRule>
    <cfRule type="cellIs" dxfId="576" priority="4" operator="greaterThan">
      <formula>0.7</formula>
    </cfRule>
    <cfRule type="cellIs" dxfId="575" priority="5" operator="between">
      <formula>0.51</formula>
      <formula>0.69</formula>
    </cfRule>
    <cfRule type="cellIs" dxfId="574" priority="6" operator="lessThan">
      <formula>50</formula>
    </cfRule>
    <cfRule type="cellIs" dxfId="573" priority="7" operator="greaterThan">
      <formula>0.7</formula>
    </cfRule>
    <cfRule type="cellIs" dxfId="572" priority="8" operator="between">
      <formula>0.51</formula>
      <formula>0.69</formula>
    </cfRule>
    <cfRule type="cellIs" dxfId="571" priority="9" operator="lessThan">
      <formula>0.5</formula>
    </cfRule>
    <cfRule type="cellIs" dxfId="570" priority="10" operator="greaterThan">
      <formula>0.7</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482B"/>
  </sheetPr>
  <dimension ref="A1:EB124"/>
  <sheetViews>
    <sheetView showGridLines="0" topLeftCell="A7" zoomScale="80" zoomScaleNormal="80" workbookViewId="0">
      <pane ySplit="1" topLeftCell="A59" activePane="bottomLeft" state="frozen"/>
      <selection activeCell="B7" sqref="B7"/>
      <selection pane="bottomLeft" activeCell="U62" sqref="U62"/>
    </sheetView>
  </sheetViews>
  <sheetFormatPr baseColWidth="10" defaultColWidth="0" defaultRowHeight="0" customHeight="1" zeroHeight="1" x14ac:dyDescent="0.25"/>
  <cols>
    <col min="1" max="1" width="11.42578125" style="73" customWidth="1"/>
    <col min="2" max="2" width="45.7109375" style="73" customWidth="1"/>
    <col min="3" max="3" width="17.28515625" style="77" customWidth="1"/>
    <col min="4" max="4" width="14.7109375" style="73" customWidth="1"/>
    <col min="5" max="5" width="42.85546875" style="73" customWidth="1"/>
    <col min="6" max="6" width="21.140625" style="1" hidden="1" customWidth="1"/>
    <col min="7" max="7" width="19.85546875" style="209" hidden="1" customWidth="1"/>
    <col min="8" max="8" width="16.7109375" style="73" hidden="1" customWidth="1"/>
    <col min="9" max="11" width="15.5703125" style="73" hidden="1" customWidth="1"/>
    <col min="12" max="12" width="18.7109375" style="73" customWidth="1"/>
    <col min="13" max="13" width="17.7109375" style="73" bestFit="1" customWidth="1"/>
    <col min="14" max="14" width="15.7109375" style="73" customWidth="1"/>
    <col min="15" max="15" width="11.42578125" style="73" customWidth="1"/>
    <col min="16" max="16" width="15.42578125" style="73" customWidth="1"/>
    <col min="17" max="17" width="16.42578125" style="73" bestFit="1" customWidth="1"/>
    <col min="18" max="18" width="11.5703125" style="3" bestFit="1" customWidth="1"/>
    <col min="19" max="19" width="11.42578125" style="73" customWidth="1"/>
    <col min="20" max="20" width="16.7109375" style="35" bestFit="1" customWidth="1"/>
    <col min="21" max="21" width="17.28515625" style="73" bestFit="1" customWidth="1"/>
    <col min="22" max="22" width="11.42578125" style="73" customWidth="1"/>
    <col min="23" max="23" width="14.5703125" style="35" customWidth="1"/>
    <col min="24" max="24" width="19" style="73" bestFit="1" customWidth="1"/>
    <col min="25" max="129" width="11.5703125" style="72" hidden="1" customWidth="1"/>
    <col min="130" max="132" width="11.5703125" style="73" hidden="1" customWidth="1"/>
    <col min="133" max="16384" width="11.42578125" style="73" hidden="1"/>
  </cols>
  <sheetData>
    <row r="1" spans="1:129" ht="15" hidden="1" x14ac:dyDescent="0.25">
      <c r="A1" s="24"/>
      <c r="B1" s="25"/>
      <c r="C1" s="26"/>
      <c r="D1" s="26"/>
      <c r="E1" s="26"/>
      <c r="F1" s="27"/>
      <c r="G1" s="203"/>
      <c r="H1" s="28"/>
      <c r="I1" s="28"/>
      <c r="J1" s="28"/>
      <c r="K1" s="29"/>
      <c r="L1" s="24"/>
      <c r="M1" s="24"/>
      <c r="N1" s="24"/>
      <c r="O1" s="24"/>
      <c r="P1" s="24"/>
      <c r="Q1" s="24"/>
      <c r="R1" s="24"/>
      <c r="S1" s="24"/>
      <c r="T1" s="36"/>
      <c r="U1" s="24"/>
      <c r="V1" s="24"/>
      <c r="W1" s="36"/>
    </row>
    <row r="2" spans="1:129"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hidden="1" x14ac:dyDescent="0.25">
      <c r="A6" s="24"/>
      <c r="B6" s="24"/>
      <c r="C6" s="76"/>
      <c r="D6" s="24"/>
      <c r="E6" s="24"/>
      <c r="F6" s="24"/>
      <c r="G6" s="205"/>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206" t="s">
        <v>1216</v>
      </c>
      <c r="H7" s="41" t="s">
        <v>1134</v>
      </c>
      <c r="I7" s="41" t="s">
        <v>1136</v>
      </c>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76.5" customHeight="1" x14ac:dyDescent="0.25">
      <c r="A8" s="68" t="s">
        <v>190</v>
      </c>
      <c r="B8" s="509" t="s">
        <v>191</v>
      </c>
      <c r="C8" s="38" t="s">
        <v>80</v>
      </c>
      <c r="D8" s="163" t="s">
        <v>1019</v>
      </c>
      <c r="E8" s="8" t="s">
        <v>192</v>
      </c>
      <c r="F8" s="289">
        <v>14415882</v>
      </c>
      <c r="G8" s="289">
        <v>957978</v>
      </c>
      <c r="H8" s="44"/>
      <c r="I8" s="290">
        <v>1739977</v>
      </c>
      <c r="J8" s="44"/>
      <c r="K8" s="44"/>
      <c r="L8" s="65">
        <f>+F8+G8+H8+I8+J8-K8</f>
        <v>17113837</v>
      </c>
      <c r="M8" s="297">
        <f>14415882+2697955</f>
        <v>17113837</v>
      </c>
      <c r="N8" s="80" t="s">
        <v>1773</v>
      </c>
      <c r="O8" s="457">
        <v>575</v>
      </c>
      <c r="P8" s="80" t="s">
        <v>1772</v>
      </c>
      <c r="Q8" s="274">
        <v>16133663</v>
      </c>
      <c r="R8" s="46"/>
      <c r="S8" s="70">
        <v>48</v>
      </c>
      <c r="T8" s="47">
        <v>44813</v>
      </c>
      <c r="U8" s="659">
        <v>16133663</v>
      </c>
      <c r="V8" s="572">
        <v>390</v>
      </c>
      <c r="W8" s="265" t="s">
        <v>2812</v>
      </c>
      <c r="X8" s="274">
        <v>16133663</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107" customFormat="1" ht="15" x14ac:dyDescent="0.25">
      <c r="A9" s="92"/>
      <c r="B9" s="92"/>
      <c r="C9" s="92"/>
      <c r="D9" s="92"/>
      <c r="E9" s="104"/>
      <c r="F9" s="101"/>
      <c r="G9" s="146"/>
      <c r="H9" s="92"/>
      <c r="I9" s="239"/>
      <c r="J9" s="92"/>
      <c r="K9" s="92"/>
      <c r="L9" s="102">
        <f>+L8</f>
        <v>17113837</v>
      </c>
      <c r="M9" s="101"/>
      <c r="N9" s="105"/>
      <c r="O9" s="86"/>
      <c r="P9" s="95"/>
      <c r="Q9" s="103">
        <f>+Q8</f>
        <v>16133663</v>
      </c>
      <c r="R9" s="89"/>
      <c r="S9" s="86"/>
      <c r="T9" s="95"/>
      <c r="U9" s="103">
        <f>+U8</f>
        <v>16133663</v>
      </c>
      <c r="V9" s="86"/>
      <c r="W9" s="95"/>
      <c r="X9" s="103">
        <f>+X8</f>
        <v>16133663</v>
      </c>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row>
    <row r="10" spans="1:129" s="50" customFormat="1" ht="51" customHeight="1" x14ac:dyDescent="0.25">
      <c r="A10" s="68" t="s">
        <v>965</v>
      </c>
      <c r="B10" s="509" t="s">
        <v>196</v>
      </c>
      <c r="C10" s="38" t="s">
        <v>80</v>
      </c>
      <c r="D10" s="71" t="s">
        <v>1017</v>
      </c>
      <c r="E10" s="8" t="s">
        <v>193</v>
      </c>
      <c r="F10" s="289">
        <v>14415882</v>
      </c>
      <c r="G10" s="66"/>
      <c r="H10" s="44"/>
      <c r="I10" s="290">
        <v>1739977</v>
      </c>
      <c r="J10" s="44"/>
      <c r="K10" s="44"/>
      <c r="L10" s="65">
        <f>+F10+G10+H10+I10+J10-K10</f>
        <v>16155859</v>
      </c>
      <c r="M10" s="297">
        <f>14415882+1739977</f>
        <v>16155859</v>
      </c>
      <c r="N10" s="80" t="s">
        <v>1771</v>
      </c>
      <c r="O10" s="457">
        <v>554</v>
      </c>
      <c r="P10" s="80" t="s">
        <v>1768</v>
      </c>
      <c r="Q10" s="345">
        <v>14375200</v>
      </c>
      <c r="R10" s="46"/>
      <c r="S10" s="70">
        <v>43</v>
      </c>
      <c r="T10" s="47">
        <v>44795</v>
      </c>
      <c r="U10" s="660">
        <v>14375200</v>
      </c>
      <c r="V10" s="70">
        <v>380</v>
      </c>
      <c r="W10" s="47">
        <v>44826</v>
      </c>
      <c r="X10" s="345">
        <v>14375200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107" customFormat="1" ht="15" x14ac:dyDescent="0.25">
      <c r="A11" s="92"/>
      <c r="B11" s="92"/>
      <c r="C11" s="92"/>
      <c r="D11" s="92"/>
      <c r="E11" s="104"/>
      <c r="F11" s="101"/>
      <c r="G11" s="146"/>
      <c r="H11" s="92"/>
      <c r="I11" s="239"/>
      <c r="J11" s="92"/>
      <c r="K11" s="92"/>
      <c r="L11" s="102">
        <f>+L10</f>
        <v>16155859</v>
      </c>
      <c r="M11" s="101"/>
      <c r="N11" s="105"/>
      <c r="O11" s="86"/>
      <c r="P11" s="95"/>
      <c r="Q11" s="103">
        <f>+Q10</f>
        <v>14375200</v>
      </c>
      <c r="R11" s="89"/>
      <c r="S11" s="86"/>
      <c r="T11" s="95"/>
      <c r="U11" s="103">
        <f>+U10</f>
        <v>14375200</v>
      </c>
      <c r="V11" s="86"/>
      <c r="W11" s="95"/>
      <c r="X11" s="103">
        <f>+X10</f>
        <v>14375200</v>
      </c>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row>
    <row r="12" spans="1:129" s="50" customFormat="1" ht="72.75" customHeight="1" x14ac:dyDescent="0.25">
      <c r="A12" s="692" t="s">
        <v>966</v>
      </c>
      <c r="B12" s="766" t="s">
        <v>197</v>
      </c>
      <c r="C12" s="689" t="s">
        <v>80</v>
      </c>
      <c r="D12" s="44" t="s">
        <v>1021</v>
      </c>
      <c r="E12" s="8" t="s">
        <v>194</v>
      </c>
      <c r="F12" s="289">
        <v>28831764</v>
      </c>
      <c r="G12" s="66"/>
      <c r="H12" s="44"/>
      <c r="I12" s="232"/>
      <c r="J12" s="274">
        <v>3560524</v>
      </c>
      <c r="K12" s="44"/>
      <c r="L12" s="65">
        <f t="shared" ref="L12:L45" si="0">+F12+G12+H12+I12+J12-K12</f>
        <v>32392288</v>
      </c>
      <c r="M12" s="742">
        <f>57663528+218769955</f>
        <v>276433483</v>
      </c>
      <c r="N12" s="443"/>
      <c r="O12" s="44"/>
      <c r="P12" s="443"/>
      <c r="Q12" s="274"/>
      <c r="R12" s="46"/>
      <c r="S12" s="228"/>
      <c r="T12" s="79"/>
      <c r="U12" s="228"/>
      <c r="V12" s="228"/>
      <c r="W12" s="79"/>
      <c r="X12" s="228"/>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50" customFormat="1" ht="67.5" x14ac:dyDescent="0.25">
      <c r="A13" s="693"/>
      <c r="B13" s="767"/>
      <c r="C13" s="690"/>
      <c r="D13" s="165" t="s">
        <v>1022</v>
      </c>
      <c r="E13" s="8" t="s">
        <v>195</v>
      </c>
      <c r="F13" s="289">
        <v>28831764</v>
      </c>
      <c r="G13" s="66"/>
      <c r="H13" s="44"/>
      <c r="I13" s="232"/>
      <c r="J13" s="44"/>
      <c r="K13" s="44"/>
      <c r="L13" s="65">
        <f t="shared" si="0"/>
        <v>28831764</v>
      </c>
      <c r="M13" s="743"/>
      <c r="N13" s="80" t="s">
        <v>2458</v>
      </c>
      <c r="O13" s="459" t="s">
        <v>2459</v>
      </c>
      <c r="P13" s="80" t="s">
        <v>2460</v>
      </c>
      <c r="Q13" s="345">
        <v>4546225</v>
      </c>
      <c r="R13" s="46"/>
      <c r="S13" s="228">
        <v>108</v>
      </c>
      <c r="T13" s="79" t="s">
        <v>2791</v>
      </c>
      <c r="U13" s="660">
        <v>4546225</v>
      </c>
      <c r="V13" s="585">
        <v>529</v>
      </c>
      <c r="W13" s="273" t="s">
        <v>2832</v>
      </c>
      <c r="X13" s="345">
        <v>4546225</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50" customFormat="1" ht="15" x14ac:dyDescent="0.25">
      <c r="A14" s="693"/>
      <c r="B14" s="767"/>
      <c r="C14" s="690"/>
      <c r="D14" s="410"/>
      <c r="E14" s="440"/>
      <c r="F14" s="423"/>
      <c r="G14" s="418"/>
      <c r="H14" s="410"/>
      <c r="I14" s="233"/>
      <c r="J14" s="410"/>
      <c r="K14" s="410"/>
      <c r="L14" s="427"/>
      <c r="M14" s="743"/>
      <c r="N14" s="80" t="s">
        <v>2461</v>
      </c>
      <c r="O14" s="459" t="s">
        <v>2462</v>
      </c>
      <c r="P14" s="80" t="s">
        <v>2463</v>
      </c>
      <c r="Q14" s="345">
        <v>3617300</v>
      </c>
      <c r="R14" s="46"/>
      <c r="S14" s="330">
        <v>111</v>
      </c>
      <c r="T14" s="79" t="s">
        <v>2797</v>
      </c>
      <c r="U14" s="660">
        <v>3617300</v>
      </c>
      <c r="V14" s="585">
        <v>530</v>
      </c>
      <c r="W14" s="273" t="s">
        <v>2832</v>
      </c>
      <c r="X14" s="345">
        <v>3617300</v>
      </c>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row>
    <row r="15" spans="1:129" s="50" customFormat="1" ht="15" x14ac:dyDescent="0.25">
      <c r="A15" s="693"/>
      <c r="B15" s="767"/>
      <c r="C15" s="690"/>
      <c r="D15" s="410"/>
      <c r="E15" s="440"/>
      <c r="F15" s="423"/>
      <c r="G15" s="418"/>
      <c r="H15" s="410"/>
      <c r="I15" s="233"/>
      <c r="J15" s="410"/>
      <c r="K15" s="410"/>
      <c r="L15" s="427"/>
      <c r="M15" s="743"/>
      <c r="N15" s="80" t="s">
        <v>2464</v>
      </c>
      <c r="O15" s="459" t="s">
        <v>2465</v>
      </c>
      <c r="P15" s="80" t="s">
        <v>2466</v>
      </c>
      <c r="Q15" s="345">
        <v>14974400</v>
      </c>
      <c r="R15" s="46"/>
      <c r="S15" s="330">
        <v>109</v>
      </c>
      <c r="T15" s="79" t="s">
        <v>2791</v>
      </c>
      <c r="U15" s="660">
        <v>14974400</v>
      </c>
      <c r="V15" s="585">
        <v>531</v>
      </c>
      <c r="W15" s="273" t="s">
        <v>2832</v>
      </c>
      <c r="X15" s="345">
        <v>14974400</v>
      </c>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50" customFormat="1" ht="15" x14ac:dyDescent="0.25">
      <c r="A16" s="693"/>
      <c r="B16" s="767"/>
      <c r="C16" s="690"/>
      <c r="D16" s="410"/>
      <c r="E16" s="440"/>
      <c r="F16" s="423"/>
      <c r="G16" s="418"/>
      <c r="H16" s="410"/>
      <c r="I16" s="233"/>
      <c r="J16" s="410"/>
      <c r="K16" s="410"/>
      <c r="L16" s="427"/>
      <c r="M16" s="743"/>
      <c r="N16" s="80" t="s">
        <v>2467</v>
      </c>
      <c r="O16" s="459" t="s">
        <v>2468</v>
      </c>
      <c r="P16" s="80" t="s">
        <v>2469</v>
      </c>
      <c r="Q16" s="345">
        <v>5634000</v>
      </c>
      <c r="R16" s="46"/>
      <c r="S16" s="330">
        <v>113</v>
      </c>
      <c r="T16" s="79" t="s">
        <v>2798</v>
      </c>
      <c r="U16" s="660">
        <v>5634000</v>
      </c>
      <c r="V16" s="585">
        <v>527</v>
      </c>
      <c r="W16" s="273" t="s">
        <v>2832</v>
      </c>
      <c r="X16" s="345">
        <v>5634000</v>
      </c>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row>
    <row r="17" spans="1:129" s="50" customFormat="1" ht="40.5" x14ac:dyDescent="0.25">
      <c r="A17" s="693"/>
      <c r="B17" s="767"/>
      <c r="C17" s="690"/>
      <c r="D17" s="197" t="s">
        <v>1243</v>
      </c>
      <c r="E17" s="192" t="s">
        <v>1221</v>
      </c>
      <c r="F17" s="198"/>
      <c r="G17" s="292">
        <v>1394982</v>
      </c>
      <c r="H17" s="197"/>
      <c r="I17" s="233"/>
      <c r="J17" s="197"/>
      <c r="K17" s="197"/>
      <c r="L17" s="199">
        <f t="shared" si="0"/>
        <v>1394982</v>
      </c>
      <c r="M17" s="743"/>
      <c r="N17" s="80" t="s">
        <v>2442</v>
      </c>
      <c r="O17" s="459" t="s">
        <v>2480</v>
      </c>
      <c r="P17" s="80" t="s">
        <v>2481</v>
      </c>
      <c r="Q17" s="528">
        <v>646170</v>
      </c>
      <c r="R17" s="46"/>
      <c r="S17" s="228"/>
      <c r="T17" s="79"/>
      <c r="U17" s="228"/>
      <c r="V17" s="228"/>
      <c r="W17" s="79"/>
      <c r="X17" s="228"/>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50" customFormat="1" ht="40.5" x14ac:dyDescent="0.25">
      <c r="A18" s="693"/>
      <c r="B18" s="767"/>
      <c r="C18" s="690"/>
      <c r="D18" s="197" t="s">
        <v>1244</v>
      </c>
      <c r="E18" s="192" t="s">
        <v>1222</v>
      </c>
      <c r="F18" s="198"/>
      <c r="G18" s="292">
        <v>649250</v>
      </c>
      <c r="H18" s="197"/>
      <c r="I18" s="233"/>
      <c r="J18" s="197"/>
      <c r="K18" s="197"/>
      <c r="L18" s="199">
        <f t="shared" si="0"/>
        <v>649250</v>
      </c>
      <c r="M18" s="743"/>
      <c r="N18" s="80" t="s">
        <v>2442</v>
      </c>
      <c r="O18" s="459" t="s">
        <v>2473</v>
      </c>
      <c r="P18" s="80" t="s">
        <v>2474</v>
      </c>
      <c r="Q18" s="528">
        <v>172550</v>
      </c>
      <c r="R18" s="46"/>
      <c r="S18" s="228"/>
      <c r="T18" s="79"/>
      <c r="U18" s="228"/>
      <c r="V18" s="228"/>
      <c r="W18" s="79"/>
      <c r="X18" s="228"/>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row>
    <row r="19" spans="1:129" s="50" customFormat="1" ht="40.5" x14ac:dyDescent="0.25">
      <c r="A19" s="693"/>
      <c r="B19" s="767"/>
      <c r="C19" s="690"/>
      <c r="D19" s="197" t="s">
        <v>1245</v>
      </c>
      <c r="E19" s="192" t="s">
        <v>1223</v>
      </c>
      <c r="F19" s="198"/>
      <c r="G19" s="292">
        <v>2114400</v>
      </c>
      <c r="H19" s="197"/>
      <c r="I19" s="233"/>
      <c r="J19" s="197"/>
      <c r="K19" s="197"/>
      <c r="L19" s="199">
        <f t="shared" si="0"/>
        <v>2114400</v>
      </c>
      <c r="M19" s="743"/>
      <c r="N19" s="80" t="s">
        <v>2436</v>
      </c>
      <c r="O19" s="459" t="s">
        <v>2437</v>
      </c>
      <c r="P19" s="80" t="s">
        <v>2438</v>
      </c>
      <c r="Q19" s="274">
        <v>833000</v>
      </c>
      <c r="R19" s="46"/>
      <c r="S19" s="585">
        <v>97</v>
      </c>
      <c r="T19" s="273" t="s">
        <v>2795</v>
      </c>
      <c r="U19" s="659">
        <v>833000</v>
      </c>
      <c r="V19" s="585">
        <v>519</v>
      </c>
      <c r="W19" s="273" t="s">
        <v>2834</v>
      </c>
      <c r="X19" s="274">
        <v>833000</v>
      </c>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50" customFormat="1" ht="40.5" x14ac:dyDescent="0.25">
      <c r="A20" s="693"/>
      <c r="B20" s="767"/>
      <c r="C20" s="690"/>
      <c r="D20" s="197" t="s">
        <v>1246</v>
      </c>
      <c r="E20" s="192" t="s">
        <v>1224</v>
      </c>
      <c r="F20" s="198"/>
      <c r="G20" s="292">
        <v>260000</v>
      </c>
      <c r="H20" s="197"/>
      <c r="I20" s="233"/>
      <c r="J20" s="197"/>
      <c r="K20" s="197"/>
      <c r="L20" s="199">
        <f t="shared" si="0"/>
        <v>260000</v>
      </c>
      <c r="M20" s="743"/>
      <c r="N20" s="80" t="s">
        <v>2436</v>
      </c>
      <c r="O20" s="459" t="s">
        <v>2492</v>
      </c>
      <c r="P20" s="80" t="s">
        <v>2493</v>
      </c>
      <c r="Q20" s="274">
        <v>233240</v>
      </c>
      <c r="R20" s="46"/>
      <c r="S20" s="585">
        <v>97</v>
      </c>
      <c r="T20" s="273" t="s">
        <v>2795</v>
      </c>
      <c r="U20" s="659">
        <v>233240</v>
      </c>
      <c r="V20" s="585">
        <v>519</v>
      </c>
      <c r="W20" s="273" t="s">
        <v>2834</v>
      </c>
      <c r="X20" s="274">
        <v>233240</v>
      </c>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row>
    <row r="21" spans="1:129" s="50" customFormat="1" ht="54" x14ac:dyDescent="0.25">
      <c r="A21" s="693"/>
      <c r="B21" s="767"/>
      <c r="C21" s="690"/>
      <c r="D21" s="197" t="s">
        <v>1247</v>
      </c>
      <c r="E21" s="192" t="s">
        <v>1225</v>
      </c>
      <c r="F21" s="198"/>
      <c r="G21" s="292">
        <v>1047600</v>
      </c>
      <c r="H21" s="197"/>
      <c r="I21" s="233"/>
      <c r="J21" s="197"/>
      <c r="K21" s="197"/>
      <c r="L21" s="199">
        <f t="shared" si="0"/>
        <v>1047600</v>
      </c>
      <c r="M21" s="743"/>
      <c r="N21" s="80" t="s">
        <v>2442</v>
      </c>
      <c r="O21" s="459" t="s">
        <v>2482</v>
      </c>
      <c r="P21" s="80" t="s">
        <v>2483</v>
      </c>
      <c r="Q21" s="528">
        <v>531930</v>
      </c>
      <c r="R21" s="46"/>
      <c r="S21" s="585"/>
      <c r="T21" s="273"/>
      <c r="U21" s="274"/>
      <c r="V21" s="228"/>
      <c r="W21" s="79"/>
      <c r="X21" s="228"/>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row>
    <row r="22" spans="1:129" s="50" customFormat="1" ht="67.5" x14ac:dyDescent="0.25">
      <c r="A22" s="693"/>
      <c r="B22" s="767"/>
      <c r="C22" s="690"/>
      <c r="D22" s="197" t="s">
        <v>1248</v>
      </c>
      <c r="E22" s="192" t="s">
        <v>1226</v>
      </c>
      <c r="F22" s="198"/>
      <c r="G22" s="292">
        <v>762902</v>
      </c>
      <c r="H22" s="197"/>
      <c r="I22" s="233"/>
      <c r="J22" s="197"/>
      <c r="K22" s="197"/>
      <c r="L22" s="199">
        <f t="shared" si="0"/>
        <v>762902</v>
      </c>
      <c r="M22" s="743"/>
      <c r="N22" s="80" t="s">
        <v>2470</v>
      </c>
      <c r="O22" s="459" t="s">
        <v>2471</v>
      </c>
      <c r="P22" s="80" t="s">
        <v>2472</v>
      </c>
      <c r="Q22" s="274">
        <v>615000</v>
      </c>
      <c r="R22" s="46"/>
      <c r="S22" s="585">
        <v>98</v>
      </c>
      <c r="T22" s="273" t="s">
        <v>2795</v>
      </c>
      <c r="U22" s="659">
        <v>615000</v>
      </c>
      <c r="V22" s="585">
        <v>520</v>
      </c>
      <c r="W22" s="273" t="s">
        <v>2834</v>
      </c>
      <c r="X22" s="274">
        <v>615000</v>
      </c>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row>
    <row r="23" spans="1:129" s="50" customFormat="1" ht="40.5" x14ac:dyDescent="0.25">
      <c r="A23" s="693"/>
      <c r="B23" s="767"/>
      <c r="C23" s="690"/>
      <c r="D23" s="197" t="s">
        <v>1249</v>
      </c>
      <c r="E23" s="192" t="s">
        <v>1227</v>
      </c>
      <c r="F23" s="198"/>
      <c r="G23" s="292">
        <v>13034972</v>
      </c>
      <c r="H23" s="197"/>
      <c r="I23" s="233"/>
      <c r="J23" s="334">
        <v>12419494</v>
      </c>
      <c r="K23" s="197"/>
      <c r="L23" s="199">
        <f t="shared" si="0"/>
        <v>25454466</v>
      </c>
      <c r="M23" s="743"/>
      <c r="N23" s="80" t="s">
        <v>2489</v>
      </c>
      <c r="O23" s="459" t="s">
        <v>2490</v>
      </c>
      <c r="P23" s="80" t="s">
        <v>2491</v>
      </c>
      <c r="Q23" s="274">
        <v>25115129</v>
      </c>
      <c r="R23" s="46"/>
      <c r="S23" s="585">
        <v>95</v>
      </c>
      <c r="T23" s="273" t="s">
        <v>2795</v>
      </c>
      <c r="U23" s="659">
        <v>25115129</v>
      </c>
      <c r="V23" s="585">
        <v>522</v>
      </c>
      <c r="W23" s="273" t="s">
        <v>2799</v>
      </c>
      <c r="X23" s="274">
        <v>25115129</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row>
    <row r="24" spans="1:129" s="50" customFormat="1" ht="67.5" x14ac:dyDescent="0.25">
      <c r="A24" s="693"/>
      <c r="B24" s="767"/>
      <c r="C24" s="690"/>
      <c r="D24" s="197" t="s">
        <v>1250</v>
      </c>
      <c r="E24" s="192" t="s">
        <v>1228</v>
      </c>
      <c r="F24" s="198"/>
      <c r="G24" s="292">
        <v>1040000</v>
      </c>
      <c r="H24" s="197"/>
      <c r="I24" s="233"/>
      <c r="J24" s="197"/>
      <c r="K24" s="197"/>
      <c r="L24" s="199">
        <f t="shared" si="0"/>
        <v>1040000</v>
      </c>
      <c r="M24" s="743"/>
      <c r="N24" s="80" t="s">
        <v>2452</v>
      </c>
      <c r="O24" s="459" t="s">
        <v>2453</v>
      </c>
      <c r="P24" s="80" t="s">
        <v>2454</v>
      </c>
      <c r="Q24" s="274">
        <v>339000</v>
      </c>
      <c r="R24" s="46"/>
      <c r="S24" s="585">
        <v>98</v>
      </c>
      <c r="T24" s="273" t="s">
        <v>2795</v>
      </c>
      <c r="U24" s="659">
        <v>339000</v>
      </c>
      <c r="V24" s="585">
        <v>520</v>
      </c>
      <c r="W24" s="273" t="s">
        <v>2834</v>
      </c>
      <c r="X24" s="274">
        <v>339000</v>
      </c>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row>
    <row r="25" spans="1:129" s="50" customFormat="1" ht="40.5" x14ac:dyDescent="0.25">
      <c r="A25" s="693"/>
      <c r="B25" s="767"/>
      <c r="C25" s="690"/>
      <c r="D25" s="197" t="s">
        <v>1251</v>
      </c>
      <c r="E25" s="192" t="s">
        <v>1229</v>
      </c>
      <c r="F25" s="198"/>
      <c r="G25" s="292">
        <v>17589264</v>
      </c>
      <c r="H25" s="197"/>
      <c r="I25" s="233"/>
      <c r="J25" s="197"/>
      <c r="K25" s="197"/>
      <c r="L25" s="199">
        <f t="shared" si="0"/>
        <v>17589264</v>
      </c>
      <c r="M25" s="743"/>
      <c r="N25" s="80" t="s">
        <v>2475</v>
      </c>
      <c r="O25" s="459" t="s">
        <v>2476</v>
      </c>
      <c r="P25" s="80" t="s">
        <v>2477</v>
      </c>
      <c r="Q25" s="274">
        <v>508725</v>
      </c>
      <c r="R25" s="46"/>
      <c r="S25" s="585">
        <v>97</v>
      </c>
      <c r="T25" s="273" t="s">
        <v>2795</v>
      </c>
      <c r="U25" s="659">
        <v>508725</v>
      </c>
      <c r="V25" s="585">
        <v>519</v>
      </c>
      <c r="W25" s="273" t="s">
        <v>2834</v>
      </c>
      <c r="X25" s="274">
        <v>508725</v>
      </c>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row>
    <row r="26" spans="1:129" s="50" customFormat="1" ht="15" x14ac:dyDescent="0.25">
      <c r="A26" s="693"/>
      <c r="B26" s="767"/>
      <c r="C26" s="690"/>
      <c r="D26" s="410"/>
      <c r="E26" s="440"/>
      <c r="F26" s="418"/>
      <c r="G26" s="423"/>
      <c r="H26" s="410"/>
      <c r="I26" s="233"/>
      <c r="J26" s="410"/>
      <c r="K26" s="410"/>
      <c r="L26" s="427"/>
      <c r="M26" s="743"/>
      <c r="N26" s="80" t="s">
        <v>2442</v>
      </c>
      <c r="O26" s="459" t="s">
        <v>2478</v>
      </c>
      <c r="P26" s="80" t="s">
        <v>2479</v>
      </c>
      <c r="Q26" s="528">
        <v>4299470</v>
      </c>
      <c r="R26" s="46"/>
      <c r="S26" s="330"/>
      <c r="T26" s="79"/>
      <c r="U26" s="274"/>
      <c r="V26" s="330"/>
      <c r="W26" s="79"/>
      <c r="X26" s="330"/>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row>
    <row r="27" spans="1:129" s="50" customFormat="1" ht="54" x14ac:dyDescent="0.25">
      <c r="A27" s="693"/>
      <c r="B27" s="767"/>
      <c r="C27" s="690"/>
      <c r="D27" s="197" t="s">
        <v>1252</v>
      </c>
      <c r="E27" s="192" t="s">
        <v>1230</v>
      </c>
      <c r="F27" s="198"/>
      <c r="G27" s="292">
        <v>15415873</v>
      </c>
      <c r="H27" s="197"/>
      <c r="I27" s="233"/>
      <c r="J27" s="334">
        <v>7190617</v>
      </c>
      <c r="K27" s="197"/>
      <c r="L27" s="199">
        <f t="shared" si="0"/>
        <v>22606490</v>
      </c>
      <c r="M27" s="743"/>
      <c r="N27" s="80" t="s">
        <v>2484</v>
      </c>
      <c r="O27" s="459" t="s">
        <v>2494</v>
      </c>
      <c r="P27" s="80" t="s">
        <v>2495</v>
      </c>
      <c r="Q27" s="274">
        <v>18368602</v>
      </c>
      <c r="R27" s="46"/>
      <c r="S27" s="585">
        <v>86</v>
      </c>
      <c r="T27" s="273" t="s">
        <v>2796</v>
      </c>
      <c r="U27" s="659">
        <v>18368602</v>
      </c>
      <c r="V27" s="585">
        <v>476</v>
      </c>
      <c r="W27" s="273" t="s">
        <v>2805</v>
      </c>
      <c r="X27" s="274">
        <v>18368602</v>
      </c>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row>
    <row r="28" spans="1:129" s="50" customFormat="1" ht="15" x14ac:dyDescent="0.25">
      <c r="A28" s="693"/>
      <c r="B28" s="767"/>
      <c r="C28" s="690"/>
      <c r="D28" s="410"/>
      <c r="E28" s="440"/>
      <c r="F28" s="418"/>
      <c r="G28" s="423"/>
      <c r="H28" s="410"/>
      <c r="I28" s="233"/>
      <c r="J28" s="418"/>
      <c r="K28" s="410"/>
      <c r="L28" s="427"/>
      <c r="M28" s="743"/>
      <c r="N28" s="80" t="s">
        <v>2442</v>
      </c>
      <c r="O28" s="459" t="s">
        <v>2496</v>
      </c>
      <c r="P28" s="80" t="s">
        <v>2497</v>
      </c>
      <c r="Q28" s="528">
        <v>1051960</v>
      </c>
      <c r="R28" s="46"/>
      <c r="S28" s="330"/>
      <c r="T28" s="79"/>
      <c r="U28" s="274"/>
      <c r="V28" s="330"/>
      <c r="W28" s="79"/>
      <c r="X28" s="330"/>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row>
    <row r="29" spans="1:129" s="50" customFormat="1" ht="40.5" x14ac:dyDescent="0.25">
      <c r="A29" s="693"/>
      <c r="B29" s="767"/>
      <c r="C29" s="690"/>
      <c r="D29" s="197" t="s">
        <v>1253</v>
      </c>
      <c r="E29" s="192" t="s">
        <v>1231</v>
      </c>
      <c r="F29" s="198"/>
      <c r="G29" s="292">
        <v>544700</v>
      </c>
      <c r="H29" s="197"/>
      <c r="I29" s="233"/>
      <c r="J29" s="197"/>
      <c r="K29" s="197"/>
      <c r="L29" s="199">
        <f t="shared" si="0"/>
        <v>544700</v>
      </c>
      <c r="M29" s="743"/>
      <c r="N29" s="443"/>
      <c r="O29" s="200"/>
      <c r="P29" s="443"/>
      <c r="Q29" s="274"/>
      <c r="R29" s="46"/>
      <c r="S29" s="228"/>
      <c r="T29" s="79"/>
      <c r="U29" s="274"/>
      <c r="V29" s="228"/>
      <c r="W29" s="79"/>
      <c r="X29" s="228"/>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row>
    <row r="30" spans="1:129" s="50" customFormat="1" ht="40.5" x14ac:dyDescent="0.25">
      <c r="A30" s="693"/>
      <c r="B30" s="767"/>
      <c r="C30" s="690"/>
      <c r="D30" s="197" t="s">
        <v>1254</v>
      </c>
      <c r="E30" s="192" t="s">
        <v>1232</v>
      </c>
      <c r="F30" s="198"/>
      <c r="G30" s="292">
        <v>1073650</v>
      </c>
      <c r="H30" s="197"/>
      <c r="I30" s="233"/>
      <c r="J30" s="197"/>
      <c r="K30" s="197"/>
      <c r="L30" s="199">
        <f t="shared" si="0"/>
        <v>1073650</v>
      </c>
      <c r="M30" s="743"/>
      <c r="N30" s="80" t="s">
        <v>2442</v>
      </c>
      <c r="O30" s="459" t="s">
        <v>2450</v>
      </c>
      <c r="P30" s="80" t="s">
        <v>2451</v>
      </c>
      <c r="Q30" s="528">
        <v>963900</v>
      </c>
      <c r="R30" s="46"/>
      <c r="S30" s="228"/>
      <c r="T30" s="79"/>
      <c r="U30" s="274"/>
      <c r="V30" s="228"/>
      <c r="W30" s="79"/>
      <c r="X30" s="228"/>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row>
    <row r="31" spans="1:129" s="50" customFormat="1" ht="54" x14ac:dyDescent="0.25">
      <c r="A31" s="693"/>
      <c r="B31" s="767"/>
      <c r="C31" s="690"/>
      <c r="D31" s="197" t="s">
        <v>1255</v>
      </c>
      <c r="E31" s="192" t="s">
        <v>1233</v>
      </c>
      <c r="F31" s="198"/>
      <c r="G31" s="292">
        <v>2929000</v>
      </c>
      <c r="H31" s="197"/>
      <c r="I31" s="233"/>
      <c r="J31" s="197"/>
      <c r="K31" s="197"/>
      <c r="L31" s="199">
        <f t="shared" si="0"/>
        <v>2929000</v>
      </c>
      <c r="M31" s="743"/>
      <c r="N31" s="80" t="s">
        <v>2484</v>
      </c>
      <c r="O31" s="459" t="s">
        <v>2485</v>
      </c>
      <c r="P31" s="80" t="s">
        <v>2486</v>
      </c>
      <c r="Q31" s="274">
        <v>2093805</v>
      </c>
      <c r="R31" s="46"/>
      <c r="S31" s="228">
        <v>86</v>
      </c>
      <c r="T31" s="79" t="s">
        <v>2796</v>
      </c>
      <c r="U31" s="659">
        <v>2093805</v>
      </c>
      <c r="V31" s="585">
        <v>476</v>
      </c>
      <c r="W31" s="273" t="s">
        <v>2805</v>
      </c>
      <c r="X31" s="274">
        <v>2093805</v>
      </c>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row>
    <row r="32" spans="1:129" s="50" customFormat="1" ht="15" x14ac:dyDescent="0.25">
      <c r="A32" s="693"/>
      <c r="B32" s="767"/>
      <c r="C32" s="690"/>
      <c r="D32" s="410"/>
      <c r="E32" s="440"/>
      <c r="F32" s="418"/>
      <c r="G32" s="423"/>
      <c r="H32" s="410"/>
      <c r="I32" s="233"/>
      <c r="J32" s="410"/>
      <c r="K32" s="410"/>
      <c r="L32" s="427"/>
      <c r="M32" s="743"/>
      <c r="N32" s="80" t="s">
        <v>2442</v>
      </c>
      <c r="O32" s="459" t="s">
        <v>2487</v>
      </c>
      <c r="P32" s="80" t="s">
        <v>2488</v>
      </c>
      <c r="Q32" s="528">
        <v>213010</v>
      </c>
      <c r="R32" s="46"/>
      <c r="S32" s="330"/>
      <c r="T32" s="79"/>
      <c r="U32" s="274"/>
      <c r="V32" s="330"/>
      <c r="W32" s="79"/>
      <c r="X32" s="330"/>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row>
    <row r="33" spans="1:129" s="50" customFormat="1" ht="40.5" x14ac:dyDescent="0.25">
      <c r="A33" s="693"/>
      <c r="B33" s="767"/>
      <c r="C33" s="690"/>
      <c r="D33" s="197" t="s">
        <v>1256</v>
      </c>
      <c r="E33" s="192" t="s">
        <v>1234</v>
      </c>
      <c r="F33" s="198"/>
      <c r="G33" s="292">
        <v>4214999</v>
      </c>
      <c r="H33" s="197"/>
      <c r="I33" s="233"/>
      <c r="J33" s="334">
        <v>8984042</v>
      </c>
      <c r="K33" s="197"/>
      <c r="L33" s="199">
        <f t="shared" si="0"/>
        <v>13199041</v>
      </c>
      <c r="M33" s="743"/>
      <c r="N33" s="80" t="s">
        <v>2439</v>
      </c>
      <c r="O33" s="459" t="s">
        <v>2440</v>
      </c>
      <c r="P33" s="80" t="s">
        <v>2441</v>
      </c>
      <c r="Q33" s="274">
        <v>11162200</v>
      </c>
      <c r="R33" s="46"/>
      <c r="S33" s="228">
        <v>85</v>
      </c>
      <c r="T33" s="79" t="s">
        <v>2796</v>
      </c>
      <c r="U33" s="659">
        <v>11162200</v>
      </c>
      <c r="V33" s="228">
        <v>514</v>
      </c>
      <c r="W33" s="79" t="s">
        <v>2794</v>
      </c>
      <c r="X33" s="274">
        <v>11162200</v>
      </c>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row>
    <row r="34" spans="1:129" s="50" customFormat="1" ht="15" x14ac:dyDescent="0.25">
      <c r="A34" s="693"/>
      <c r="B34" s="767"/>
      <c r="C34" s="690"/>
      <c r="D34" s="410"/>
      <c r="E34" s="440"/>
      <c r="F34" s="418"/>
      <c r="G34" s="423"/>
      <c r="H34" s="410"/>
      <c r="I34" s="233"/>
      <c r="J34" s="418"/>
      <c r="K34" s="410"/>
      <c r="L34" s="427"/>
      <c r="M34" s="743"/>
      <c r="N34" s="80"/>
      <c r="O34" s="459"/>
      <c r="P34" s="80"/>
      <c r="Q34" s="274"/>
      <c r="R34" s="46"/>
      <c r="S34" s="330"/>
      <c r="T34" s="79"/>
      <c r="U34" s="274"/>
      <c r="V34" s="585"/>
      <c r="W34" s="273"/>
      <c r="X34" s="274"/>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row>
    <row r="35" spans="1:129" s="50" customFormat="1" ht="40.5" x14ac:dyDescent="0.25">
      <c r="A35" s="693"/>
      <c r="B35" s="767"/>
      <c r="C35" s="690"/>
      <c r="D35" s="197" t="s">
        <v>1257</v>
      </c>
      <c r="E35" s="192" t="s">
        <v>1235</v>
      </c>
      <c r="F35" s="198"/>
      <c r="G35" s="292">
        <v>3955500</v>
      </c>
      <c r="H35" s="197"/>
      <c r="I35" s="233"/>
      <c r="J35" s="197"/>
      <c r="K35" s="197"/>
      <c r="L35" s="199">
        <f t="shared" si="0"/>
        <v>3955500</v>
      </c>
      <c r="M35" s="743"/>
      <c r="N35" s="80" t="s">
        <v>2439</v>
      </c>
      <c r="O35" s="459" t="s">
        <v>2445</v>
      </c>
      <c r="P35" s="80" t="s">
        <v>2446</v>
      </c>
      <c r="Q35" s="528">
        <v>1975400</v>
      </c>
      <c r="R35" s="46"/>
      <c r="S35" s="228"/>
      <c r="T35" s="79"/>
      <c r="U35" s="274"/>
      <c r="V35" s="228"/>
      <c r="W35" s="79"/>
      <c r="X35" s="228"/>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row>
    <row r="36" spans="1:129" s="50" customFormat="1" ht="15" x14ac:dyDescent="0.25">
      <c r="A36" s="693"/>
      <c r="B36" s="767"/>
      <c r="C36" s="690"/>
      <c r="D36" s="602"/>
      <c r="E36" s="606"/>
      <c r="F36" s="604"/>
      <c r="G36" s="603"/>
      <c r="H36" s="602"/>
      <c r="I36" s="233"/>
      <c r="J36" s="602"/>
      <c r="K36" s="602"/>
      <c r="L36" s="605"/>
      <c r="M36" s="743"/>
      <c r="N36" s="80" t="s">
        <v>2442</v>
      </c>
      <c r="O36" s="459" t="s">
        <v>2443</v>
      </c>
      <c r="P36" s="80" t="s">
        <v>2444</v>
      </c>
      <c r="Q36" s="274">
        <v>1904000</v>
      </c>
      <c r="R36" s="46"/>
      <c r="S36" s="330">
        <v>85</v>
      </c>
      <c r="T36" s="79" t="s">
        <v>2796</v>
      </c>
      <c r="U36" s="659">
        <v>1904000</v>
      </c>
      <c r="V36" s="607">
        <v>514</v>
      </c>
      <c r="W36" s="273" t="s">
        <v>2794</v>
      </c>
      <c r="X36" s="274">
        <v>1904000</v>
      </c>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row>
    <row r="37" spans="1:129" s="50" customFormat="1" ht="40.5" x14ac:dyDescent="0.25">
      <c r="A37" s="693"/>
      <c r="B37" s="767"/>
      <c r="C37" s="690"/>
      <c r="D37" s="197" t="s">
        <v>1258</v>
      </c>
      <c r="E37" s="192" t="s">
        <v>1236</v>
      </c>
      <c r="F37" s="198"/>
      <c r="G37" s="292">
        <v>16140000</v>
      </c>
      <c r="H37" s="197"/>
      <c r="I37" s="233"/>
      <c r="J37" s="197"/>
      <c r="K37" s="197"/>
      <c r="L37" s="199">
        <f t="shared" si="0"/>
        <v>16140000</v>
      </c>
      <c r="M37" s="743"/>
      <c r="N37" s="443"/>
      <c r="O37" s="200"/>
      <c r="P37" s="443"/>
      <c r="Q37" s="274"/>
      <c r="R37" s="46"/>
      <c r="S37" s="228"/>
      <c r="T37" s="79"/>
      <c r="U37" s="274"/>
      <c r="V37" s="585"/>
      <c r="W37" s="273"/>
      <c r="X37" s="228"/>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row>
    <row r="38" spans="1:129" s="50" customFormat="1" ht="40.5" x14ac:dyDescent="0.25">
      <c r="A38" s="693"/>
      <c r="B38" s="767"/>
      <c r="C38" s="690"/>
      <c r="D38" s="197" t="s">
        <v>1259</v>
      </c>
      <c r="E38" s="192" t="s">
        <v>1237</v>
      </c>
      <c r="F38" s="198"/>
      <c r="G38" s="292">
        <v>7448179</v>
      </c>
      <c r="H38" s="197"/>
      <c r="I38" s="233"/>
      <c r="J38" s="334">
        <v>1190430</v>
      </c>
      <c r="K38" s="197"/>
      <c r="L38" s="199">
        <f t="shared" si="0"/>
        <v>8638609</v>
      </c>
      <c r="M38" s="743"/>
      <c r="N38" s="80" t="s">
        <v>2447</v>
      </c>
      <c r="O38" s="459" t="s">
        <v>2448</v>
      </c>
      <c r="P38" s="80" t="s">
        <v>2449</v>
      </c>
      <c r="Q38" s="274">
        <v>8604000</v>
      </c>
      <c r="R38" s="46"/>
      <c r="S38" s="585">
        <v>96</v>
      </c>
      <c r="T38" s="273" t="s">
        <v>2795</v>
      </c>
      <c r="U38" s="659">
        <v>8604000</v>
      </c>
      <c r="V38" s="228">
        <v>511</v>
      </c>
      <c r="W38" s="79" t="s">
        <v>2794</v>
      </c>
      <c r="X38" s="274">
        <v>8604000</v>
      </c>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row>
    <row r="39" spans="1:129" s="50" customFormat="1" ht="54" x14ac:dyDescent="0.25">
      <c r="A39" s="693"/>
      <c r="B39" s="767"/>
      <c r="C39" s="690"/>
      <c r="D39" s="197" t="s">
        <v>1260</v>
      </c>
      <c r="E39" s="192" t="s">
        <v>1238</v>
      </c>
      <c r="F39" s="198"/>
      <c r="G39" s="292">
        <v>75931022</v>
      </c>
      <c r="H39" s="197"/>
      <c r="I39" s="233"/>
      <c r="J39" s="197"/>
      <c r="K39" s="334">
        <v>41310107</v>
      </c>
      <c r="L39" s="199">
        <f t="shared" si="0"/>
        <v>34620915</v>
      </c>
      <c r="M39" s="743"/>
      <c r="N39" s="80" t="s">
        <v>2430</v>
      </c>
      <c r="O39" s="459" t="s">
        <v>2431</v>
      </c>
      <c r="P39" s="80" t="s">
        <v>2432</v>
      </c>
      <c r="Q39" s="274">
        <v>10544590</v>
      </c>
      <c r="R39" s="46"/>
      <c r="S39" s="585">
        <v>93</v>
      </c>
      <c r="T39" s="273" t="s">
        <v>2795</v>
      </c>
      <c r="U39" s="659">
        <v>10544590</v>
      </c>
      <c r="V39" s="585">
        <v>513</v>
      </c>
      <c r="W39" s="273" t="s">
        <v>2794</v>
      </c>
      <c r="X39" s="274">
        <v>10544590</v>
      </c>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row>
    <row r="40" spans="1:129" s="50" customFormat="1" ht="15" x14ac:dyDescent="0.25">
      <c r="A40" s="693"/>
      <c r="B40" s="767"/>
      <c r="C40" s="690"/>
      <c r="D40" s="410"/>
      <c r="E40" s="440"/>
      <c r="F40" s="418"/>
      <c r="G40" s="423"/>
      <c r="H40" s="410"/>
      <c r="I40" s="233"/>
      <c r="J40" s="410"/>
      <c r="K40" s="418"/>
      <c r="L40" s="427"/>
      <c r="M40" s="743"/>
      <c r="N40" s="80" t="s">
        <v>2433</v>
      </c>
      <c r="O40" s="459" t="s">
        <v>2434</v>
      </c>
      <c r="P40" s="80" t="s">
        <v>2435</v>
      </c>
      <c r="Q40" s="274">
        <v>20860700</v>
      </c>
      <c r="R40" s="46"/>
      <c r="S40" s="585">
        <v>92</v>
      </c>
      <c r="T40" s="273" t="s">
        <v>2795</v>
      </c>
      <c r="U40" s="659">
        <v>20860700</v>
      </c>
      <c r="V40" s="585">
        <v>510</v>
      </c>
      <c r="W40" s="273" t="s">
        <v>2794</v>
      </c>
      <c r="X40" s="274">
        <v>20860700</v>
      </c>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row>
    <row r="41" spans="1:129" s="50" customFormat="1" ht="54" x14ac:dyDescent="0.25">
      <c r="A41" s="693"/>
      <c r="B41" s="767"/>
      <c r="C41" s="690"/>
      <c r="D41" s="197" t="s">
        <v>1261</v>
      </c>
      <c r="E41" s="192" t="s">
        <v>1239</v>
      </c>
      <c r="F41" s="198"/>
      <c r="G41" s="292">
        <v>24434077</v>
      </c>
      <c r="H41" s="197"/>
      <c r="I41" s="233"/>
      <c r="J41" s="197"/>
      <c r="K41" s="197"/>
      <c r="L41" s="199">
        <f t="shared" si="0"/>
        <v>24434077</v>
      </c>
      <c r="M41" s="743"/>
      <c r="N41" s="80" t="s">
        <v>2427</v>
      </c>
      <c r="O41" s="459" t="s">
        <v>2428</v>
      </c>
      <c r="P41" s="80" t="s">
        <v>2429</v>
      </c>
      <c r="Q41" s="274">
        <v>8487720</v>
      </c>
      <c r="R41" s="46"/>
      <c r="S41" s="585">
        <v>94</v>
      </c>
      <c r="T41" s="273" t="s">
        <v>2795</v>
      </c>
      <c r="U41" s="659">
        <v>8487720</v>
      </c>
      <c r="V41" s="585">
        <v>512</v>
      </c>
      <c r="W41" s="273" t="s">
        <v>2794</v>
      </c>
      <c r="X41" s="274">
        <v>8487720</v>
      </c>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row>
    <row r="42" spans="1:129" s="50" customFormat="1" ht="40.5" x14ac:dyDescent="0.25">
      <c r="A42" s="693"/>
      <c r="B42" s="767"/>
      <c r="C42" s="690"/>
      <c r="D42" s="197" t="s">
        <v>1262</v>
      </c>
      <c r="E42" s="192" t="s">
        <v>1240</v>
      </c>
      <c r="F42" s="198"/>
      <c r="G42" s="292">
        <v>6565000</v>
      </c>
      <c r="H42" s="197"/>
      <c r="I42" s="233"/>
      <c r="J42" s="334">
        <v>7965000</v>
      </c>
      <c r="K42" s="197"/>
      <c r="L42" s="199">
        <f t="shared" si="0"/>
        <v>14530000</v>
      </c>
      <c r="M42" s="743"/>
      <c r="N42" s="443"/>
      <c r="O42" s="200"/>
      <c r="P42" s="443"/>
      <c r="Q42" s="274"/>
      <c r="R42" s="46"/>
      <c r="S42" s="228"/>
      <c r="T42" s="79"/>
      <c r="U42" s="274"/>
      <c r="V42" s="228"/>
      <c r="W42" s="79"/>
      <c r="X42" s="228"/>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row>
    <row r="43" spans="1:129" s="50" customFormat="1" ht="67.5" x14ac:dyDescent="0.25">
      <c r="A43" s="693"/>
      <c r="B43" s="767"/>
      <c r="C43" s="690"/>
      <c r="D43" s="197" t="s">
        <v>1263</v>
      </c>
      <c r="E43" s="192" t="s">
        <v>1241</v>
      </c>
      <c r="F43" s="198"/>
      <c r="G43" s="292">
        <v>15014676</v>
      </c>
      <c r="H43" s="197"/>
      <c r="I43" s="233"/>
      <c r="J43" s="197"/>
      <c r="K43" s="197"/>
      <c r="L43" s="199">
        <f t="shared" si="0"/>
        <v>15014676</v>
      </c>
      <c r="M43" s="743"/>
      <c r="N43" s="443"/>
      <c r="O43" s="200"/>
      <c r="P43" s="443"/>
      <c r="Q43" s="274"/>
      <c r="R43" s="46"/>
      <c r="S43" s="228"/>
      <c r="T43" s="79"/>
      <c r="U43" s="274"/>
      <c r="V43" s="228"/>
      <c r="W43" s="79"/>
      <c r="X43" s="228"/>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row>
    <row r="44" spans="1:129" s="50" customFormat="1" ht="54" x14ac:dyDescent="0.25">
      <c r="A44" s="693"/>
      <c r="B44" s="767"/>
      <c r="C44" s="690"/>
      <c r="D44" s="197" t="s">
        <v>1264</v>
      </c>
      <c r="E44" s="192" t="s">
        <v>1242</v>
      </c>
      <c r="F44" s="198"/>
      <c r="G44" s="292">
        <v>250000</v>
      </c>
      <c r="H44" s="197"/>
      <c r="I44" s="233"/>
      <c r="J44" s="197"/>
      <c r="K44" s="197"/>
      <c r="L44" s="199">
        <f t="shared" si="0"/>
        <v>250000</v>
      </c>
      <c r="M44" s="743"/>
      <c r="N44" s="443"/>
      <c r="O44" s="200"/>
      <c r="P44" s="443"/>
      <c r="Q44" s="274"/>
      <c r="R44" s="46"/>
      <c r="S44" s="228"/>
      <c r="T44" s="79"/>
      <c r="U44" s="228"/>
      <c r="V44" s="228"/>
      <c r="W44" s="79"/>
      <c r="X44" s="228"/>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row>
    <row r="45" spans="1:129" s="50" customFormat="1" ht="81" x14ac:dyDescent="0.25">
      <c r="A45" s="694"/>
      <c r="B45" s="768"/>
      <c r="C45" s="691"/>
      <c r="D45" s="197" t="s">
        <v>1267</v>
      </c>
      <c r="E45" s="192" t="s">
        <v>1266</v>
      </c>
      <c r="F45" s="198"/>
      <c r="G45" s="198"/>
      <c r="H45" s="197"/>
      <c r="I45" s="287">
        <v>6959909</v>
      </c>
      <c r="J45" s="197"/>
      <c r="K45" s="197"/>
      <c r="L45" s="199">
        <f t="shared" si="0"/>
        <v>6959909</v>
      </c>
      <c r="M45" s="744"/>
      <c r="N45" s="80" t="s">
        <v>2455</v>
      </c>
      <c r="O45" s="459" t="s">
        <v>2456</v>
      </c>
      <c r="P45" s="80" t="s">
        <v>2457</v>
      </c>
      <c r="Q45" s="274">
        <v>4764627</v>
      </c>
      <c r="R45" s="46"/>
      <c r="S45" s="228">
        <v>99</v>
      </c>
      <c r="T45" s="79" t="s">
        <v>2795</v>
      </c>
      <c r="U45" s="659">
        <v>4764627</v>
      </c>
      <c r="V45" s="585">
        <v>515</v>
      </c>
      <c r="W45" s="273" t="s">
        <v>2794</v>
      </c>
      <c r="X45" s="274">
        <v>4764627</v>
      </c>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row>
    <row r="46" spans="1:129" s="107" customFormat="1" ht="15" x14ac:dyDescent="0.25">
      <c r="A46" s="92"/>
      <c r="B46" s="92"/>
      <c r="C46" s="92"/>
      <c r="D46" s="92"/>
      <c r="E46" s="104"/>
      <c r="F46" s="101"/>
      <c r="G46" s="146"/>
      <c r="H46" s="92"/>
      <c r="I46" s="239"/>
      <c r="J46" s="92"/>
      <c r="K46" s="92"/>
      <c r="L46" s="102">
        <f>SUM(L12:L45)</f>
        <v>276433483</v>
      </c>
      <c r="M46" s="101"/>
      <c r="N46" s="105"/>
      <c r="O46" s="86"/>
      <c r="P46" s="95"/>
      <c r="Q46" s="103">
        <f>SUM(Q12:Q45)</f>
        <v>153060653</v>
      </c>
      <c r="R46" s="89"/>
      <c r="S46" s="86"/>
      <c r="T46" s="95"/>
      <c r="U46" s="103">
        <f>SUM(U12:U45)</f>
        <v>143206263</v>
      </c>
      <c r="V46" s="86"/>
      <c r="W46" s="95"/>
      <c r="X46" s="103">
        <f>SUM(X12:X45)</f>
        <v>143206263</v>
      </c>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row>
    <row r="47" spans="1:129" s="50" customFormat="1" ht="135" x14ac:dyDescent="0.25">
      <c r="A47" s="692" t="s">
        <v>947</v>
      </c>
      <c r="B47" s="807" t="s">
        <v>198</v>
      </c>
      <c r="C47" s="689" t="s">
        <v>80</v>
      </c>
      <c r="D47" s="44" t="s">
        <v>1015</v>
      </c>
      <c r="E47" s="8" t="s">
        <v>199</v>
      </c>
      <c r="F47" s="289">
        <v>27764998</v>
      </c>
      <c r="G47" s="66"/>
      <c r="H47" s="44"/>
      <c r="I47" s="232"/>
      <c r="J47" s="44"/>
      <c r="K47" s="44"/>
      <c r="L47" s="65">
        <f t="shared" ref="L47:L49" si="1">+F47+G47+H47+I47+J47-K47</f>
        <v>27764998</v>
      </c>
      <c r="M47" s="742">
        <f>86495291+30000000</f>
        <v>116495291</v>
      </c>
      <c r="N47" s="80" t="s">
        <v>2501</v>
      </c>
      <c r="O47" s="459" t="s">
        <v>2502</v>
      </c>
      <c r="P47" s="80" t="s">
        <v>2503</v>
      </c>
      <c r="Q47" s="274">
        <v>27691300</v>
      </c>
      <c r="R47" s="46"/>
      <c r="S47" s="228">
        <v>84</v>
      </c>
      <c r="T47" s="79" t="s">
        <v>2770</v>
      </c>
      <c r="U47" s="659">
        <v>27691300</v>
      </c>
      <c r="V47" s="585">
        <v>528</v>
      </c>
      <c r="W47" s="273" t="s">
        <v>2832</v>
      </c>
      <c r="X47" s="274">
        <v>27691300</v>
      </c>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row>
    <row r="48" spans="1:129" s="50" customFormat="1" ht="121.5" x14ac:dyDescent="0.25">
      <c r="A48" s="693"/>
      <c r="B48" s="809"/>
      <c r="C48" s="690"/>
      <c r="D48" s="44" t="s">
        <v>1016</v>
      </c>
      <c r="E48" s="8" t="s">
        <v>200</v>
      </c>
      <c r="F48" s="289">
        <v>6518673</v>
      </c>
      <c r="G48" s="66"/>
      <c r="H48" s="44"/>
      <c r="I48" s="232"/>
      <c r="J48" s="44"/>
      <c r="K48" s="44"/>
      <c r="L48" s="65">
        <f t="shared" si="1"/>
        <v>6518673</v>
      </c>
      <c r="M48" s="743"/>
      <c r="N48" s="44"/>
      <c r="O48" s="44"/>
      <c r="P48" s="44"/>
      <c r="Q48" s="44"/>
      <c r="R48" s="46"/>
      <c r="S48" s="228"/>
      <c r="T48" s="79"/>
      <c r="U48" s="228"/>
      <c r="V48" s="228"/>
      <c r="W48" s="79"/>
      <c r="X48" s="228"/>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row>
    <row r="49" spans="1:129" s="50" customFormat="1" ht="121.5" x14ac:dyDescent="0.25">
      <c r="A49" s="694"/>
      <c r="B49" s="808"/>
      <c r="C49" s="691"/>
      <c r="D49" s="44" t="s">
        <v>1020</v>
      </c>
      <c r="E49" s="8" t="s">
        <v>201</v>
      </c>
      <c r="F49" s="289">
        <v>52211620</v>
      </c>
      <c r="G49" s="289">
        <v>19560136</v>
      </c>
      <c r="H49" s="44"/>
      <c r="I49" s="290">
        <v>10439864</v>
      </c>
      <c r="J49" s="44"/>
      <c r="K49" s="44"/>
      <c r="L49" s="65">
        <f t="shared" si="1"/>
        <v>82211620</v>
      </c>
      <c r="M49" s="744"/>
      <c r="N49" s="80" t="s">
        <v>2498</v>
      </c>
      <c r="O49" s="459" t="s">
        <v>2499</v>
      </c>
      <c r="P49" s="80" t="s">
        <v>2500</v>
      </c>
      <c r="Q49" s="274">
        <v>65762857</v>
      </c>
      <c r="R49" s="46"/>
      <c r="S49" s="228">
        <v>110</v>
      </c>
      <c r="T49" s="79" t="s">
        <v>2791</v>
      </c>
      <c r="U49" s="659">
        <v>65762857</v>
      </c>
      <c r="V49" s="585">
        <v>526</v>
      </c>
      <c r="W49" s="273" t="s">
        <v>2832</v>
      </c>
      <c r="X49" s="274">
        <v>65762857</v>
      </c>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row>
    <row r="50" spans="1:129" s="107" customFormat="1" ht="15" x14ac:dyDescent="0.25">
      <c r="A50" s="92"/>
      <c r="B50" s="92"/>
      <c r="C50" s="92"/>
      <c r="D50" s="92"/>
      <c r="E50" s="104"/>
      <c r="F50" s="101"/>
      <c r="G50" s="146"/>
      <c r="H50" s="92"/>
      <c r="I50" s="239"/>
      <c r="J50" s="92"/>
      <c r="K50" s="92"/>
      <c r="L50" s="102">
        <f>SUM(L47:L49)</f>
        <v>116495291</v>
      </c>
      <c r="M50" s="101"/>
      <c r="N50" s="105"/>
      <c r="O50" s="86"/>
      <c r="P50" s="95"/>
      <c r="Q50" s="103">
        <f>SUM(Q47:Q49)</f>
        <v>93454157</v>
      </c>
      <c r="R50" s="89"/>
      <c r="S50" s="86"/>
      <c r="T50" s="95"/>
      <c r="U50" s="103">
        <f>SUM(U47:U49)</f>
        <v>93454157</v>
      </c>
      <c r="V50" s="86"/>
      <c r="W50" s="95"/>
      <c r="X50" s="103">
        <f>SUM(X47:X49)</f>
        <v>93454157</v>
      </c>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row>
    <row r="51" spans="1:129" s="50" customFormat="1" ht="67.5" x14ac:dyDescent="0.25">
      <c r="A51" s="44" t="s">
        <v>967</v>
      </c>
      <c r="B51" s="508" t="s">
        <v>202</v>
      </c>
      <c r="C51" s="38" t="s">
        <v>80</v>
      </c>
      <c r="D51" s="163" t="s">
        <v>1018</v>
      </c>
      <c r="E51" s="8" t="s">
        <v>205</v>
      </c>
      <c r="F51" s="289">
        <v>86495292</v>
      </c>
      <c r="G51" s="66"/>
      <c r="H51" s="44"/>
      <c r="I51" s="290">
        <v>11058965</v>
      </c>
      <c r="J51" s="44"/>
      <c r="K51" s="44"/>
      <c r="L51" s="66">
        <f>+F51+G51+H51+I51+J51-K51</f>
        <v>97554257</v>
      </c>
      <c r="M51" s="296">
        <f>86495292+11058965</f>
        <v>97554257</v>
      </c>
      <c r="N51" s="80" t="s">
        <v>1770</v>
      </c>
      <c r="O51" s="457">
        <v>555</v>
      </c>
      <c r="P51" s="80" t="s">
        <v>1769</v>
      </c>
      <c r="Q51" s="345">
        <v>97507410</v>
      </c>
      <c r="R51" s="46"/>
      <c r="S51" s="585">
        <v>44</v>
      </c>
      <c r="T51" s="273">
        <v>44795</v>
      </c>
      <c r="U51" s="660">
        <v>97507410</v>
      </c>
      <c r="V51" s="585">
        <v>379</v>
      </c>
      <c r="W51" s="273">
        <v>44826</v>
      </c>
      <c r="X51" s="274">
        <v>97507410</v>
      </c>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row>
    <row r="52" spans="1:129" s="107" customFormat="1" ht="15" x14ac:dyDescent="0.25">
      <c r="A52" s="92"/>
      <c r="B52" s="92"/>
      <c r="C52" s="92"/>
      <c r="D52" s="92"/>
      <c r="E52" s="104"/>
      <c r="F52" s="101"/>
      <c r="G52" s="146"/>
      <c r="H52" s="92"/>
      <c r="I52" s="239"/>
      <c r="J52" s="92"/>
      <c r="K52" s="92"/>
      <c r="L52" s="102">
        <f>+L51</f>
        <v>97554257</v>
      </c>
      <c r="M52" s="101"/>
      <c r="N52" s="105"/>
      <c r="O52" s="86"/>
      <c r="P52" s="95"/>
      <c r="Q52" s="103">
        <f>+Q51</f>
        <v>97507410</v>
      </c>
      <c r="R52" s="89"/>
      <c r="S52" s="86"/>
      <c r="T52" s="95"/>
      <c r="U52" s="103">
        <f>+U51</f>
        <v>97507410</v>
      </c>
      <c r="V52" s="86"/>
      <c r="W52" s="95"/>
      <c r="X52" s="103">
        <f>+X51</f>
        <v>97507410</v>
      </c>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row>
    <row r="53" spans="1:129" s="50" customFormat="1" ht="67.5" x14ac:dyDescent="0.25">
      <c r="A53" s="44" t="s">
        <v>968</v>
      </c>
      <c r="B53" s="807" t="s">
        <v>203</v>
      </c>
      <c r="C53" s="38" t="s">
        <v>80</v>
      </c>
      <c r="D53" s="44" t="s">
        <v>1023</v>
      </c>
      <c r="E53" s="8" t="s">
        <v>206</v>
      </c>
      <c r="F53" s="289">
        <v>14415882</v>
      </c>
      <c r="G53" s="289">
        <v>925300</v>
      </c>
      <c r="H53" s="44"/>
      <c r="I53" s="290">
        <v>1739977</v>
      </c>
      <c r="J53" s="44"/>
      <c r="K53" s="44"/>
      <c r="L53" s="66">
        <f>+F53+G53+H53+I53+J53-K53</f>
        <v>17081159</v>
      </c>
      <c r="M53" s="296">
        <f>14415882+2665277</f>
        <v>17081159</v>
      </c>
      <c r="N53" s="78" t="s">
        <v>1662</v>
      </c>
      <c r="O53" s="457">
        <v>396</v>
      </c>
      <c r="P53" s="80" t="s">
        <v>1663</v>
      </c>
      <c r="Q53" s="345">
        <v>4368000</v>
      </c>
      <c r="R53" s="46"/>
      <c r="S53" s="228">
        <v>38</v>
      </c>
      <c r="T53" s="79">
        <v>44754</v>
      </c>
      <c r="U53" s="660">
        <v>4368000</v>
      </c>
      <c r="V53" s="585">
        <v>426</v>
      </c>
      <c r="W53" s="273" t="s">
        <v>2792</v>
      </c>
      <c r="X53" s="345">
        <v>4368000</v>
      </c>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row>
    <row r="54" spans="1:129" s="50" customFormat="1" ht="15" x14ac:dyDescent="0.25">
      <c r="A54" s="410"/>
      <c r="B54" s="808"/>
      <c r="C54" s="415"/>
      <c r="D54" s="410"/>
      <c r="E54" s="440"/>
      <c r="F54" s="423"/>
      <c r="G54" s="423"/>
      <c r="H54" s="410"/>
      <c r="I54" s="287"/>
      <c r="J54" s="410"/>
      <c r="K54" s="410"/>
      <c r="L54" s="418"/>
      <c r="M54" s="429"/>
      <c r="N54" s="78" t="s">
        <v>1662</v>
      </c>
      <c r="O54" s="457" t="s">
        <v>2512</v>
      </c>
      <c r="P54" s="80" t="s">
        <v>2513</v>
      </c>
      <c r="Q54" s="345">
        <v>12506000</v>
      </c>
      <c r="R54" s="46"/>
      <c r="S54" s="330">
        <v>102</v>
      </c>
      <c r="T54" s="79" t="s">
        <v>2772</v>
      </c>
      <c r="U54" s="660">
        <v>12506000</v>
      </c>
      <c r="V54" s="585">
        <v>524</v>
      </c>
      <c r="W54" s="273" t="s">
        <v>2832</v>
      </c>
      <c r="X54" s="345">
        <v>12506000</v>
      </c>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row>
    <row r="55" spans="1:129" s="107" customFormat="1" ht="15" x14ac:dyDescent="0.25">
      <c r="A55" s="92"/>
      <c r="B55" s="92"/>
      <c r="C55" s="92"/>
      <c r="D55" s="92"/>
      <c r="E55" s="104"/>
      <c r="F55" s="101"/>
      <c r="G55" s="146"/>
      <c r="H55" s="92"/>
      <c r="I55" s="239"/>
      <c r="J55" s="92"/>
      <c r="K55" s="92"/>
      <c r="L55" s="102">
        <f>+L53</f>
        <v>17081159</v>
      </c>
      <c r="M55" s="101"/>
      <c r="N55" s="105"/>
      <c r="O55" s="86"/>
      <c r="P55" s="95"/>
      <c r="Q55" s="103">
        <f>+Q53+Q54</f>
        <v>16874000</v>
      </c>
      <c r="R55" s="89"/>
      <c r="S55" s="86"/>
      <c r="T55" s="95"/>
      <c r="U55" s="103">
        <f>SUM(U53:U54)</f>
        <v>16874000</v>
      </c>
      <c r="V55" s="86"/>
      <c r="W55" s="95"/>
      <c r="X55" s="103">
        <f>SUM(X53:X54)</f>
        <v>16874000</v>
      </c>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row>
    <row r="56" spans="1:129" s="50" customFormat="1" ht="67.5" x14ac:dyDescent="0.25">
      <c r="A56" s="44" t="s">
        <v>969</v>
      </c>
      <c r="B56" s="807" t="s">
        <v>204</v>
      </c>
      <c r="C56" s="38" t="s">
        <v>80</v>
      </c>
      <c r="D56" s="165" t="s">
        <v>1014</v>
      </c>
      <c r="E56" s="8" t="s">
        <v>207</v>
      </c>
      <c r="F56" s="289">
        <v>14415882</v>
      </c>
      <c r="G56" s="289">
        <v>10804332</v>
      </c>
      <c r="H56" s="44"/>
      <c r="I56" s="290">
        <v>1739977</v>
      </c>
      <c r="J56" s="44"/>
      <c r="K56" s="44"/>
      <c r="L56" s="66">
        <f>+F56+G56+H56+I56+J56-K56</f>
        <v>26960191</v>
      </c>
      <c r="M56" s="296">
        <f>14415882+12544309</f>
        <v>26960191</v>
      </c>
      <c r="N56" s="80" t="s">
        <v>1781</v>
      </c>
      <c r="O56" s="457">
        <v>576</v>
      </c>
      <c r="P56" s="80" t="s">
        <v>1782</v>
      </c>
      <c r="Q56" s="345">
        <v>20991600</v>
      </c>
      <c r="R56" s="46"/>
      <c r="S56" s="228">
        <v>47</v>
      </c>
      <c r="T56" s="79">
        <v>44813</v>
      </c>
      <c r="U56" s="660">
        <v>20991600</v>
      </c>
      <c r="V56" s="585">
        <v>434</v>
      </c>
      <c r="W56" s="273" t="s">
        <v>2802</v>
      </c>
      <c r="X56" s="345">
        <v>20991600</v>
      </c>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row>
    <row r="57" spans="1:129" s="50" customFormat="1" ht="15" x14ac:dyDescent="0.25">
      <c r="A57" s="410"/>
      <c r="B57" s="808"/>
      <c r="C57" s="415"/>
      <c r="D57" s="410"/>
      <c r="E57" s="440"/>
      <c r="F57" s="423"/>
      <c r="G57" s="423"/>
      <c r="H57" s="410"/>
      <c r="I57" s="287"/>
      <c r="J57" s="410"/>
      <c r="K57" s="410"/>
      <c r="L57" s="418"/>
      <c r="M57" s="429"/>
      <c r="N57" s="80" t="s">
        <v>2504</v>
      </c>
      <c r="O57" s="457" t="s">
        <v>2505</v>
      </c>
      <c r="P57" s="80" t="s">
        <v>2506</v>
      </c>
      <c r="Q57" s="345">
        <v>5831000</v>
      </c>
      <c r="R57" s="46"/>
      <c r="S57" s="330">
        <v>116</v>
      </c>
      <c r="T57" s="79" t="s">
        <v>2799</v>
      </c>
      <c r="U57" s="660">
        <v>5831000</v>
      </c>
      <c r="V57" s="585">
        <v>523</v>
      </c>
      <c r="W57" s="273" t="s">
        <v>2799</v>
      </c>
      <c r="X57" s="345">
        <v>5831000</v>
      </c>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row>
    <row r="58" spans="1:129" s="107" customFormat="1" ht="15" x14ac:dyDescent="0.25">
      <c r="A58" s="92"/>
      <c r="B58" s="92"/>
      <c r="C58" s="92"/>
      <c r="D58" s="92"/>
      <c r="E58" s="104"/>
      <c r="F58" s="101"/>
      <c r="G58" s="146"/>
      <c r="H58" s="92"/>
      <c r="I58" s="239"/>
      <c r="J58" s="92"/>
      <c r="K58" s="92"/>
      <c r="L58" s="102">
        <f>SUM(L56)</f>
        <v>26960191</v>
      </c>
      <c r="M58" s="101"/>
      <c r="N58" s="105"/>
      <c r="O58" s="86"/>
      <c r="P58" s="95"/>
      <c r="Q58" s="103">
        <f>SUM(Q56)</f>
        <v>20991600</v>
      </c>
      <c r="R58" s="89"/>
      <c r="S58" s="86"/>
      <c r="T58" s="95"/>
      <c r="U58" s="103">
        <f>SUM(U56:U57)</f>
        <v>26822600</v>
      </c>
      <c r="V58" s="86"/>
      <c r="W58" s="95"/>
      <c r="X58" s="103">
        <f>SUM(X56:X57)</f>
        <v>26822600</v>
      </c>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row>
    <row r="59" spans="1:129" s="112" customFormat="1" ht="54" x14ac:dyDescent="0.25">
      <c r="A59" s="183" t="s">
        <v>1096</v>
      </c>
      <c r="B59" s="502" t="s">
        <v>2511</v>
      </c>
      <c r="C59" s="38" t="s">
        <v>80</v>
      </c>
      <c r="D59" s="183" t="s">
        <v>1265</v>
      </c>
      <c r="E59" s="192" t="s">
        <v>1220</v>
      </c>
      <c r="F59" s="181"/>
      <c r="G59" s="292">
        <f>124621928-99964601</f>
        <v>24657327</v>
      </c>
      <c r="H59" s="183"/>
      <c r="I59" s="66"/>
      <c r="J59" s="200"/>
      <c r="K59" s="200"/>
      <c r="L59" s="65">
        <f>+F59+G59+H59+I59+J59-K59</f>
        <v>24657327</v>
      </c>
      <c r="M59" s="296">
        <v>24657327</v>
      </c>
      <c r="N59" s="78"/>
      <c r="O59" s="187"/>
      <c r="P59" s="81"/>
      <c r="Q59" s="274"/>
      <c r="R59" s="46"/>
      <c r="S59" s="187"/>
      <c r="T59" s="79"/>
      <c r="U59" s="191"/>
      <c r="V59" s="187"/>
      <c r="W59" s="79"/>
      <c r="X59" s="19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row>
    <row r="60" spans="1:129" s="107" customFormat="1" ht="15" x14ac:dyDescent="0.25">
      <c r="A60" s="92"/>
      <c r="B60" s="92"/>
      <c r="C60" s="92"/>
      <c r="D60" s="92"/>
      <c r="E60" s="104"/>
      <c r="F60" s="101"/>
      <c r="G60" s="146"/>
      <c r="H60" s="92"/>
      <c r="I60" s="239"/>
      <c r="J60" s="92"/>
      <c r="K60" s="92"/>
      <c r="L60" s="102">
        <f>SUM(L59)</f>
        <v>24657327</v>
      </c>
      <c r="M60" s="101"/>
      <c r="N60" s="105"/>
      <c r="O60" s="86"/>
      <c r="P60" s="95"/>
      <c r="Q60" s="103">
        <f>SUM(Q59)</f>
        <v>0</v>
      </c>
      <c r="R60" s="89"/>
      <c r="S60" s="86"/>
      <c r="T60" s="95"/>
      <c r="U60" s="103">
        <f>SUM(U59)</f>
        <v>0</v>
      </c>
      <c r="V60" s="86"/>
      <c r="W60" s="95"/>
      <c r="X60" s="103">
        <f>SUM(X59)</f>
        <v>0</v>
      </c>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row>
    <row r="61" spans="1:129" s="143" customFormat="1" ht="54" x14ac:dyDescent="0.25">
      <c r="A61" s="434"/>
      <c r="B61" s="510" t="s">
        <v>2507</v>
      </c>
      <c r="C61" s="443" t="s">
        <v>80</v>
      </c>
      <c r="D61" s="410" t="s">
        <v>1265</v>
      </c>
      <c r="E61" s="440" t="s">
        <v>1220</v>
      </c>
      <c r="F61" s="429"/>
      <c r="G61" s="147">
        <v>99964601</v>
      </c>
      <c r="H61" s="435"/>
      <c r="I61" s="234"/>
      <c r="J61" s="435"/>
      <c r="K61" s="435"/>
      <c r="L61" s="480">
        <f>+F61+G61+H61+I61+J61-K61</f>
        <v>99964601</v>
      </c>
      <c r="M61" s="428">
        <v>99964601</v>
      </c>
      <c r="N61" s="78" t="s">
        <v>2508</v>
      </c>
      <c r="O61" s="457" t="s">
        <v>2509</v>
      </c>
      <c r="P61" s="81" t="s">
        <v>2510</v>
      </c>
      <c r="Q61" s="274">
        <v>99964601</v>
      </c>
      <c r="R61" s="141"/>
      <c r="S61" s="148">
        <v>105</v>
      </c>
      <c r="T61" s="150" t="s">
        <v>2782</v>
      </c>
      <c r="U61" s="659">
        <v>99964601</v>
      </c>
      <c r="V61" s="151">
        <v>525</v>
      </c>
      <c r="W61" s="494" t="s">
        <v>2832</v>
      </c>
      <c r="X61" s="275">
        <v>99964601</v>
      </c>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row>
    <row r="62" spans="1:129" s="107" customFormat="1" ht="15" x14ac:dyDescent="0.25">
      <c r="A62" s="90"/>
      <c r="B62" s="90"/>
      <c r="C62" s="90"/>
      <c r="D62" s="92"/>
      <c r="E62" s="104"/>
      <c r="F62" s="101"/>
      <c r="G62" s="146"/>
      <c r="H62" s="92"/>
      <c r="I62" s="239"/>
      <c r="J62" s="92"/>
      <c r="K62" s="92"/>
      <c r="L62" s="102">
        <f>+L61</f>
        <v>99964601</v>
      </c>
      <c r="M62" s="94"/>
      <c r="N62" s="105"/>
      <c r="O62" s="86"/>
      <c r="P62" s="95"/>
      <c r="Q62" s="103">
        <f>+Q61</f>
        <v>99964601</v>
      </c>
      <c r="R62" s="89"/>
      <c r="S62" s="86"/>
      <c r="T62" s="95"/>
      <c r="U62" s="103">
        <f>+U61</f>
        <v>99964601</v>
      </c>
      <c r="V62" s="86"/>
      <c r="W62" s="95"/>
      <c r="X62" s="103">
        <f>+X61</f>
        <v>99964601</v>
      </c>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row>
    <row r="63" spans="1:129" s="112" customFormat="1" ht="81" x14ac:dyDescent="0.25">
      <c r="A63" s="692" t="s">
        <v>1127</v>
      </c>
      <c r="B63" s="766" t="s">
        <v>1126</v>
      </c>
      <c r="C63" s="689" t="s">
        <v>80</v>
      </c>
      <c r="D63" s="183" t="s">
        <v>1217</v>
      </c>
      <c r="E63" s="192" t="s">
        <v>1204</v>
      </c>
      <c r="F63" s="181"/>
      <c r="G63" s="198"/>
      <c r="H63" s="292">
        <v>1800000</v>
      </c>
      <c r="I63" s="66"/>
      <c r="J63" s="200"/>
      <c r="K63" s="200"/>
      <c r="L63" s="65">
        <f t="shared" ref="L63:L68" si="2">+F63+G63+H63+I63+J63-K63</f>
        <v>1800000</v>
      </c>
      <c r="M63" s="742">
        <v>185438200</v>
      </c>
      <c r="N63" s="78" t="s">
        <v>2517</v>
      </c>
      <c r="O63" s="459" t="s">
        <v>2518</v>
      </c>
      <c r="P63" s="81" t="s">
        <v>2519</v>
      </c>
      <c r="Q63" s="345">
        <v>1800000</v>
      </c>
      <c r="R63" s="46"/>
      <c r="S63" s="585">
        <v>80</v>
      </c>
      <c r="T63" s="273" t="s">
        <v>2800</v>
      </c>
      <c r="U63" s="659">
        <v>1800000</v>
      </c>
      <c r="V63" s="585">
        <v>477</v>
      </c>
      <c r="W63" s="273" t="s">
        <v>2805</v>
      </c>
      <c r="X63" s="274">
        <v>1800000</v>
      </c>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row>
    <row r="64" spans="1:129" s="112" customFormat="1" ht="15" x14ac:dyDescent="0.25">
      <c r="A64" s="693"/>
      <c r="B64" s="767"/>
      <c r="C64" s="690"/>
      <c r="D64" s="692" t="s">
        <v>1219</v>
      </c>
      <c r="E64" s="689" t="s">
        <v>1205</v>
      </c>
      <c r="F64" s="687"/>
      <c r="G64" s="728"/>
      <c r="H64" s="710">
        <v>183638200</v>
      </c>
      <c r="I64" s="728"/>
      <c r="J64" s="692"/>
      <c r="K64" s="692"/>
      <c r="L64" s="758">
        <f t="shared" si="2"/>
        <v>183638200</v>
      </c>
      <c r="M64" s="743"/>
      <c r="N64" s="78" t="s">
        <v>1631</v>
      </c>
      <c r="O64" s="457" t="s">
        <v>1637</v>
      </c>
      <c r="P64" s="81" t="s">
        <v>1634</v>
      </c>
      <c r="Q64" s="345">
        <v>70501200</v>
      </c>
      <c r="R64" s="46"/>
      <c r="S64" s="585">
        <v>39</v>
      </c>
      <c r="T64" s="273">
        <v>44760</v>
      </c>
      <c r="U64" s="659">
        <v>70501200</v>
      </c>
      <c r="V64" s="585">
        <v>330</v>
      </c>
      <c r="W64" s="273">
        <v>44776</v>
      </c>
      <c r="X64" s="274">
        <v>70501200</v>
      </c>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row>
    <row r="65" spans="1:129" s="112" customFormat="1" ht="15" x14ac:dyDescent="0.25">
      <c r="A65" s="693"/>
      <c r="B65" s="767"/>
      <c r="C65" s="690"/>
      <c r="D65" s="693"/>
      <c r="E65" s="690"/>
      <c r="F65" s="688"/>
      <c r="G65" s="735"/>
      <c r="H65" s="711"/>
      <c r="I65" s="735"/>
      <c r="J65" s="693"/>
      <c r="K65" s="693"/>
      <c r="L65" s="763"/>
      <c r="M65" s="743"/>
      <c r="N65" s="78" t="s">
        <v>1632</v>
      </c>
      <c r="O65" s="457" t="s">
        <v>1638</v>
      </c>
      <c r="P65" s="81" t="s">
        <v>1635</v>
      </c>
      <c r="Q65" s="345">
        <v>71532720</v>
      </c>
      <c r="R65" s="46"/>
      <c r="S65" s="585">
        <v>40</v>
      </c>
      <c r="T65" s="273">
        <v>44760</v>
      </c>
      <c r="U65" s="659">
        <v>71532720</v>
      </c>
      <c r="V65" s="585">
        <v>349</v>
      </c>
      <c r="W65" s="273">
        <v>44778</v>
      </c>
      <c r="X65" s="274">
        <v>71532720</v>
      </c>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row>
    <row r="66" spans="1:129" s="112" customFormat="1" ht="15" x14ac:dyDescent="0.25">
      <c r="A66" s="694"/>
      <c r="B66" s="768"/>
      <c r="C66" s="691"/>
      <c r="D66" s="694"/>
      <c r="E66" s="691"/>
      <c r="F66" s="698"/>
      <c r="G66" s="729"/>
      <c r="H66" s="712"/>
      <c r="I66" s="729"/>
      <c r="J66" s="694"/>
      <c r="K66" s="694"/>
      <c r="L66" s="759"/>
      <c r="M66" s="744"/>
      <c r="N66" s="78" t="s">
        <v>1633</v>
      </c>
      <c r="O66" s="457" t="s">
        <v>1639</v>
      </c>
      <c r="P66" s="81" t="s">
        <v>1636</v>
      </c>
      <c r="Q66" s="345">
        <v>41496000</v>
      </c>
      <c r="R66" s="46"/>
      <c r="S66" s="585">
        <v>41</v>
      </c>
      <c r="T66" s="273">
        <v>44760</v>
      </c>
      <c r="U66" s="659">
        <v>41496000</v>
      </c>
      <c r="V66" s="585">
        <v>350</v>
      </c>
      <c r="W66" s="273">
        <v>44778</v>
      </c>
      <c r="X66" s="274">
        <v>41496000</v>
      </c>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row>
    <row r="67" spans="1:129" s="107" customFormat="1" ht="15" x14ac:dyDescent="0.25">
      <c r="A67" s="92"/>
      <c r="B67" s="92"/>
      <c r="C67" s="92"/>
      <c r="D67" s="92"/>
      <c r="E67" s="104"/>
      <c r="F67" s="101"/>
      <c r="G67" s="146"/>
      <c r="H67" s="92"/>
      <c r="I67" s="239"/>
      <c r="J67" s="92"/>
      <c r="K67" s="92"/>
      <c r="L67" s="102">
        <f>SUM(L63:L64)</f>
        <v>185438200</v>
      </c>
      <c r="M67" s="101"/>
      <c r="N67" s="105"/>
      <c r="O67" s="86"/>
      <c r="P67" s="95"/>
      <c r="Q67" s="103">
        <f>SUM(Q63:Q66)</f>
        <v>185329920</v>
      </c>
      <c r="R67" s="89"/>
      <c r="S67" s="86"/>
      <c r="T67" s="95"/>
      <c r="U67" s="103">
        <f>SUM(U63:U66)</f>
        <v>185329920</v>
      </c>
      <c r="V67" s="86"/>
      <c r="W67" s="95"/>
      <c r="X67" s="103">
        <f>SUM(X63:X66)</f>
        <v>185329920</v>
      </c>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row>
    <row r="68" spans="1:129" s="112" customFormat="1" ht="81" x14ac:dyDescent="0.25">
      <c r="A68" s="183" t="s">
        <v>1129</v>
      </c>
      <c r="B68" s="511" t="s">
        <v>1128</v>
      </c>
      <c r="C68" s="38" t="s">
        <v>80</v>
      </c>
      <c r="D68" s="183" t="s">
        <v>1218</v>
      </c>
      <c r="E68" s="192" t="s">
        <v>1206</v>
      </c>
      <c r="F68" s="181"/>
      <c r="G68" s="198"/>
      <c r="H68" s="292">
        <v>6518443</v>
      </c>
      <c r="I68" s="66"/>
      <c r="J68" s="200"/>
      <c r="K68" s="200"/>
      <c r="L68" s="65">
        <f t="shared" si="2"/>
        <v>6518443</v>
      </c>
      <c r="M68" s="296">
        <v>6518443</v>
      </c>
      <c r="N68" s="78" t="s">
        <v>2514</v>
      </c>
      <c r="O68" s="459" t="s">
        <v>2515</v>
      </c>
      <c r="P68" s="81" t="s">
        <v>2516</v>
      </c>
      <c r="Q68" s="345">
        <v>6515000</v>
      </c>
      <c r="R68" s="46"/>
      <c r="S68" s="182">
        <v>80</v>
      </c>
      <c r="T68" s="47" t="s">
        <v>2800</v>
      </c>
      <c r="U68" s="660">
        <v>6515000</v>
      </c>
      <c r="V68" s="585">
        <v>477</v>
      </c>
      <c r="W68" s="273" t="s">
        <v>2805</v>
      </c>
      <c r="X68" s="345">
        <v>6515000</v>
      </c>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row>
    <row r="69" spans="1:129" s="107" customFormat="1" ht="15.75" thickBot="1" x14ac:dyDescent="0.3">
      <c r="A69" s="92"/>
      <c r="B69" s="92"/>
      <c r="C69" s="92"/>
      <c r="D69" s="92"/>
      <c r="E69" s="104"/>
      <c r="F69" s="101"/>
      <c r="G69" s="146"/>
      <c r="H69" s="92"/>
      <c r="I69" s="239"/>
      <c r="J69" s="92"/>
      <c r="K69" s="92"/>
      <c r="L69" s="102">
        <f>SUM(L68)</f>
        <v>6518443</v>
      </c>
      <c r="M69" s="101"/>
      <c r="N69" s="105"/>
      <c r="O69" s="86"/>
      <c r="P69" s="95"/>
      <c r="Q69" s="103">
        <f>SUM(Q68)</f>
        <v>6515000</v>
      </c>
      <c r="R69" s="89"/>
      <c r="S69" s="86"/>
      <c r="T69" s="95"/>
      <c r="U69" s="103">
        <f>SUM(U68)</f>
        <v>6515000</v>
      </c>
      <c r="V69" s="86"/>
      <c r="W69" s="95"/>
      <c r="X69" s="103">
        <f>SUM(X68)</f>
        <v>6515000</v>
      </c>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row>
    <row r="70" spans="1:129" s="63" customFormat="1" ht="17.25" thickBot="1" x14ac:dyDescent="0.35">
      <c r="A70" s="51"/>
      <c r="B70" s="51"/>
      <c r="C70" s="42"/>
      <c r="D70" s="42"/>
      <c r="E70" s="42"/>
      <c r="F70" s="52"/>
      <c r="G70" s="238"/>
      <c r="H70" s="42"/>
      <c r="I70" s="217"/>
      <c r="J70" s="53" t="s">
        <v>29</v>
      </c>
      <c r="K70" s="54"/>
      <c r="L70" s="55">
        <f>+L58+L55+L52+L50+L46+L11+L9+L60+L67+L69+L62</f>
        <v>884372648</v>
      </c>
      <c r="M70" s="166"/>
      <c r="N70" s="166"/>
      <c r="O70" s="166"/>
      <c r="P70" s="166"/>
      <c r="Q70" s="130">
        <f>+Q58+Q55+Q52+Q50+Q46+Q11+Q9+Q60+Q67+Q69+Q62</f>
        <v>704206204</v>
      </c>
      <c r="R70" s="57">
        <f>(Q70*1)/L70</f>
        <v>0.79627768406514532</v>
      </c>
      <c r="S70" s="58"/>
      <c r="T70" s="59"/>
      <c r="U70" s="173">
        <f>+U58+U55+U52+U50+U46+U11+U9+U60+U67+U69+U62</f>
        <v>700182814</v>
      </c>
      <c r="V70" s="58"/>
      <c r="W70" s="59"/>
      <c r="X70" s="172">
        <f>+X58+X55+X52+X50+X46+X11+X9+X60+X67+X69+X62</f>
        <v>700182814</v>
      </c>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row>
    <row r="71" spans="1:129" ht="15" x14ac:dyDescent="0.25"/>
    <row r="72" spans="1:129" ht="15" x14ac:dyDescent="0.25"/>
    <row r="73" spans="1:129" ht="15" x14ac:dyDescent="0.25"/>
    <row r="74" spans="1:129" ht="15" x14ac:dyDescent="0.25"/>
    <row r="75" spans="1:129" ht="15" x14ac:dyDescent="0.25"/>
    <row r="76" spans="1:129" ht="15" x14ac:dyDescent="0.25"/>
    <row r="77" spans="1:129" ht="15" x14ac:dyDescent="0.25"/>
    <row r="78" spans="1:129" ht="15" x14ac:dyDescent="0.25"/>
    <row r="79" spans="1:129" ht="15" x14ac:dyDescent="0.25"/>
    <row r="80" spans="1:129"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sheetData>
  <sheetProtection algorithmName="SHA-512" hashValue="+GtMQgJomCjRcXk9qiSd/tZIuTDCMaxRMe/JinUoAAfKr6z38Vxl4nVEzgfzrVWgtEnfxz4jkOQDLX/t/2GM/w==" saltValue="wfJCw44vavm/oCQEIeUXJw==" spinCount="100000" sheet="1" objects="1" scenarios="1" selectLockedCells="1" selectUnlockedCells="1"/>
  <mergeCells count="31">
    <mergeCell ref="J64:J66"/>
    <mergeCell ref="K64:K66"/>
    <mergeCell ref="L64:L66"/>
    <mergeCell ref="M63:M66"/>
    <mergeCell ref="A63:A66"/>
    <mergeCell ref="F64:F66"/>
    <mergeCell ref="G64:G66"/>
    <mergeCell ref="H64:H66"/>
    <mergeCell ref="I64:I66"/>
    <mergeCell ref="D64:D66"/>
    <mergeCell ref="E64:E66"/>
    <mergeCell ref="C63:C66"/>
    <mergeCell ref="B63:B66"/>
    <mergeCell ref="A2:A5"/>
    <mergeCell ref="B2:V2"/>
    <mergeCell ref="W2:X2"/>
    <mergeCell ref="B3:V3"/>
    <mergeCell ref="W3:X3"/>
    <mergeCell ref="B4:V5"/>
    <mergeCell ref="W4:X4"/>
    <mergeCell ref="W5:X5"/>
    <mergeCell ref="B53:B54"/>
    <mergeCell ref="B56:B57"/>
    <mergeCell ref="M12:M45"/>
    <mergeCell ref="A12:A45"/>
    <mergeCell ref="B12:B45"/>
    <mergeCell ref="C12:C45"/>
    <mergeCell ref="A47:A49"/>
    <mergeCell ref="B47:B49"/>
    <mergeCell ref="C47:C49"/>
    <mergeCell ref="M47:M49"/>
  </mergeCells>
  <conditionalFormatting sqref="R7:R8 R10 R12:R35 R47:R49 R51 R53:R54 R56:R57 R71:R1048576 R37:R45">
    <cfRule type="cellIs" dxfId="569" priority="291" operator="between">
      <formula>0.51</formula>
      <formula>0.69</formula>
    </cfRule>
    <cfRule type="cellIs" dxfId="568" priority="292" operator="between">
      <formula>0.51</formula>
      <formula>0.69</formula>
    </cfRule>
    <cfRule type="cellIs" dxfId="567" priority="293" operator="lessThan">
      <formula>0.5</formula>
    </cfRule>
    <cfRule type="cellIs" dxfId="566" priority="294" operator="greaterThan">
      <formula>0.7</formula>
    </cfRule>
    <cfRule type="cellIs" dxfId="565" priority="295" operator="between">
      <formula>0.51</formula>
      <formula>0.69</formula>
    </cfRule>
    <cfRule type="cellIs" dxfId="564" priority="296" operator="lessThan">
      <formula>50</formula>
    </cfRule>
    <cfRule type="cellIs" dxfId="563" priority="297" operator="greaterThan">
      <formula>0.7</formula>
    </cfRule>
    <cfRule type="cellIs" dxfId="562" priority="298" operator="between">
      <formula>0.51</formula>
      <formula>0.69</formula>
    </cfRule>
    <cfRule type="cellIs" dxfId="561" priority="299" operator="lessThan">
      <formula>0.5</formula>
    </cfRule>
    <cfRule type="cellIs" dxfId="560" priority="300" operator="greaterThan">
      <formula>0.7</formula>
    </cfRule>
  </conditionalFormatting>
  <conditionalFormatting sqref="R9">
    <cfRule type="cellIs" dxfId="559" priority="281" operator="between">
      <formula>0.51</formula>
      <formula>0.69</formula>
    </cfRule>
    <cfRule type="cellIs" dxfId="558" priority="282" operator="between">
      <formula>0.51</formula>
      <formula>0.69</formula>
    </cfRule>
    <cfRule type="cellIs" dxfId="557" priority="283" operator="lessThan">
      <formula>0.5</formula>
    </cfRule>
    <cfRule type="cellIs" dxfId="556" priority="284" operator="greaterThan">
      <formula>0.7</formula>
    </cfRule>
    <cfRule type="cellIs" dxfId="555" priority="285" operator="between">
      <formula>0.51</formula>
      <formula>0.69</formula>
    </cfRule>
    <cfRule type="cellIs" dxfId="554" priority="286" operator="lessThan">
      <formula>50</formula>
    </cfRule>
    <cfRule type="cellIs" dxfId="553" priority="287" operator="greaterThan">
      <formula>0.7</formula>
    </cfRule>
    <cfRule type="cellIs" dxfId="552" priority="288" operator="between">
      <formula>0.51</formula>
      <formula>0.69</formula>
    </cfRule>
    <cfRule type="cellIs" dxfId="551" priority="289" operator="lessThan">
      <formula>0.5</formula>
    </cfRule>
    <cfRule type="cellIs" dxfId="550" priority="290" operator="greaterThan">
      <formula>0.7</formula>
    </cfRule>
  </conditionalFormatting>
  <conditionalFormatting sqref="R11">
    <cfRule type="cellIs" dxfId="549" priority="271" operator="between">
      <formula>0.51</formula>
      <formula>0.69</formula>
    </cfRule>
    <cfRule type="cellIs" dxfId="548" priority="272" operator="between">
      <formula>0.51</formula>
      <formula>0.69</formula>
    </cfRule>
    <cfRule type="cellIs" dxfId="547" priority="273" operator="lessThan">
      <formula>0.5</formula>
    </cfRule>
    <cfRule type="cellIs" dxfId="546" priority="274" operator="greaterThan">
      <formula>0.7</formula>
    </cfRule>
    <cfRule type="cellIs" dxfId="545" priority="275" operator="between">
      <formula>0.51</formula>
      <formula>0.69</formula>
    </cfRule>
    <cfRule type="cellIs" dxfId="544" priority="276" operator="lessThan">
      <formula>50</formula>
    </cfRule>
    <cfRule type="cellIs" dxfId="543" priority="277" operator="greaterThan">
      <formula>0.7</formula>
    </cfRule>
    <cfRule type="cellIs" dxfId="542" priority="278" operator="between">
      <formula>0.51</formula>
      <formula>0.69</formula>
    </cfRule>
    <cfRule type="cellIs" dxfId="541" priority="279" operator="lessThan">
      <formula>0.5</formula>
    </cfRule>
    <cfRule type="cellIs" dxfId="540" priority="280" operator="greaterThan">
      <formula>0.7</formula>
    </cfRule>
  </conditionalFormatting>
  <conditionalFormatting sqref="R46">
    <cfRule type="cellIs" dxfId="539" priority="261" operator="between">
      <formula>0.51</formula>
      <formula>0.69</formula>
    </cfRule>
    <cfRule type="cellIs" dxfId="538" priority="262" operator="between">
      <formula>0.51</formula>
      <formula>0.69</formula>
    </cfRule>
    <cfRule type="cellIs" dxfId="537" priority="263" operator="lessThan">
      <formula>0.5</formula>
    </cfRule>
    <cfRule type="cellIs" dxfId="536" priority="264" operator="greaterThan">
      <formula>0.7</formula>
    </cfRule>
    <cfRule type="cellIs" dxfId="535" priority="265" operator="between">
      <formula>0.51</formula>
      <formula>0.69</formula>
    </cfRule>
    <cfRule type="cellIs" dxfId="534" priority="266" operator="lessThan">
      <formula>50</formula>
    </cfRule>
    <cfRule type="cellIs" dxfId="533" priority="267" operator="greaterThan">
      <formula>0.7</formula>
    </cfRule>
    <cfRule type="cellIs" dxfId="532" priority="268" operator="between">
      <formula>0.51</formula>
      <formula>0.69</formula>
    </cfRule>
    <cfRule type="cellIs" dxfId="531" priority="269" operator="lessThan">
      <formula>0.5</formula>
    </cfRule>
    <cfRule type="cellIs" dxfId="530" priority="270" operator="greaterThan">
      <formula>0.7</formula>
    </cfRule>
  </conditionalFormatting>
  <conditionalFormatting sqref="R50">
    <cfRule type="cellIs" dxfId="529" priority="251" operator="between">
      <formula>0.51</formula>
      <formula>0.69</formula>
    </cfRule>
    <cfRule type="cellIs" dxfId="528" priority="252" operator="between">
      <formula>0.51</formula>
      <formula>0.69</formula>
    </cfRule>
    <cfRule type="cellIs" dxfId="527" priority="253" operator="lessThan">
      <formula>0.5</formula>
    </cfRule>
    <cfRule type="cellIs" dxfId="526" priority="254" operator="greaterThan">
      <formula>0.7</formula>
    </cfRule>
    <cfRule type="cellIs" dxfId="525" priority="255" operator="between">
      <formula>0.51</formula>
      <formula>0.69</formula>
    </cfRule>
    <cfRule type="cellIs" dxfId="524" priority="256" operator="lessThan">
      <formula>50</formula>
    </cfRule>
    <cfRule type="cellIs" dxfId="523" priority="257" operator="greaterThan">
      <formula>0.7</formula>
    </cfRule>
    <cfRule type="cellIs" dxfId="522" priority="258" operator="between">
      <formula>0.51</formula>
      <formula>0.69</formula>
    </cfRule>
    <cfRule type="cellIs" dxfId="521" priority="259" operator="lessThan">
      <formula>0.5</formula>
    </cfRule>
    <cfRule type="cellIs" dxfId="520" priority="260" operator="greaterThan">
      <formula>0.7</formula>
    </cfRule>
  </conditionalFormatting>
  <conditionalFormatting sqref="R52">
    <cfRule type="cellIs" dxfId="519" priority="241" operator="between">
      <formula>0.51</formula>
      <formula>0.69</formula>
    </cfRule>
    <cfRule type="cellIs" dxfId="518" priority="242" operator="between">
      <formula>0.51</formula>
      <formula>0.69</formula>
    </cfRule>
    <cfRule type="cellIs" dxfId="517" priority="243" operator="lessThan">
      <formula>0.5</formula>
    </cfRule>
    <cfRule type="cellIs" dxfId="516" priority="244" operator="greaterThan">
      <formula>0.7</formula>
    </cfRule>
    <cfRule type="cellIs" dxfId="515" priority="245" operator="between">
      <formula>0.51</formula>
      <formula>0.69</formula>
    </cfRule>
    <cfRule type="cellIs" dxfId="514" priority="246" operator="lessThan">
      <formula>50</formula>
    </cfRule>
    <cfRule type="cellIs" dxfId="513" priority="247" operator="greaterThan">
      <formula>0.7</formula>
    </cfRule>
    <cfRule type="cellIs" dxfId="512" priority="248" operator="between">
      <formula>0.51</formula>
      <formula>0.69</formula>
    </cfRule>
    <cfRule type="cellIs" dxfId="511" priority="249" operator="lessThan">
      <formula>0.5</formula>
    </cfRule>
    <cfRule type="cellIs" dxfId="510" priority="250" operator="greaterThan">
      <formula>0.7</formula>
    </cfRule>
  </conditionalFormatting>
  <conditionalFormatting sqref="R55">
    <cfRule type="cellIs" dxfId="509" priority="231" operator="between">
      <formula>0.51</formula>
      <formula>0.69</formula>
    </cfRule>
    <cfRule type="cellIs" dxfId="508" priority="232" operator="between">
      <formula>0.51</formula>
      <formula>0.69</formula>
    </cfRule>
    <cfRule type="cellIs" dxfId="507" priority="233" operator="lessThan">
      <formula>0.5</formula>
    </cfRule>
    <cfRule type="cellIs" dxfId="506" priority="234" operator="greaterThan">
      <formula>0.7</formula>
    </cfRule>
    <cfRule type="cellIs" dxfId="505" priority="235" operator="between">
      <formula>0.51</formula>
      <formula>0.69</formula>
    </cfRule>
    <cfRule type="cellIs" dxfId="504" priority="236" operator="lessThan">
      <formula>50</formula>
    </cfRule>
    <cfRule type="cellIs" dxfId="503" priority="237" operator="greaterThan">
      <formula>0.7</formula>
    </cfRule>
    <cfRule type="cellIs" dxfId="502" priority="238" operator="between">
      <formula>0.51</formula>
      <formula>0.69</formula>
    </cfRule>
    <cfRule type="cellIs" dxfId="501" priority="239" operator="lessThan">
      <formula>0.5</formula>
    </cfRule>
    <cfRule type="cellIs" dxfId="500" priority="240" operator="greaterThan">
      <formula>0.7</formula>
    </cfRule>
  </conditionalFormatting>
  <conditionalFormatting sqref="R70">
    <cfRule type="cellIs" dxfId="499" priority="51" operator="between">
      <formula>0.51</formula>
      <formula>0.69</formula>
    </cfRule>
    <cfRule type="cellIs" dxfId="498" priority="52" operator="between">
      <formula>0.51</formula>
      <formula>0.69</formula>
    </cfRule>
    <cfRule type="cellIs" dxfId="497" priority="53" operator="lessThan">
      <formula>0.5</formula>
    </cfRule>
    <cfRule type="cellIs" dxfId="496" priority="54" operator="greaterThan">
      <formula>0.7</formula>
    </cfRule>
    <cfRule type="cellIs" dxfId="495" priority="55" operator="between">
      <formula>0.51</formula>
      <formula>0.69</formula>
    </cfRule>
    <cfRule type="cellIs" dxfId="494" priority="56" operator="lessThan">
      <formula>50</formula>
    </cfRule>
    <cfRule type="cellIs" dxfId="493" priority="57" operator="greaterThan">
      <formula>0.7</formula>
    </cfRule>
    <cfRule type="cellIs" dxfId="492" priority="58" operator="between">
      <formula>0.51</formula>
      <formula>0.69</formula>
    </cfRule>
    <cfRule type="cellIs" dxfId="491" priority="59" operator="lessThan">
      <formula>0.5</formula>
    </cfRule>
    <cfRule type="cellIs" dxfId="490" priority="60" operator="greaterThan">
      <formula>0.7</formula>
    </cfRule>
  </conditionalFormatting>
  <conditionalFormatting sqref="R58:R59 R63:R66 R68">
    <cfRule type="cellIs" dxfId="489" priority="41" operator="between">
      <formula>0.51</formula>
      <formula>0.69</formula>
    </cfRule>
    <cfRule type="cellIs" dxfId="488" priority="42" operator="between">
      <formula>0.51</formula>
      <formula>0.69</formula>
    </cfRule>
    <cfRule type="cellIs" dxfId="487" priority="43" operator="lessThan">
      <formula>0.5</formula>
    </cfRule>
    <cfRule type="cellIs" dxfId="486" priority="44" operator="greaterThan">
      <formula>0.7</formula>
    </cfRule>
    <cfRule type="cellIs" dxfId="485" priority="45" operator="between">
      <formula>0.51</formula>
      <formula>0.69</formula>
    </cfRule>
    <cfRule type="cellIs" dxfId="484" priority="46" operator="lessThan">
      <formula>50</formula>
    </cfRule>
    <cfRule type="cellIs" dxfId="483" priority="47" operator="greaterThan">
      <formula>0.7</formula>
    </cfRule>
    <cfRule type="cellIs" dxfId="482" priority="48" operator="between">
      <formula>0.51</formula>
      <formula>0.69</formula>
    </cfRule>
    <cfRule type="cellIs" dxfId="481" priority="49" operator="lessThan">
      <formula>0.5</formula>
    </cfRule>
    <cfRule type="cellIs" dxfId="480" priority="50" operator="greaterThan">
      <formula>0.7</formula>
    </cfRule>
  </conditionalFormatting>
  <conditionalFormatting sqref="R60:R62">
    <cfRule type="cellIs" dxfId="479" priority="31" operator="between">
      <formula>0.51</formula>
      <formula>0.69</formula>
    </cfRule>
    <cfRule type="cellIs" dxfId="478" priority="32" operator="between">
      <formula>0.51</formula>
      <formula>0.69</formula>
    </cfRule>
    <cfRule type="cellIs" dxfId="477" priority="33" operator="lessThan">
      <formula>0.5</formula>
    </cfRule>
    <cfRule type="cellIs" dxfId="476" priority="34" operator="greaterThan">
      <formula>0.7</formula>
    </cfRule>
    <cfRule type="cellIs" dxfId="475" priority="35" operator="between">
      <formula>0.51</formula>
      <formula>0.69</formula>
    </cfRule>
    <cfRule type="cellIs" dxfId="474" priority="36" operator="lessThan">
      <formula>50</formula>
    </cfRule>
    <cfRule type="cellIs" dxfId="473" priority="37" operator="greaterThan">
      <formula>0.7</formula>
    </cfRule>
    <cfRule type="cellIs" dxfId="472" priority="38" operator="between">
      <formula>0.51</formula>
      <formula>0.69</formula>
    </cfRule>
    <cfRule type="cellIs" dxfId="471" priority="39" operator="lessThan">
      <formula>0.5</formula>
    </cfRule>
    <cfRule type="cellIs" dxfId="470" priority="40" operator="greaterThan">
      <formula>0.7</formula>
    </cfRule>
  </conditionalFormatting>
  <conditionalFormatting sqref="R67">
    <cfRule type="cellIs" dxfId="469" priority="21" operator="between">
      <formula>0.51</formula>
      <formula>0.69</formula>
    </cfRule>
    <cfRule type="cellIs" dxfId="468" priority="22" operator="between">
      <formula>0.51</formula>
      <formula>0.69</formula>
    </cfRule>
    <cfRule type="cellIs" dxfId="467" priority="23" operator="lessThan">
      <formula>0.5</formula>
    </cfRule>
    <cfRule type="cellIs" dxfId="466" priority="24" operator="greaterThan">
      <formula>0.7</formula>
    </cfRule>
    <cfRule type="cellIs" dxfId="465" priority="25" operator="between">
      <formula>0.51</formula>
      <formula>0.69</formula>
    </cfRule>
    <cfRule type="cellIs" dxfId="464" priority="26" operator="lessThan">
      <formula>50</formula>
    </cfRule>
    <cfRule type="cellIs" dxfId="463" priority="27" operator="greaterThan">
      <formula>0.7</formula>
    </cfRule>
    <cfRule type="cellIs" dxfId="462" priority="28" operator="between">
      <formula>0.51</formula>
      <formula>0.69</formula>
    </cfRule>
    <cfRule type="cellIs" dxfId="461" priority="29" operator="lessThan">
      <formula>0.5</formula>
    </cfRule>
    <cfRule type="cellIs" dxfId="460" priority="30" operator="greaterThan">
      <formula>0.7</formula>
    </cfRule>
  </conditionalFormatting>
  <conditionalFormatting sqref="R69">
    <cfRule type="cellIs" dxfId="459" priority="11" operator="between">
      <formula>0.51</formula>
      <formula>0.69</formula>
    </cfRule>
    <cfRule type="cellIs" dxfId="458" priority="12" operator="between">
      <formula>0.51</formula>
      <formula>0.69</formula>
    </cfRule>
    <cfRule type="cellIs" dxfId="457" priority="13" operator="lessThan">
      <formula>0.5</formula>
    </cfRule>
    <cfRule type="cellIs" dxfId="456" priority="14" operator="greaterThan">
      <formula>0.7</formula>
    </cfRule>
    <cfRule type="cellIs" dxfId="455" priority="15" operator="between">
      <formula>0.51</formula>
      <formula>0.69</formula>
    </cfRule>
    <cfRule type="cellIs" dxfId="454" priority="16" operator="lessThan">
      <formula>50</formula>
    </cfRule>
    <cfRule type="cellIs" dxfId="453" priority="17" operator="greaterThan">
      <formula>0.7</formula>
    </cfRule>
    <cfRule type="cellIs" dxfId="452" priority="18" operator="between">
      <formula>0.51</formula>
      <formula>0.69</formula>
    </cfRule>
    <cfRule type="cellIs" dxfId="451" priority="19" operator="lessThan">
      <formula>0.5</formula>
    </cfRule>
    <cfRule type="cellIs" dxfId="450" priority="20" operator="greaterThan">
      <formula>0.7</formula>
    </cfRule>
  </conditionalFormatting>
  <conditionalFormatting sqref="R36">
    <cfRule type="cellIs" dxfId="449" priority="1" operator="between">
      <formula>0.51</formula>
      <formula>0.69</formula>
    </cfRule>
    <cfRule type="cellIs" dxfId="448" priority="2" operator="between">
      <formula>0.51</formula>
      <formula>0.69</formula>
    </cfRule>
    <cfRule type="cellIs" dxfId="447" priority="3" operator="lessThan">
      <formula>0.5</formula>
    </cfRule>
    <cfRule type="cellIs" dxfId="446" priority="4" operator="greaterThan">
      <formula>0.7</formula>
    </cfRule>
    <cfRule type="cellIs" dxfId="445" priority="5" operator="between">
      <formula>0.51</formula>
      <formula>0.69</formula>
    </cfRule>
    <cfRule type="cellIs" dxfId="444" priority="6" operator="lessThan">
      <formula>50</formula>
    </cfRule>
    <cfRule type="cellIs" dxfId="443" priority="7" operator="greaterThan">
      <formula>0.7</formula>
    </cfRule>
    <cfRule type="cellIs" dxfId="442" priority="8" operator="between">
      <formula>0.51</formula>
      <formula>0.69</formula>
    </cfRule>
    <cfRule type="cellIs" dxfId="441" priority="9" operator="lessThan">
      <formula>0.5</formula>
    </cfRule>
    <cfRule type="cellIs" dxfId="440" priority="10" operator="greaterThan">
      <formula>0.7</formula>
    </cfRule>
  </conditionalFormatting>
  <pageMargins left="0.7" right="0.7" top="0.75" bottom="0.75" header="0.3" footer="0.3"/>
  <pageSetup paperSize="2058"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482B"/>
  </sheetPr>
  <dimension ref="A1:EB96"/>
  <sheetViews>
    <sheetView showGridLines="0" topLeftCell="A7" zoomScale="80" zoomScaleNormal="80" workbookViewId="0">
      <pane ySplit="1" topLeftCell="A29" activePane="bottomLeft" state="frozen"/>
      <selection activeCell="A7" sqref="A7"/>
      <selection pane="bottomLeft" activeCell="U26" sqref="U26"/>
    </sheetView>
  </sheetViews>
  <sheetFormatPr baseColWidth="10" defaultColWidth="0" defaultRowHeight="0" customHeight="1" zeroHeight="1" x14ac:dyDescent="0.25"/>
  <cols>
    <col min="1" max="1" width="11.42578125" style="73" customWidth="1"/>
    <col min="2" max="2" width="45.7109375" style="73" customWidth="1"/>
    <col min="3" max="3" width="17.28515625" style="73" customWidth="1"/>
    <col min="4" max="4" width="14.7109375" style="73" customWidth="1"/>
    <col min="5" max="5" width="39" style="73" customWidth="1"/>
    <col min="6" max="6" width="21.140625" style="1" hidden="1" customWidth="1"/>
    <col min="7" max="7" width="19.85546875" style="73" hidden="1" customWidth="1"/>
    <col min="8" max="8" width="16.140625" style="73" hidden="1" customWidth="1"/>
    <col min="9" max="9" width="15" style="73" hidden="1" customWidth="1"/>
    <col min="10" max="10" width="15.140625" style="73" hidden="1" customWidth="1"/>
    <col min="11" max="11" width="15" style="73" hidden="1" customWidth="1"/>
    <col min="12" max="12" width="17" style="73" customWidth="1"/>
    <col min="13" max="13" width="16.140625" style="73" customWidth="1"/>
    <col min="14" max="14" width="15.7109375" style="73" customWidth="1"/>
    <col min="15" max="15" width="11.42578125" style="73" customWidth="1"/>
    <col min="16" max="16" width="15.42578125" style="73" customWidth="1"/>
    <col min="17" max="17" width="16.7109375" style="73" bestFit="1" customWidth="1"/>
    <col min="18" max="18" width="11.5703125" style="3" bestFit="1" customWidth="1"/>
    <col min="19" max="19" width="11.42578125" style="73" customWidth="1"/>
    <col min="20" max="20" width="16.7109375" style="35" bestFit="1" customWidth="1"/>
    <col min="21" max="21" width="17.28515625" style="73" bestFit="1" customWidth="1"/>
    <col min="22" max="22" width="11.42578125" style="73" customWidth="1"/>
    <col min="23" max="23" width="14.5703125" style="35" customWidth="1"/>
    <col min="24" max="24" width="19" style="73" bestFit="1" customWidth="1"/>
    <col min="25" max="129" width="11.5703125" style="72" hidden="1" customWidth="1"/>
    <col min="130" max="132" width="11.5703125" style="73" hidden="1" customWidth="1"/>
    <col min="133" max="16384" width="11.42578125" style="73" hidden="1"/>
  </cols>
  <sheetData>
    <row r="1" spans="1:129" ht="15" hidden="1" x14ac:dyDescent="0.25">
      <c r="A1" s="24"/>
      <c r="B1" s="25"/>
      <c r="C1" s="25"/>
      <c r="D1" s="26"/>
      <c r="E1" s="26"/>
      <c r="F1" s="27"/>
      <c r="G1" s="28"/>
      <c r="H1" s="28"/>
      <c r="I1" s="28"/>
      <c r="J1" s="28"/>
      <c r="K1" s="29"/>
      <c r="L1" s="24"/>
      <c r="M1" s="24"/>
      <c r="N1" s="24"/>
      <c r="O1" s="24"/>
      <c r="P1" s="24"/>
      <c r="Q1" s="24"/>
      <c r="R1" s="24"/>
      <c r="S1" s="24"/>
      <c r="T1" s="36"/>
      <c r="U1" s="24"/>
      <c r="V1" s="24"/>
      <c r="W1" s="36"/>
    </row>
    <row r="2" spans="1:129"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hidden="1"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206" t="s">
        <v>1216</v>
      </c>
      <c r="H7" s="41" t="s">
        <v>1134</v>
      </c>
      <c r="I7" s="41" t="s">
        <v>1136</v>
      </c>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38.25" customHeight="1" x14ac:dyDescent="0.25">
      <c r="A8" s="692" t="s">
        <v>970</v>
      </c>
      <c r="B8" s="766" t="s">
        <v>209</v>
      </c>
      <c r="C8" s="689" t="s">
        <v>216</v>
      </c>
      <c r="D8" s="692" t="s">
        <v>1024</v>
      </c>
      <c r="E8" s="689" t="s">
        <v>217</v>
      </c>
      <c r="F8" s="710">
        <v>2023000</v>
      </c>
      <c r="G8" s="710">
        <v>2382455</v>
      </c>
      <c r="H8" s="692"/>
      <c r="I8" s="692"/>
      <c r="J8" s="692"/>
      <c r="K8" s="692"/>
      <c r="L8" s="758">
        <f>+F8+G8+H8+I8+J8-K8</f>
        <v>4405455</v>
      </c>
      <c r="M8" s="742">
        <f>2023000+2382455</f>
        <v>4405455</v>
      </c>
      <c r="N8" s="80"/>
      <c r="O8" s="330"/>
      <c r="P8" s="521"/>
      <c r="Q8" s="155"/>
      <c r="R8" s="46"/>
      <c r="S8" s="585"/>
      <c r="T8" s="273"/>
      <c r="U8" s="379"/>
      <c r="V8" s="330"/>
      <c r="W8" s="79"/>
      <c r="X8" s="330"/>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45.75" customHeight="1" x14ac:dyDescent="0.25">
      <c r="A9" s="694"/>
      <c r="B9" s="768"/>
      <c r="C9" s="691"/>
      <c r="D9" s="694"/>
      <c r="E9" s="691"/>
      <c r="F9" s="712"/>
      <c r="G9" s="712"/>
      <c r="H9" s="694"/>
      <c r="I9" s="694"/>
      <c r="J9" s="694"/>
      <c r="K9" s="694"/>
      <c r="L9" s="759"/>
      <c r="M9" s="744"/>
      <c r="N9" s="80" t="s">
        <v>977</v>
      </c>
      <c r="O9" s="522">
        <v>612</v>
      </c>
      <c r="P9" s="521" t="s">
        <v>1783</v>
      </c>
      <c r="Q9" s="379">
        <v>2892890</v>
      </c>
      <c r="R9" s="46"/>
      <c r="S9" s="585">
        <v>22</v>
      </c>
      <c r="T9" s="273">
        <v>44824</v>
      </c>
      <c r="U9" s="379">
        <v>2892890</v>
      </c>
      <c r="V9" s="585">
        <v>60</v>
      </c>
      <c r="W9" s="273" t="s">
        <v>2812</v>
      </c>
      <c r="X9" s="379">
        <v>2892890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107" customFormat="1" ht="15" x14ac:dyDescent="0.25">
      <c r="A10" s="92"/>
      <c r="B10" s="92"/>
      <c r="C10" s="92"/>
      <c r="D10" s="92"/>
      <c r="E10" s="104"/>
      <c r="F10" s="101"/>
      <c r="G10" s="146"/>
      <c r="H10" s="92"/>
      <c r="I10" s="93"/>
      <c r="J10" s="92"/>
      <c r="K10" s="92"/>
      <c r="L10" s="102">
        <f>+L8</f>
        <v>4405455</v>
      </c>
      <c r="M10" s="101"/>
      <c r="N10" s="105"/>
      <c r="O10" s="86"/>
      <c r="P10" s="95"/>
      <c r="Q10" s="103">
        <f>SUM(Q8:Q9)</f>
        <v>2892890</v>
      </c>
      <c r="R10" s="89"/>
      <c r="S10" s="86"/>
      <c r="T10" s="95"/>
      <c r="U10" s="103">
        <f>SUM(U8:U9)</f>
        <v>2892890</v>
      </c>
      <c r="V10" s="86"/>
      <c r="W10" s="95"/>
      <c r="X10" s="103">
        <f>SUM(X9)</f>
        <v>2892890</v>
      </c>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row>
    <row r="11" spans="1:129" s="50" customFormat="1" ht="51" customHeight="1" x14ac:dyDescent="0.25">
      <c r="A11" s="68" t="s">
        <v>971</v>
      </c>
      <c r="B11" s="508" t="s">
        <v>210</v>
      </c>
      <c r="C11" s="69" t="s">
        <v>216</v>
      </c>
      <c r="D11" s="165" t="s">
        <v>1025</v>
      </c>
      <c r="E11" s="8" t="s">
        <v>218</v>
      </c>
      <c r="F11" s="289">
        <v>1039999</v>
      </c>
      <c r="G11" s="66"/>
      <c r="H11" s="44"/>
      <c r="I11" s="45"/>
      <c r="J11" s="44"/>
      <c r="K11" s="44"/>
      <c r="L11" s="65">
        <f>+F11+G11+H11+I11+J11-K11</f>
        <v>1039999</v>
      </c>
      <c r="M11" s="297">
        <v>1039999</v>
      </c>
      <c r="N11" s="80" t="s">
        <v>1513</v>
      </c>
      <c r="O11" s="457" t="s">
        <v>1514</v>
      </c>
      <c r="P11" s="250" t="s">
        <v>1515</v>
      </c>
      <c r="Q11" s="276">
        <v>856800</v>
      </c>
      <c r="R11" s="46"/>
      <c r="S11" s="572">
        <v>8</v>
      </c>
      <c r="T11" s="265">
        <v>44705</v>
      </c>
      <c r="U11" s="276">
        <v>856800</v>
      </c>
      <c r="V11" s="572">
        <v>42</v>
      </c>
      <c r="W11" s="265">
        <v>44778</v>
      </c>
      <c r="X11" s="169">
        <v>856800</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107" customFormat="1" ht="15" x14ac:dyDescent="0.25">
      <c r="A12" s="92"/>
      <c r="B12" s="92"/>
      <c r="C12" s="92"/>
      <c r="D12" s="92"/>
      <c r="E12" s="104"/>
      <c r="F12" s="101"/>
      <c r="G12" s="146"/>
      <c r="H12" s="92"/>
      <c r="I12" s="93"/>
      <c r="J12" s="92"/>
      <c r="K12" s="92"/>
      <c r="L12" s="102">
        <f>+L11</f>
        <v>1039999</v>
      </c>
      <c r="M12" s="101"/>
      <c r="N12" s="105"/>
      <c r="O12" s="86"/>
      <c r="P12" s="95"/>
      <c r="Q12" s="103">
        <f>+Q11</f>
        <v>856800</v>
      </c>
      <c r="R12" s="89"/>
      <c r="S12" s="86"/>
      <c r="T12" s="95"/>
      <c r="U12" s="103">
        <f>+U11</f>
        <v>856800</v>
      </c>
      <c r="V12" s="86"/>
      <c r="W12" s="95"/>
      <c r="X12" s="103">
        <f>+X11</f>
        <v>856800</v>
      </c>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row>
    <row r="13" spans="1:129" s="50" customFormat="1" ht="46.5" customHeight="1" x14ac:dyDescent="0.25">
      <c r="A13" s="68" t="s">
        <v>972</v>
      </c>
      <c r="B13" s="508" t="s">
        <v>211</v>
      </c>
      <c r="C13" s="69" t="s">
        <v>216</v>
      </c>
      <c r="D13" s="44" t="s">
        <v>1028</v>
      </c>
      <c r="E13" s="8" t="s">
        <v>219</v>
      </c>
      <c r="F13" s="289">
        <v>42213458</v>
      </c>
      <c r="G13" s="66"/>
      <c r="H13" s="44"/>
      <c r="I13" s="45"/>
      <c r="J13" s="44"/>
      <c r="K13" s="44"/>
      <c r="L13" s="65">
        <f>+F13+G13+H13+I13+J13-K13</f>
        <v>42213458</v>
      </c>
      <c r="M13" s="298">
        <v>42213458</v>
      </c>
      <c r="N13" s="80" t="s">
        <v>1979</v>
      </c>
      <c r="O13" s="457">
        <v>566</v>
      </c>
      <c r="P13" s="80" t="s">
        <v>1978</v>
      </c>
      <c r="Q13" s="345">
        <v>38921049</v>
      </c>
      <c r="R13" s="46"/>
      <c r="S13" s="572">
        <v>19</v>
      </c>
      <c r="T13" s="265">
        <v>44813</v>
      </c>
      <c r="U13" s="345">
        <v>38921049</v>
      </c>
      <c r="V13" s="572">
        <v>68</v>
      </c>
      <c r="W13" s="265" t="s">
        <v>2861</v>
      </c>
      <c r="X13" s="345">
        <v>38921049</v>
      </c>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row>
    <row r="14" spans="1:129" s="107" customFormat="1" ht="15" x14ac:dyDescent="0.25">
      <c r="A14" s="92"/>
      <c r="B14" s="92"/>
      <c r="C14" s="92"/>
      <c r="D14" s="92"/>
      <c r="E14" s="104"/>
      <c r="F14" s="101"/>
      <c r="G14" s="146"/>
      <c r="H14" s="92"/>
      <c r="I14" s="93"/>
      <c r="J14" s="92"/>
      <c r="K14" s="92"/>
      <c r="L14" s="102">
        <f>+L13</f>
        <v>42213458</v>
      </c>
      <c r="M14" s="101"/>
      <c r="N14" s="105"/>
      <c r="O14" s="86"/>
      <c r="P14" s="95"/>
      <c r="Q14" s="103">
        <f>+Q13</f>
        <v>38921049</v>
      </c>
      <c r="R14" s="89"/>
      <c r="S14" s="86"/>
      <c r="T14" s="95"/>
      <c r="U14" s="103">
        <f>+U13</f>
        <v>38921049</v>
      </c>
      <c r="V14" s="86"/>
      <c r="W14" s="95"/>
      <c r="X14" s="103">
        <f>+X13</f>
        <v>38921049</v>
      </c>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row>
    <row r="15" spans="1:129" s="50" customFormat="1" ht="81" x14ac:dyDescent="0.25">
      <c r="A15" s="44" t="s">
        <v>973</v>
      </c>
      <c r="B15" s="508" t="s">
        <v>212</v>
      </c>
      <c r="C15" s="69" t="s">
        <v>216</v>
      </c>
      <c r="D15" s="44" t="s">
        <v>1026</v>
      </c>
      <c r="E15" s="8" t="s">
        <v>220</v>
      </c>
      <c r="F15" s="289">
        <v>7588828</v>
      </c>
      <c r="G15" s="289">
        <v>15641890</v>
      </c>
      <c r="H15" s="44"/>
      <c r="I15" s="45"/>
      <c r="J15" s="44"/>
      <c r="K15" s="44"/>
      <c r="L15" s="65">
        <f>+F15+G15+H15+I15+J15-K15</f>
        <v>23230718</v>
      </c>
      <c r="M15" s="296">
        <f>7588828+15641890</f>
        <v>23230718</v>
      </c>
      <c r="N15" s="44"/>
      <c r="O15" s="44"/>
      <c r="P15" s="44"/>
      <c r="Q15" s="44"/>
      <c r="R15" s="46"/>
      <c r="S15" s="70"/>
      <c r="T15" s="47"/>
      <c r="U15" s="70"/>
      <c r="V15" s="70"/>
      <c r="W15" s="47"/>
      <c r="X15" s="48"/>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row>
    <row r="16" spans="1:129" s="107" customFormat="1" ht="15" x14ac:dyDescent="0.25">
      <c r="A16" s="92"/>
      <c r="B16" s="92"/>
      <c r="C16" s="92"/>
      <c r="D16" s="92"/>
      <c r="E16" s="104"/>
      <c r="F16" s="101"/>
      <c r="G16" s="146"/>
      <c r="H16" s="92"/>
      <c r="I16" s="93"/>
      <c r="J16" s="92"/>
      <c r="K16" s="92"/>
      <c r="L16" s="102">
        <f>+L15</f>
        <v>23230718</v>
      </c>
      <c r="M16" s="101"/>
      <c r="N16" s="105"/>
      <c r="O16" s="86"/>
      <c r="P16" s="95"/>
      <c r="Q16" s="103">
        <f>+Q15</f>
        <v>0</v>
      </c>
      <c r="R16" s="89"/>
      <c r="S16" s="86"/>
      <c r="T16" s="95"/>
      <c r="U16" s="103">
        <f>+U15</f>
        <v>0</v>
      </c>
      <c r="V16" s="86"/>
      <c r="W16" s="95"/>
      <c r="X16" s="103">
        <f>+X15</f>
        <v>0</v>
      </c>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row>
    <row r="17" spans="1:129" s="50" customFormat="1" ht="94.5" x14ac:dyDescent="0.25">
      <c r="A17" s="44" t="s">
        <v>974</v>
      </c>
      <c r="B17" s="508" t="s">
        <v>213</v>
      </c>
      <c r="C17" s="69" t="s">
        <v>216</v>
      </c>
      <c r="D17" s="44" t="s">
        <v>1029</v>
      </c>
      <c r="E17" s="8" t="s">
        <v>221</v>
      </c>
      <c r="F17" s="289">
        <v>14650000</v>
      </c>
      <c r="G17" s="289">
        <v>16479280</v>
      </c>
      <c r="H17" s="44"/>
      <c r="I17" s="45"/>
      <c r="J17" s="44"/>
      <c r="K17" s="44"/>
      <c r="L17" s="65">
        <f>+F17+G17+H17+I17+J17-K17</f>
        <v>31129280</v>
      </c>
      <c r="M17" s="296">
        <f>14650000+16479280</f>
        <v>31129280</v>
      </c>
      <c r="N17" s="80" t="s">
        <v>1953</v>
      </c>
      <c r="O17" s="154" t="s">
        <v>885</v>
      </c>
      <c r="P17" s="80" t="s">
        <v>1954</v>
      </c>
      <c r="Q17" s="345"/>
      <c r="R17" s="46"/>
      <c r="S17" s="70"/>
      <c r="T17" s="47"/>
      <c r="U17" s="345"/>
      <c r="V17" s="70"/>
      <c r="W17" s="47"/>
      <c r="X17" s="48"/>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row>
    <row r="18" spans="1:129" s="107" customFormat="1" ht="15" x14ac:dyDescent="0.25">
      <c r="A18" s="92"/>
      <c r="B18" s="92"/>
      <c r="C18" s="92"/>
      <c r="D18" s="92"/>
      <c r="E18" s="104"/>
      <c r="F18" s="101"/>
      <c r="G18" s="146"/>
      <c r="H18" s="92"/>
      <c r="I18" s="93"/>
      <c r="J18" s="92"/>
      <c r="K18" s="92"/>
      <c r="L18" s="102">
        <f>+L17</f>
        <v>31129280</v>
      </c>
      <c r="M18" s="101"/>
      <c r="N18" s="105"/>
      <c r="O18" s="86"/>
      <c r="P18" s="95"/>
      <c r="Q18" s="103">
        <f>+Q17</f>
        <v>0</v>
      </c>
      <c r="R18" s="89"/>
      <c r="S18" s="86"/>
      <c r="T18" s="95"/>
      <c r="U18" s="103">
        <f>+U17</f>
        <v>0</v>
      </c>
      <c r="V18" s="86"/>
      <c r="W18" s="95"/>
      <c r="X18" s="103">
        <f>+X17</f>
        <v>0</v>
      </c>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row>
    <row r="19" spans="1:129" s="50" customFormat="1" ht="54" x14ac:dyDescent="0.25">
      <c r="A19" s="44" t="s">
        <v>975</v>
      </c>
      <c r="B19" s="508" t="s">
        <v>214</v>
      </c>
      <c r="C19" s="69" t="s">
        <v>216</v>
      </c>
      <c r="D19" s="44" t="s">
        <v>1027</v>
      </c>
      <c r="E19" s="8" t="s">
        <v>222</v>
      </c>
      <c r="F19" s="289">
        <v>1309700</v>
      </c>
      <c r="G19" s="289">
        <v>942340</v>
      </c>
      <c r="H19" s="289">
        <v>1057660</v>
      </c>
      <c r="I19" s="45"/>
      <c r="J19" s="44"/>
      <c r="K19" s="44"/>
      <c r="L19" s="65">
        <f>+F19+G19+H19+I19+J19-K19</f>
        <v>3309700</v>
      </c>
      <c r="M19" s="296">
        <f>1309700+2000000</f>
        <v>3309700</v>
      </c>
      <c r="N19" s="78" t="s">
        <v>1664</v>
      </c>
      <c r="O19" s="154" t="s">
        <v>885</v>
      </c>
      <c r="P19" s="80" t="s">
        <v>1665</v>
      </c>
      <c r="Q19" s="345"/>
      <c r="R19" s="46"/>
      <c r="S19" s="70"/>
      <c r="T19" s="47"/>
      <c r="U19" s="345"/>
      <c r="V19" s="70"/>
      <c r="W19" s="47"/>
      <c r="X19" s="48"/>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row>
    <row r="20" spans="1:129" s="107" customFormat="1" ht="15" x14ac:dyDescent="0.25">
      <c r="A20" s="92"/>
      <c r="B20" s="92"/>
      <c r="C20" s="92"/>
      <c r="D20" s="92"/>
      <c r="E20" s="104"/>
      <c r="F20" s="101"/>
      <c r="G20" s="146"/>
      <c r="H20" s="146"/>
      <c r="I20" s="93"/>
      <c r="J20" s="92"/>
      <c r="K20" s="92"/>
      <c r="L20" s="102">
        <f>+L19</f>
        <v>3309700</v>
      </c>
      <c r="M20" s="101"/>
      <c r="N20" s="105"/>
      <c r="O20" s="86"/>
      <c r="P20" s="95"/>
      <c r="Q20" s="103">
        <f>+Q19</f>
        <v>0</v>
      </c>
      <c r="R20" s="89"/>
      <c r="S20" s="86"/>
      <c r="T20" s="95"/>
      <c r="U20" s="103">
        <f>+U19</f>
        <v>0</v>
      </c>
      <c r="V20" s="86"/>
      <c r="W20" s="95"/>
      <c r="X20" s="103">
        <f>+X19</f>
        <v>0</v>
      </c>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row>
    <row r="21" spans="1:129" s="50" customFormat="1" ht="81" x14ac:dyDescent="0.25">
      <c r="A21" s="44" t="s">
        <v>976</v>
      </c>
      <c r="B21" s="508" t="s">
        <v>215</v>
      </c>
      <c r="C21" s="69" t="s">
        <v>216</v>
      </c>
      <c r="D21" s="44" t="s">
        <v>1030</v>
      </c>
      <c r="E21" s="8" t="s">
        <v>223</v>
      </c>
      <c r="F21" s="289">
        <v>1925074</v>
      </c>
      <c r="G21" s="289">
        <v>1240045</v>
      </c>
      <c r="H21" s="66"/>
      <c r="I21" s="45"/>
      <c r="J21" s="44"/>
      <c r="K21" s="44"/>
      <c r="L21" s="65">
        <f>+F21+G21+H21+I21+J21-K21</f>
        <v>3165119</v>
      </c>
      <c r="M21" s="296">
        <f>1925074+1240045</f>
        <v>3165119</v>
      </c>
      <c r="N21" s="80" t="s">
        <v>2523</v>
      </c>
      <c r="O21" s="459" t="s">
        <v>2524</v>
      </c>
      <c r="P21" s="80" t="s">
        <v>2525</v>
      </c>
      <c r="Q21" s="345">
        <v>3165119</v>
      </c>
      <c r="R21" s="46"/>
      <c r="S21" s="572">
        <v>28</v>
      </c>
      <c r="T21" s="265" t="s">
        <v>2785</v>
      </c>
      <c r="U21" s="345">
        <v>3165119</v>
      </c>
      <c r="V21" s="572">
        <v>89</v>
      </c>
      <c r="W21" s="265" t="s">
        <v>2816</v>
      </c>
      <c r="X21" s="345">
        <v>3165119</v>
      </c>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row>
    <row r="22" spans="1:129" s="107" customFormat="1" ht="15" x14ac:dyDescent="0.25">
      <c r="A22" s="92"/>
      <c r="B22" s="92"/>
      <c r="C22" s="92"/>
      <c r="D22" s="92"/>
      <c r="E22" s="104"/>
      <c r="F22" s="101"/>
      <c r="G22" s="146"/>
      <c r="H22" s="146"/>
      <c r="I22" s="93"/>
      <c r="J22" s="92"/>
      <c r="K22" s="92"/>
      <c r="L22" s="102">
        <f>L21</f>
        <v>3165119</v>
      </c>
      <c r="M22" s="101"/>
      <c r="N22" s="105"/>
      <c r="O22" s="86"/>
      <c r="P22" s="95"/>
      <c r="Q22" s="103">
        <f>Q21</f>
        <v>3165119</v>
      </c>
      <c r="R22" s="89"/>
      <c r="S22" s="86"/>
      <c r="T22" s="95"/>
      <c r="U22" s="103">
        <f>U21</f>
        <v>3165119</v>
      </c>
      <c r="V22" s="86"/>
      <c r="W22" s="95"/>
      <c r="X22" s="103">
        <f>X21</f>
        <v>3165119</v>
      </c>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row>
    <row r="23" spans="1:129" s="112" customFormat="1" ht="54" x14ac:dyDescent="0.25">
      <c r="A23" s="183" t="s">
        <v>1533</v>
      </c>
      <c r="B23" s="512" t="s">
        <v>1122</v>
      </c>
      <c r="C23" s="69" t="s">
        <v>216</v>
      </c>
      <c r="D23" s="183" t="s">
        <v>1270</v>
      </c>
      <c r="E23" s="192" t="s">
        <v>1269</v>
      </c>
      <c r="F23" s="181"/>
      <c r="G23" s="292">
        <v>12684333</v>
      </c>
      <c r="H23" s="289">
        <v>24031775</v>
      </c>
      <c r="I23" s="187"/>
      <c r="J23" s="187"/>
      <c r="K23" s="274">
        <v>12080307</v>
      </c>
      <c r="L23" s="65">
        <f>+F23+G23+H23+I23+J23-K23</f>
        <v>24635801</v>
      </c>
      <c r="M23" s="296">
        <v>36716108</v>
      </c>
      <c r="N23" s="78" t="s">
        <v>2520</v>
      </c>
      <c r="O23" s="459" t="s">
        <v>2521</v>
      </c>
      <c r="P23" s="81" t="s">
        <v>2522</v>
      </c>
      <c r="Q23" s="274">
        <v>24442548</v>
      </c>
      <c r="R23" s="46"/>
      <c r="S23" s="585">
        <v>26</v>
      </c>
      <c r="T23" s="273" t="s">
        <v>2801</v>
      </c>
      <c r="U23" s="274">
        <v>24442548</v>
      </c>
      <c r="V23" s="585">
        <v>86</v>
      </c>
      <c r="W23" s="273" t="s">
        <v>2794</v>
      </c>
      <c r="X23" s="274">
        <v>24442548</v>
      </c>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row>
    <row r="24" spans="1:129" s="107" customFormat="1" ht="15" x14ac:dyDescent="0.25">
      <c r="A24" s="92"/>
      <c r="B24" s="92"/>
      <c r="C24" s="92"/>
      <c r="D24" s="92"/>
      <c r="E24" s="104"/>
      <c r="F24" s="101"/>
      <c r="G24" s="146"/>
      <c r="H24" s="146"/>
      <c r="I24" s="93"/>
      <c r="J24" s="92"/>
      <c r="K24" s="92"/>
      <c r="L24" s="102">
        <f>+L23</f>
        <v>24635801</v>
      </c>
      <c r="M24" s="101"/>
      <c r="N24" s="105"/>
      <c r="O24" s="86"/>
      <c r="P24" s="95"/>
      <c r="Q24" s="103">
        <f>+Q23</f>
        <v>24442548</v>
      </c>
      <c r="R24" s="89"/>
      <c r="S24" s="86"/>
      <c r="T24" s="95"/>
      <c r="U24" s="103">
        <f>+U23</f>
        <v>24442548</v>
      </c>
      <c r="V24" s="86"/>
      <c r="W24" s="95"/>
      <c r="X24" s="103">
        <f>+X23</f>
        <v>24442548</v>
      </c>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row>
    <row r="25" spans="1:129" s="112" customFormat="1" ht="54" x14ac:dyDescent="0.25">
      <c r="A25" s="183" t="s">
        <v>1534</v>
      </c>
      <c r="B25" s="513" t="s">
        <v>1123</v>
      </c>
      <c r="C25" s="69" t="s">
        <v>216</v>
      </c>
      <c r="D25" s="183" t="s">
        <v>1273</v>
      </c>
      <c r="E25" s="192" t="s">
        <v>1272</v>
      </c>
      <c r="F25" s="181"/>
      <c r="G25" s="198"/>
      <c r="H25" s="289">
        <v>40000000</v>
      </c>
      <c r="I25" s="187"/>
      <c r="J25" s="187"/>
      <c r="K25" s="187"/>
      <c r="L25" s="65">
        <f>+F25+G25+H25+I25+J25-K25</f>
        <v>40000000</v>
      </c>
      <c r="M25" s="296">
        <v>40000000</v>
      </c>
      <c r="N25" s="78" t="s">
        <v>2529</v>
      </c>
      <c r="O25" s="457" t="s">
        <v>2530</v>
      </c>
      <c r="P25" s="81" t="s">
        <v>2531</v>
      </c>
      <c r="Q25" s="274">
        <v>38671245</v>
      </c>
      <c r="R25" s="46"/>
      <c r="S25" s="585">
        <v>31</v>
      </c>
      <c r="T25" s="273" t="s">
        <v>2802</v>
      </c>
      <c r="U25" s="274">
        <v>38671245</v>
      </c>
      <c r="V25" s="585">
        <v>80</v>
      </c>
      <c r="W25" s="273" t="s">
        <v>2772</v>
      </c>
      <c r="X25" s="274">
        <v>38671245</v>
      </c>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row>
    <row r="26" spans="1:129" s="107" customFormat="1" ht="15" x14ac:dyDescent="0.25">
      <c r="A26" s="92"/>
      <c r="B26" s="92"/>
      <c r="C26" s="92"/>
      <c r="D26" s="92"/>
      <c r="E26" s="104"/>
      <c r="F26" s="101"/>
      <c r="G26" s="146"/>
      <c r="H26" s="146"/>
      <c r="I26" s="93"/>
      <c r="J26" s="92"/>
      <c r="K26" s="92"/>
      <c r="L26" s="102">
        <f>+L25</f>
        <v>40000000</v>
      </c>
      <c r="M26" s="101"/>
      <c r="N26" s="105"/>
      <c r="O26" s="86"/>
      <c r="P26" s="95"/>
      <c r="Q26" s="103">
        <f>+Q25</f>
        <v>38671245</v>
      </c>
      <c r="R26" s="89"/>
      <c r="S26" s="86"/>
      <c r="T26" s="95"/>
      <c r="U26" s="103">
        <f>+U25</f>
        <v>38671245</v>
      </c>
      <c r="V26" s="86"/>
      <c r="W26" s="95"/>
      <c r="X26" s="103">
        <f>+X25</f>
        <v>38671245</v>
      </c>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row>
    <row r="27" spans="1:129" s="112" customFormat="1" ht="94.5" x14ac:dyDescent="0.25">
      <c r="A27" s="183" t="s">
        <v>1532</v>
      </c>
      <c r="B27" s="513" t="s">
        <v>1124</v>
      </c>
      <c r="C27" s="69" t="s">
        <v>216</v>
      </c>
      <c r="D27" s="183" t="s">
        <v>1271</v>
      </c>
      <c r="E27" s="192" t="s">
        <v>1268</v>
      </c>
      <c r="F27" s="181"/>
      <c r="G27" s="292">
        <v>2420005</v>
      </c>
      <c r="H27" s="289">
        <v>537495</v>
      </c>
      <c r="I27" s="187"/>
      <c r="J27" s="187"/>
      <c r="K27" s="187"/>
      <c r="L27" s="65">
        <f>+F27+G27+H27+I27+J27-K27</f>
        <v>2957500</v>
      </c>
      <c r="M27" s="296">
        <v>2957500</v>
      </c>
      <c r="N27" s="78" t="s">
        <v>2526</v>
      </c>
      <c r="O27" s="459" t="s">
        <v>2527</v>
      </c>
      <c r="P27" s="81" t="s">
        <v>2528</v>
      </c>
      <c r="Q27" s="274">
        <v>2431794.75</v>
      </c>
      <c r="R27" s="46"/>
      <c r="S27" s="585">
        <v>30</v>
      </c>
      <c r="T27" s="273" t="s">
        <v>2802</v>
      </c>
      <c r="U27" s="274">
        <v>2431794.75</v>
      </c>
      <c r="V27" s="585">
        <v>79</v>
      </c>
      <c r="W27" s="273" t="s">
        <v>2870</v>
      </c>
      <c r="X27" s="274">
        <v>2431794.75</v>
      </c>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row>
    <row r="28" spans="1:129" s="107" customFormat="1" ht="15" x14ac:dyDescent="0.25">
      <c r="A28" s="92"/>
      <c r="B28" s="92"/>
      <c r="C28" s="92"/>
      <c r="D28" s="92"/>
      <c r="E28" s="104"/>
      <c r="F28" s="101"/>
      <c r="G28" s="146"/>
      <c r="H28" s="146"/>
      <c r="I28" s="93"/>
      <c r="J28" s="92"/>
      <c r="K28" s="92"/>
      <c r="L28" s="102">
        <f>+L27</f>
        <v>2957500</v>
      </c>
      <c r="M28" s="101"/>
      <c r="N28" s="105"/>
      <c r="O28" s="86"/>
      <c r="P28" s="95"/>
      <c r="Q28" s="103">
        <f>+Q27</f>
        <v>2431794.75</v>
      </c>
      <c r="R28" s="89"/>
      <c r="S28" s="86"/>
      <c r="T28" s="95"/>
      <c r="U28" s="103">
        <f>+U27</f>
        <v>2431794.75</v>
      </c>
      <c r="V28" s="86"/>
      <c r="W28" s="95"/>
      <c r="X28" s="103">
        <f>+X27</f>
        <v>2431794.75</v>
      </c>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row>
    <row r="29" spans="1:129" s="112" customFormat="1" ht="54" x14ac:dyDescent="0.25">
      <c r="A29" s="183" t="s">
        <v>1535</v>
      </c>
      <c r="B29" s="512" t="s">
        <v>1125</v>
      </c>
      <c r="C29" s="69" t="s">
        <v>216</v>
      </c>
      <c r="D29" s="183" t="s">
        <v>2815</v>
      </c>
      <c r="E29" s="192" t="s">
        <v>1277</v>
      </c>
      <c r="F29" s="181"/>
      <c r="G29" s="198"/>
      <c r="H29" s="66"/>
      <c r="I29" s="289">
        <v>13127744</v>
      </c>
      <c r="J29" s="274">
        <v>12080307</v>
      </c>
      <c r="K29" s="187"/>
      <c r="L29" s="65">
        <f>+F29+G29+H29+I29+J29-K29</f>
        <v>25208051</v>
      </c>
      <c r="M29" s="296">
        <v>13127744</v>
      </c>
      <c r="N29" s="78" t="s">
        <v>2532</v>
      </c>
      <c r="O29" s="459" t="s">
        <v>2533</v>
      </c>
      <c r="P29" s="81" t="s">
        <v>2534</v>
      </c>
      <c r="Q29" s="274">
        <v>22974487</v>
      </c>
      <c r="R29" s="46"/>
      <c r="S29" s="585">
        <v>45</v>
      </c>
      <c r="T29" s="273" t="s">
        <v>2782</v>
      </c>
      <c r="U29" s="274">
        <v>22974487</v>
      </c>
      <c r="V29" s="585">
        <v>88</v>
      </c>
      <c r="W29" s="273" t="s">
        <v>2834</v>
      </c>
      <c r="X29" s="274">
        <v>22974487</v>
      </c>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row>
    <row r="30" spans="1:129" s="107" customFormat="1" ht="15" x14ac:dyDescent="0.25">
      <c r="A30" s="92"/>
      <c r="B30" s="92"/>
      <c r="C30" s="92"/>
      <c r="D30" s="92"/>
      <c r="E30" s="104"/>
      <c r="F30" s="101"/>
      <c r="G30" s="146"/>
      <c r="H30" s="146"/>
      <c r="I30" s="93"/>
      <c r="J30" s="92"/>
      <c r="K30" s="92"/>
      <c r="L30" s="102">
        <f>+L29</f>
        <v>25208051</v>
      </c>
      <c r="M30" s="101"/>
      <c r="N30" s="105"/>
      <c r="O30" s="86"/>
      <c r="P30" s="95"/>
      <c r="Q30" s="103">
        <f>+Q29</f>
        <v>22974487</v>
      </c>
      <c r="R30" s="89"/>
      <c r="S30" s="86"/>
      <c r="T30" s="95"/>
      <c r="U30" s="103">
        <f>+U29</f>
        <v>22974487</v>
      </c>
      <c r="V30" s="86"/>
      <c r="W30" s="95"/>
      <c r="X30" s="103">
        <f>+X29</f>
        <v>22974487</v>
      </c>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row>
    <row r="31" spans="1:129" s="112" customFormat="1" ht="94.5" x14ac:dyDescent="0.25">
      <c r="A31" s="692" t="s">
        <v>1127</v>
      </c>
      <c r="B31" s="807" t="s">
        <v>1126</v>
      </c>
      <c r="C31" s="689" t="s">
        <v>216</v>
      </c>
      <c r="D31" s="183" t="s">
        <v>1274</v>
      </c>
      <c r="E31" s="192" t="s">
        <v>1204</v>
      </c>
      <c r="F31" s="181"/>
      <c r="G31" s="198"/>
      <c r="H31" s="289">
        <v>4140000</v>
      </c>
      <c r="I31" s="187"/>
      <c r="J31" s="187"/>
      <c r="K31" s="187"/>
      <c r="L31" s="65">
        <f>+F31+G31+H31+I31+J31-K31</f>
        <v>4140000</v>
      </c>
      <c r="M31" s="742">
        <v>182301200</v>
      </c>
      <c r="N31" s="78" t="s">
        <v>1563</v>
      </c>
      <c r="O31" s="466">
        <v>614</v>
      </c>
      <c r="P31" s="346" t="s">
        <v>1564</v>
      </c>
      <c r="Q31" s="274">
        <v>4083000</v>
      </c>
      <c r="R31" s="46"/>
      <c r="S31" s="585">
        <v>20</v>
      </c>
      <c r="T31" s="273">
        <v>44818</v>
      </c>
      <c r="U31" s="274">
        <v>4083000</v>
      </c>
      <c r="V31" s="585">
        <v>59</v>
      </c>
      <c r="W31" s="273">
        <v>44833</v>
      </c>
      <c r="X31" s="274">
        <v>4083000</v>
      </c>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row>
    <row r="32" spans="1:129" s="112" customFormat="1" ht="81" customHeight="1" x14ac:dyDescent="0.25">
      <c r="A32" s="693"/>
      <c r="B32" s="809"/>
      <c r="C32" s="690"/>
      <c r="D32" s="692" t="s">
        <v>1276</v>
      </c>
      <c r="E32" s="689" t="s">
        <v>1205</v>
      </c>
      <c r="F32" s="687"/>
      <c r="G32" s="728"/>
      <c r="H32" s="710">
        <v>178161200</v>
      </c>
      <c r="I32" s="692"/>
      <c r="J32" s="692"/>
      <c r="K32" s="692"/>
      <c r="L32" s="758">
        <f>+F32+G32+H32+I32+J32-K32</f>
        <v>178161200</v>
      </c>
      <c r="M32" s="743"/>
      <c r="N32" s="78" t="s">
        <v>1616</v>
      </c>
      <c r="O32" s="457" t="s">
        <v>1619</v>
      </c>
      <c r="P32" s="81" t="s">
        <v>1622</v>
      </c>
      <c r="Q32" s="274">
        <v>75201280</v>
      </c>
      <c r="R32" s="46"/>
      <c r="S32" s="585">
        <v>12</v>
      </c>
      <c r="T32" s="273">
        <v>44764</v>
      </c>
      <c r="U32" s="274">
        <v>75201280</v>
      </c>
      <c r="V32" s="585">
        <v>46</v>
      </c>
      <c r="W32" s="273">
        <v>44781</v>
      </c>
      <c r="X32" s="274">
        <v>75201280</v>
      </c>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row>
    <row r="33" spans="1:129" s="112" customFormat="1" ht="15" x14ac:dyDescent="0.25">
      <c r="A33" s="693"/>
      <c r="B33" s="809"/>
      <c r="C33" s="690"/>
      <c r="D33" s="693"/>
      <c r="E33" s="690"/>
      <c r="F33" s="688"/>
      <c r="G33" s="735"/>
      <c r="H33" s="711"/>
      <c r="I33" s="693"/>
      <c r="J33" s="693"/>
      <c r="K33" s="693"/>
      <c r="L33" s="763"/>
      <c r="M33" s="743"/>
      <c r="N33" s="78" t="s">
        <v>1617</v>
      </c>
      <c r="O33" s="457" t="s">
        <v>1620</v>
      </c>
      <c r="P33" s="81" t="s">
        <v>1623</v>
      </c>
      <c r="Q33" s="274">
        <v>36160800</v>
      </c>
      <c r="R33" s="46"/>
      <c r="S33" s="585">
        <v>11</v>
      </c>
      <c r="T33" s="273">
        <v>44764</v>
      </c>
      <c r="U33" s="274">
        <v>36160800</v>
      </c>
      <c r="V33" s="585">
        <v>45</v>
      </c>
      <c r="W33" s="273">
        <v>44781</v>
      </c>
      <c r="X33" s="274">
        <v>36160800</v>
      </c>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row>
    <row r="34" spans="1:129" s="112" customFormat="1" ht="15" x14ac:dyDescent="0.25">
      <c r="A34" s="693"/>
      <c r="B34" s="809"/>
      <c r="C34" s="690"/>
      <c r="D34" s="693"/>
      <c r="E34" s="690"/>
      <c r="F34" s="688"/>
      <c r="G34" s="735"/>
      <c r="H34" s="711"/>
      <c r="I34" s="693"/>
      <c r="J34" s="693"/>
      <c r="K34" s="693"/>
      <c r="L34" s="763"/>
      <c r="M34" s="743"/>
      <c r="N34" s="78" t="s">
        <v>1618</v>
      </c>
      <c r="O34" s="457" t="s">
        <v>1621</v>
      </c>
      <c r="P34" s="81" t="s">
        <v>1624</v>
      </c>
      <c r="Q34" s="274">
        <v>66234000</v>
      </c>
      <c r="R34" s="46"/>
      <c r="S34" s="585">
        <v>10</v>
      </c>
      <c r="T34" s="273">
        <v>44764</v>
      </c>
      <c r="U34" s="274">
        <v>66234000</v>
      </c>
      <c r="V34" s="585">
        <v>44</v>
      </c>
      <c r="W34" s="273">
        <v>44781</v>
      </c>
      <c r="X34" s="274">
        <v>66234000</v>
      </c>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row>
    <row r="35" spans="1:129" s="112" customFormat="1" ht="15" x14ac:dyDescent="0.25">
      <c r="A35" s="694"/>
      <c r="B35" s="808"/>
      <c r="C35" s="691"/>
      <c r="D35" s="694"/>
      <c r="E35" s="691"/>
      <c r="F35" s="698"/>
      <c r="G35" s="729"/>
      <c r="H35" s="712"/>
      <c r="I35" s="694"/>
      <c r="J35" s="694"/>
      <c r="K35" s="694"/>
      <c r="L35" s="759"/>
      <c r="M35" s="744"/>
      <c r="N35" s="214"/>
      <c r="O35" s="309"/>
      <c r="P35" s="47"/>
      <c r="Q35" s="324"/>
      <c r="R35" s="46"/>
      <c r="S35" s="330"/>
      <c r="T35" s="79"/>
      <c r="U35" s="244"/>
      <c r="V35" s="330"/>
      <c r="W35" s="273"/>
      <c r="X35" s="244"/>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row>
    <row r="36" spans="1:129" s="107" customFormat="1" ht="15" x14ac:dyDescent="0.25">
      <c r="A36" s="92"/>
      <c r="B36" s="92"/>
      <c r="C36" s="92"/>
      <c r="D36" s="92"/>
      <c r="E36" s="104"/>
      <c r="F36" s="101"/>
      <c r="G36" s="146"/>
      <c r="H36" s="146"/>
      <c r="I36" s="93"/>
      <c r="J36" s="92"/>
      <c r="K36" s="92"/>
      <c r="L36" s="102">
        <f>+L32+L31</f>
        <v>182301200</v>
      </c>
      <c r="M36" s="101"/>
      <c r="N36" s="105"/>
      <c r="O36" s="86"/>
      <c r="P36" s="95"/>
      <c r="Q36" s="103">
        <f>SUM(Q31:Q35)</f>
        <v>181679080</v>
      </c>
      <c r="R36" s="89"/>
      <c r="S36" s="86"/>
      <c r="T36" s="95"/>
      <c r="U36" s="103">
        <f>SUM(U31:U35)</f>
        <v>181679080</v>
      </c>
      <c r="V36" s="86"/>
      <c r="W36" s="95"/>
      <c r="X36" s="103">
        <f>SUM(X31:XFD35)</f>
        <v>181679080</v>
      </c>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row>
    <row r="37" spans="1:129" s="112" customFormat="1" ht="94.5" x14ac:dyDescent="0.25">
      <c r="A37" s="183" t="s">
        <v>1129</v>
      </c>
      <c r="B37" s="511" t="s">
        <v>1128</v>
      </c>
      <c r="C37" s="69" t="s">
        <v>216</v>
      </c>
      <c r="D37" s="183" t="s">
        <v>1275</v>
      </c>
      <c r="E37" s="192" t="s">
        <v>1206</v>
      </c>
      <c r="F37" s="181"/>
      <c r="G37" s="198"/>
      <c r="H37" s="292">
        <v>10522419</v>
      </c>
      <c r="I37" s="200"/>
      <c r="J37" s="200"/>
      <c r="K37" s="200"/>
      <c r="L37" s="65">
        <f>+F37+G37+H37+I37+J37-K37</f>
        <v>10522419</v>
      </c>
      <c r="M37" s="296">
        <v>10522419</v>
      </c>
      <c r="N37" s="261" t="s">
        <v>1563</v>
      </c>
      <c r="O37" s="461">
        <v>613</v>
      </c>
      <c r="P37" s="47" t="s">
        <v>1572</v>
      </c>
      <c r="Q37" s="316">
        <v>10432800</v>
      </c>
      <c r="R37" s="46"/>
      <c r="S37" s="572">
        <v>20</v>
      </c>
      <c r="T37" s="265">
        <v>44818</v>
      </c>
      <c r="U37" s="578">
        <v>10432800</v>
      </c>
      <c r="V37" s="572">
        <v>59</v>
      </c>
      <c r="W37" s="265">
        <v>44833</v>
      </c>
      <c r="X37" s="373">
        <v>10432800</v>
      </c>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row>
    <row r="38" spans="1:129" s="107" customFormat="1" ht="15.75" thickBot="1" x14ac:dyDescent="0.3">
      <c r="A38" s="92"/>
      <c r="B38" s="92"/>
      <c r="C38" s="92"/>
      <c r="D38" s="92"/>
      <c r="E38" s="104"/>
      <c r="F38" s="101"/>
      <c r="G38" s="146"/>
      <c r="H38" s="146"/>
      <c r="I38" s="93"/>
      <c r="J38" s="92"/>
      <c r="K38" s="92"/>
      <c r="L38" s="102">
        <f>+L37</f>
        <v>10522419</v>
      </c>
      <c r="M38" s="101"/>
      <c r="N38" s="105"/>
      <c r="O38" s="86"/>
      <c r="P38" s="95"/>
      <c r="Q38" s="103">
        <f>+Q37</f>
        <v>10432800</v>
      </c>
      <c r="R38" s="89"/>
      <c r="S38" s="86"/>
      <c r="T38" s="95"/>
      <c r="U38" s="103">
        <f>SUM(U37)</f>
        <v>10432800</v>
      </c>
      <c r="V38" s="86"/>
      <c r="W38" s="95"/>
      <c r="X38" s="103">
        <f>SUM(X37)</f>
        <v>10432800</v>
      </c>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row>
    <row r="39" spans="1:129" s="63" customFormat="1" ht="17.25" thickBot="1" x14ac:dyDescent="0.35">
      <c r="A39" s="51"/>
      <c r="B39" s="51"/>
      <c r="C39" s="42"/>
      <c r="D39" s="42"/>
      <c r="E39" s="42"/>
      <c r="F39" s="52"/>
      <c r="G39" s="42"/>
      <c r="H39" s="220"/>
      <c r="I39" s="217"/>
      <c r="J39" s="53" t="s">
        <v>29</v>
      </c>
      <c r="K39" s="54"/>
      <c r="L39" s="55">
        <f>+L22+L18+L16+L14+L12+L10+L20+L24+L26+L28+L30+L36+L38</f>
        <v>394118700</v>
      </c>
      <c r="M39" s="75"/>
      <c r="N39" s="75"/>
      <c r="O39" s="75"/>
      <c r="P39" s="75"/>
      <c r="Q39" s="130">
        <f>+Q22+Q18+Q16+Q14+Q12+Q10+Q20+Q24+Q26+Q28+Q30+Q36+Q38</f>
        <v>326467812.75</v>
      </c>
      <c r="R39" s="57">
        <f>(Q39*1)/L39</f>
        <v>0.82834895362742245</v>
      </c>
      <c r="S39" s="58"/>
      <c r="T39" s="59"/>
      <c r="U39" s="60">
        <f>+U22+U18+U16+U14+U12+U10+U20+U24+U26+U28+U30+U36+U38</f>
        <v>326467812.75</v>
      </c>
      <c r="V39" s="58"/>
      <c r="W39" s="59"/>
      <c r="X39" s="172">
        <f>+X22+X18+X16+X14+X12+X10+X20+X24+X26+X28+X30+X36+X38</f>
        <v>326467812.75</v>
      </c>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row>
    <row r="40" spans="1:129" ht="15" x14ac:dyDescent="0.25">
      <c r="R40" s="4"/>
    </row>
    <row r="41" spans="1:129" ht="15" x14ac:dyDescent="0.25">
      <c r="Q41" s="72"/>
      <c r="R41" s="6"/>
      <c r="S41" s="72"/>
    </row>
    <row r="42" spans="1:129" ht="15" x14ac:dyDescent="0.25">
      <c r="Q42" s="72"/>
      <c r="R42" s="6"/>
      <c r="S42" s="72"/>
    </row>
    <row r="43" spans="1:129" ht="15" x14ac:dyDescent="0.25">
      <c r="Q43" s="72"/>
      <c r="R43" s="6"/>
      <c r="S43" s="72"/>
    </row>
    <row r="44" spans="1:129" ht="15" x14ac:dyDescent="0.25">
      <c r="Q44" s="72"/>
      <c r="R44" s="6"/>
      <c r="S44" s="72"/>
    </row>
    <row r="45" spans="1:129" ht="15" x14ac:dyDescent="0.25">
      <c r="Q45" s="72"/>
      <c r="R45" s="6"/>
      <c r="S45" s="72"/>
    </row>
    <row r="46" spans="1:129" ht="15" x14ac:dyDescent="0.25">
      <c r="Q46" s="72"/>
      <c r="R46" s="6"/>
      <c r="S46" s="72"/>
    </row>
    <row r="47" spans="1:129" ht="15" x14ac:dyDescent="0.25">
      <c r="Q47" s="72"/>
      <c r="R47" s="6"/>
      <c r="S47" s="72"/>
    </row>
    <row r="48" spans="1:129" ht="15" x14ac:dyDescent="0.25">
      <c r="Q48" s="72"/>
      <c r="R48" s="6"/>
      <c r="S48" s="72"/>
    </row>
    <row r="49" spans="17:19" ht="15" x14ac:dyDescent="0.25">
      <c r="Q49" s="72"/>
      <c r="R49" s="7"/>
      <c r="S49" s="72"/>
    </row>
    <row r="50" spans="17:19" ht="15" x14ac:dyDescent="0.25"/>
    <row r="51" spans="17:19" ht="15" x14ac:dyDescent="0.25"/>
    <row r="52" spans="17:19" ht="15" x14ac:dyDescent="0.25"/>
    <row r="53" spans="17:19" ht="15" x14ac:dyDescent="0.25"/>
    <row r="54" spans="17:19" ht="15" x14ac:dyDescent="0.25"/>
    <row r="55" spans="17:19" ht="15" x14ac:dyDescent="0.25"/>
    <row r="56" spans="17:19" ht="15" x14ac:dyDescent="0.25"/>
    <row r="57" spans="17:19" ht="15" x14ac:dyDescent="0.25"/>
    <row r="58" spans="17:19" ht="15" x14ac:dyDescent="0.25"/>
    <row r="59" spans="17:19" ht="15" x14ac:dyDescent="0.25"/>
    <row r="60" spans="17:19" ht="15" x14ac:dyDescent="0.25"/>
    <row r="61" spans="17:19" ht="15" x14ac:dyDescent="0.25"/>
    <row r="62" spans="17:19" ht="15" x14ac:dyDescent="0.25"/>
    <row r="63" spans="17:19" ht="15" x14ac:dyDescent="0.25"/>
    <row r="64" spans="17:19"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customHeight="1" x14ac:dyDescent="0.25"/>
    <row r="93" ht="15" customHeight="1" x14ac:dyDescent="0.25"/>
    <row r="94" ht="15" customHeight="1" x14ac:dyDescent="0.25"/>
    <row r="95" ht="15" customHeight="1" x14ac:dyDescent="0.25"/>
    <row r="96" ht="15" customHeight="1" x14ac:dyDescent="0.25"/>
  </sheetData>
  <sheetProtection algorithmName="SHA-512" hashValue="Dxzn9hBEm/2jImw5finjrIwrsypHhXwrGQPWLxZRBNH1QwjsrDKwBWXGI/5yRodTXPaleQ1TyUxTshrSzynuqw==" saltValue="lIR9WE4QKYw+QCgzy5fWbA==" spinCount="100000" sheet="1" objects="1" scenarios="1" selectLockedCells="1" selectUnlockedCells="1"/>
  <mergeCells count="34">
    <mergeCell ref="L8:L9"/>
    <mergeCell ref="K32:K35"/>
    <mergeCell ref="F32:F35"/>
    <mergeCell ref="G32:G35"/>
    <mergeCell ref="H32:H35"/>
    <mergeCell ref="I32:I35"/>
    <mergeCell ref="J32:J35"/>
    <mergeCell ref="G8:G9"/>
    <mergeCell ref="H8:H9"/>
    <mergeCell ref="I8:I9"/>
    <mergeCell ref="J8:J9"/>
    <mergeCell ref="K8:K9"/>
    <mergeCell ref="W2:X2"/>
    <mergeCell ref="B3:V3"/>
    <mergeCell ref="W3:X3"/>
    <mergeCell ref="B4:V5"/>
    <mergeCell ref="W4:X4"/>
    <mergeCell ref="W5:X5"/>
    <mergeCell ref="A2:A5"/>
    <mergeCell ref="B2:V2"/>
    <mergeCell ref="D32:D35"/>
    <mergeCell ref="E32:E35"/>
    <mergeCell ref="L32:L35"/>
    <mergeCell ref="M31:M35"/>
    <mergeCell ref="C31:C35"/>
    <mergeCell ref="B31:B35"/>
    <mergeCell ref="A31:A35"/>
    <mergeCell ref="A8:A9"/>
    <mergeCell ref="B8:B9"/>
    <mergeCell ref="C8:C9"/>
    <mergeCell ref="D8:D9"/>
    <mergeCell ref="E8:E9"/>
    <mergeCell ref="M8:M9"/>
    <mergeCell ref="F8:F9"/>
  </mergeCells>
  <conditionalFormatting sqref="R49:R1048576 R7:R9 R11 R13 R15 R17 R19 R39 R21">
    <cfRule type="cellIs" dxfId="439" priority="131" operator="between">
      <formula>0.51</formula>
      <formula>0.69</formula>
    </cfRule>
    <cfRule type="cellIs" dxfId="438" priority="132" operator="between">
      <formula>0.51</formula>
      <formula>0.69</formula>
    </cfRule>
    <cfRule type="cellIs" dxfId="437" priority="133" operator="lessThan">
      <formula>0.5</formula>
    </cfRule>
    <cfRule type="cellIs" dxfId="436" priority="134" operator="greaterThan">
      <formula>0.7</formula>
    </cfRule>
    <cfRule type="cellIs" dxfId="435" priority="135" operator="between">
      <formula>0.51</formula>
      <formula>0.69</formula>
    </cfRule>
    <cfRule type="cellIs" dxfId="434" priority="136" operator="lessThan">
      <formula>50</formula>
    </cfRule>
    <cfRule type="cellIs" dxfId="433" priority="137" operator="greaterThan">
      <formula>0.7</formula>
    </cfRule>
    <cfRule type="cellIs" dxfId="432" priority="138" operator="between">
      <formula>0.51</formula>
      <formula>0.69</formula>
    </cfRule>
    <cfRule type="cellIs" dxfId="431" priority="139" operator="lessThan">
      <formula>0.5</formula>
    </cfRule>
    <cfRule type="cellIs" dxfId="430" priority="140" operator="greaterThan">
      <formula>0.7</formula>
    </cfRule>
  </conditionalFormatting>
  <conditionalFormatting sqref="R10">
    <cfRule type="cellIs" dxfId="429" priority="121" operator="between">
      <formula>0.51</formula>
      <formula>0.69</formula>
    </cfRule>
    <cfRule type="cellIs" dxfId="428" priority="122" operator="between">
      <formula>0.51</formula>
      <formula>0.69</formula>
    </cfRule>
    <cfRule type="cellIs" dxfId="427" priority="123" operator="lessThan">
      <formula>0.5</formula>
    </cfRule>
    <cfRule type="cellIs" dxfId="426" priority="124" operator="greaterThan">
      <formula>0.7</formula>
    </cfRule>
    <cfRule type="cellIs" dxfId="425" priority="125" operator="between">
      <formula>0.51</formula>
      <formula>0.69</formula>
    </cfRule>
    <cfRule type="cellIs" dxfId="424" priority="126" operator="lessThan">
      <formula>50</formula>
    </cfRule>
    <cfRule type="cellIs" dxfId="423" priority="127" operator="greaterThan">
      <formula>0.7</formula>
    </cfRule>
    <cfRule type="cellIs" dxfId="422" priority="128" operator="between">
      <formula>0.51</formula>
      <formula>0.69</formula>
    </cfRule>
    <cfRule type="cellIs" dxfId="421" priority="129" operator="lessThan">
      <formula>0.5</formula>
    </cfRule>
    <cfRule type="cellIs" dxfId="420" priority="130" operator="greaterThan">
      <formula>0.7</formula>
    </cfRule>
  </conditionalFormatting>
  <conditionalFormatting sqref="R12">
    <cfRule type="cellIs" dxfId="419" priority="111" operator="between">
      <formula>0.51</formula>
      <formula>0.69</formula>
    </cfRule>
    <cfRule type="cellIs" dxfId="418" priority="112" operator="between">
      <formula>0.51</formula>
      <formula>0.69</formula>
    </cfRule>
    <cfRule type="cellIs" dxfId="417" priority="113" operator="lessThan">
      <formula>0.5</formula>
    </cfRule>
    <cfRule type="cellIs" dxfId="416" priority="114" operator="greaterThan">
      <formula>0.7</formula>
    </cfRule>
    <cfRule type="cellIs" dxfId="415" priority="115" operator="between">
      <formula>0.51</formula>
      <formula>0.69</formula>
    </cfRule>
    <cfRule type="cellIs" dxfId="414" priority="116" operator="lessThan">
      <formula>50</formula>
    </cfRule>
    <cfRule type="cellIs" dxfId="413" priority="117" operator="greaterThan">
      <formula>0.7</formula>
    </cfRule>
    <cfRule type="cellIs" dxfId="412" priority="118" operator="between">
      <formula>0.51</formula>
      <formula>0.69</formula>
    </cfRule>
    <cfRule type="cellIs" dxfId="411" priority="119" operator="lessThan">
      <formula>0.5</formula>
    </cfRule>
    <cfRule type="cellIs" dxfId="410" priority="120" operator="greaterThan">
      <formula>0.7</formula>
    </cfRule>
  </conditionalFormatting>
  <conditionalFormatting sqref="R14">
    <cfRule type="cellIs" dxfId="409" priority="101" operator="between">
      <formula>0.51</formula>
      <formula>0.69</formula>
    </cfRule>
    <cfRule type="cellIs" dxfId="408" priority="102" operator="between">
      <formula>0.51</formula>
      <formula>0.69</formula>
    </cfRule>
    <cfRule type="cellIs" dxfId="407" priority="103" operator="lessThan">
      <formula>0.5</formula>
    </cfRule>
    <cfRule type="cellIs" dxfId="406" priority="104" operator="greaterThan">
      <formula>0.7</formula>
    </cfRule>
    <cfRule type="cellIs" dxfId="405" priority="105" operator="between">
      <formula>0.51</formula>
      <formula>0.69</formula>
    </cfRule>
    <cfRule type="cellIs" dxfId="404" priority="106" operator="lessThan">
      <formula>50</formula>
    </cfRule>
    <cfRule type="cellIs" dxfId="403" priority="107" operator="greaterThan">
      <formula>0.7</formula>
    </cfRule>
    <cfRule type="cellIs" dxfId="402" priority="108" operator="between">
      <formula>0.51</formula>
      <formula>0.69</formula>
    </cfRule>
    <cfRule type="cellIs" dxfId="401" priority="109" operator="lessThan">
      <formula>0.5</formula>
    </cfRule>
    <cfRule type="cellIs" dxfId="400" priority="110" operator="greaterThan">
      <formula>0.7</formula>
    </cfRule>
  </conditionalFormatting>
  <conditionalFormatting sqref="R16">
    <cfRule type="cellIs" dxfId="399" priority="91" operator="between">
      <formula>0.51</formula>
      <formula>0.69</formula>
    </cfRule>
    <cfRule type="cellIs" dxfId="398" priority="92" operator="between">
      <formula>0.51</formula>
      <formula>0.69</formula>
    </cfRule>
    <cfRule type="cellIs" dxfId="397" priority="93" operator="lessThan">
      <formula>0.5</formula>
    </cfRule>
    <cfRule type="cellIs" dxfId="396" priority="94" operator="greaterThan">
      <formula>0.7</formula>
    </cfRule>
    <cfRule type="cellIs" dxfId="395" priority="95" operator="between">
      <formula>0.51</formula>
      <formula>0.69</formula>
    </cfRule>
    <cfRule type="cellIs" dxfId="394" priority="96" operator="lessThan">
      <formula>50</formula>
    </cfRule>
    <cfRule type="cellIs" dxfId="393" priority="97" operator="greaterThan">
      <formula>0.7</formula>
    </cfRule>
    <cfRule type="cellIs" dxfId="392" priority="98" operator="between">
      <formula>0.51</formula>
      <formula>0.69</formula>
    </cfRule>
    <cfRule type="cellIs" dxfId="391" priority="99" operator="lessThan">
      <formula>0.5</formula>
    </cfRule>
    <cfRule type="cellIs" dxfId="390" priority="100" operator="greaterThan">
      <formula>0.7</formula>
    </cfRule>
  </conditionalFormatting>
  <conditionalFormatting sqref="R18">
    <cfRule type="cellIs" dxfId="389" priority="81" operator="between">
      <formula>0.51</formula>
      <formula>0.69</formula>
    </cfRule>
    <cfRule type="cellIs" dxfId="388" priority="82" operator="between">
      <formula>0.51</formula>
      <formula>0.69</formula>
    </cfRule>
    <cfRule type="cellIs" dxfId="387" priority="83" operator="lessThan">
      <formula>0.5</formula>
    </cfRule>
    <cfRule type="cellIs" dxfId="386" priority="84" operator="greaterThan">
      <formula>0.7</formula>
    </cfRule>
    <cfRule type="cellIs" dxfId="385" priority="85" operator="between">
      <formula>0.51</formula>
      <formula>0.69</formula>
    </cfRule>
    <cfRule type="cellIs" dxfId="384" priority="86" operator="lessThan">
      <formula>50</formula>
    </cfRule>
    <cfRule type="cellIs" dxfId="383" priority="87" operator="greaterThan">
      <formula>0.7</formula>
    </cfRule>
    <cfRule type="cellIs" dxfId="382" priority="88" operator="between">
      <formula>0.51</formula>
      <formula>0.69</formula>
    </cfRule>
    <cfRule type="cellIs" dxfId="381" priority="89" operator="lessThan">
      <formula>0.5</formula>
    </cfRule>
    <cfRule type="cellIs" dxfId="380" priority="90" operator="greaterThan">
      <formula>0.7</formula>
    </cfRule>
  </conditionalFormatting>
  <conditionalFormatting sqref="R22:R23 R25 R27 R29 R31:R35 R37">
    <cfRule type="cellIs" dxfId="379" priority="71" operator="between">
      <formula>0.51</formula>
      <formula>0.69</formula>
    </cfRule>
    <cfRule type="cellIs" dxfId="378" priority="72" operator="between">
      <formula>0.51</formula>
      <formula>0.69</formula>
    </cfRule>
    <cfRule type="cellIs" dxfId="377" priority="73" operator="lessThan">
      <formula>0.5</formula>
    </cfRule>
    <cfRule type="cellIs" dxfId="376" priority="74" operator="greaterThan">
      <formula>0.7</formula>
    </cfRule>
    <cfRule type="cellIs" dxfId="375" priority="75" operator="between">
      <formula>0.51</formula>
      <formula>0.69</formula>
    </cfRule>
    <cfRule type="cellIs" dxfId="374" priority="76" operator="lessThan">
      <formula>50</formula>
    </cfRule>
    <cfRule type="cellIs" dxfId="373" priority="77" operator="greaterThan">
      <formula>0.7</formula>
    </cfRule>
    <cfRule type="cellIs" dxfId="372" priority="78" operator="between">
      <formula>0.51</formula>
      <formula>0.69</formula>
    </cfRule>
    <cfRule type="cellIs" dxfId="371" priority="79" operator="lessThan">
      <formula>0.5</formula>
    </cfRule>
    <cfRule type="cellIs" dxfId="370" priority="80" operator="greaterThan">
      <formula>0.7</formula>
    </cfRule>
  </conditionalFormatting>
  <conditionalFormatting sqref="R20">
    <cfRule type="cellIs" dxfId="369" priority="61" operator="between">
      <formula>0.51</formula>
      <formula>0.69</formula>
    </cfRule>
    <cfRule type="cellIs" dxfId="368" priority="62" operator="between">
      <formula>0.51</formula>
      <formula>0.69</formula>
    </cfRule>
    <cfRule type="cellIs" dxfId="367" priority="63" operator="lessThan">
      <formula>0.5</formula>
    </cfRule>
    <cfRule type="cellIs" dxfId="366" priority="64" operator="greaterThan">
      <formula>0.7</formula>
    </cfRule>
    <cfRule type="cellIs" dxfId="365" priority="65" operator="between">
      <formula>0.51</formula>
      <formula>0.69</formula>
    </cfRule>
    <cfRule type="cellIs" dxfId="364" priority="66" operator="lessThan">
      <formula>50</formula>
    </cfRule>
    <cfRule type="cellIs" dxfId="363" priority="67" operator="greaterThan">
      <formula>0.7</formula>
    </cfRule>
    <cfRule type="cellIs" dxfId="362" priority="68" operator="between">
      <formula>0.51</formula>
      <formula>0.69</formula>
    </cfRule>
    <cfRule type="cellIs" dxfId="361" priority="69" operator="lessThan">
      <formula>0.5</formula>
    </cfRule>
    <cfRule type="cellIs" dxfId="360" priority="70" operator="greaterThan">
      <formula>0.7</formula>
    </cfRule>
  </conditionalFormatting>
  <conditionalFormatting sqref="R24">
    <cfRule type="cellIs" dxfId="359" priority="51" operator="between">
      <formula>0.51</formula>
      <formula>0.69</formula>
    </cfRule>
    <cfRule type="cellIs" dxfId="358" priority="52" operator="between">
      <formula>0.51</formula>
      <formula>0.69</formula>
    </cfRule>
    <cfRule type="cellIs" dxfId="357" priority="53" operator="lessThan">
      <formula>0.5</formula>
    </cfRule>
    <cfRule type="cellIs" dxfId="356" priority="54" operator="greaterThan">
      <formula>0.7</formula>
    </cfRule>
    <cfRule type="cellIs" dxfId="355" priority="55" operator="between">
      <formula>0.51</formula>
      <formula>0.69</formula>
    </cfRule>
    <cfRule type="cellIs" dxfId="354" priority="56" operator="lessThan">
      <formula>50</formula>
    </cfRule>
    <cfRule type="cellIs" dxfId="353" priority="57" operator="greaterThan">
      <formula>0.7</formula>
    </cfRule>
    <cfRule type="cellIs" dxfId="352" priority="58" operator="between">
      <formula>0.51</formula>
      <formula>0.69</formula>
    </cfRule>
    <cfRule type="cellIs" dxfId="351" priority="59" operator="lessThan">
      <formula>0.5</formula>
    </cfRule>
    <cfRule type="cellIs" dxfId="350" priority="60" operator="greaterThan">
      <formula>0.7</formula>
    </cfRule>
  </conditionalFormatting>
  <conditionalFormatting sqref="R26">
    <cfRule type="cellIs" dxfId="349" priority="41" operator="between">
      <formula>0.51</formula>
      <formula>0.69</formula>
    </cfRule>
    <cfRule type="cellIs" dxfId="348" priority="42" operator="between">
      <formula>0.51</formula>
      <formula>0.69</formula>
    </cfRule>
    <cfRule type="cellIs" dxfId="347" priority="43" operator="lessThan">
      <formula>0.5</formula>
    </cfRule>
    <cfRule type="cellIs" dxfId="346" priority="44" operator="greaterThan">
      <formula>0.7</formula>
    </cfRule>
    <cfRule type="cellIs" dxfId="345" priority="45" operator="between">
      <formula>0.51</formula>
      <formula>0.69</formula>
    </cfRule>
    <cfRule type="cellIs" dxfId="344" priority="46" operator="lessThan">
      <formula>50</formula>
    </cfRule>
    <cfRule type="cellIs" dxfId="343" priority="47" operator="greaterThan">
      <formula>0.7</formula>
    </cfRule>
    <cfRule type="cellIs" dxfId="342" priority="48" operator="between">
      <formula>0.51</formula>
      <formula>0.69</formula>
    </cfRule>
    <cfRule type="cellIs" dxfId="341" priority="49" operator="lessThan">
      <formula>0.5</formula>
    </cfRule>
    <cfRule type="cellIs" dxfId="340" priority="50" operator="greaterThan">
      <formula>0.7</formula>
    </cfRule>
  </conditionalFormatting>
  <conditionalFormatting sqref="R28">
    <cfRule type="cellIs" dxfId="339" priority="31" operator="between">
      <formula>0.51</formula>
      <formula>0.69</formula>
    </cfRule>
    <cfRule type="cellIs" dxfId="338" priority="32" operator="between">
      <formula>0.51</formula>
      <formula>0.69</formula>
    </cfRule>
    <cfRule type="cellIs" dxfId="337" priority="33" operator="lessThan">
      <formula>0.5</formula>
    </cfRule>
    <cfRule type="cellIs" dxfId="336" priority="34" operator="greaterThan">
      <formula>0.7</formula>
    </cfRule>
    <cfRule type="cellIs" dxfId="335" priority="35" operator="between">
      <formula>0.51</formula>
      <formula>0.69</formula>
    </cfRule>
    <cfRule type="cellIs" dxfId="334" priority="36" operator="lessThan">
      <formula>50</formula>
    </cfRule>
    <cfRule type="cellIs" dxfId="333" priority="37" operator="greaterThan">
      <formula>0.7</formula>
    </cfRule>
    <cfRule type="cellIs" dxfId="332" priority="38" operator="between">
      <formula>0.51</formula>
      <formula>0.69</formula>
    </cfRule>
    <cfRule type="cellIs" dxfId="331" priority="39" operator="lessThan">
      <formula>0.5</formula>
    </cfRule>
    <cfRule type="cellIs" dxfId="330" priority="40" operator="greaterThan">
      <formula>0.7</formula>
    </cfRule>
  </conditionalFormatting>
  <conditionalFormatting sqref="R30">
    <cfRule type="cellIs" dxfId="329" priority="21" operator="between">
      <formula>0.51</formula>
      <formula>0.69</formula>
    </cfRule>
    <cfRule type="cellIs" dxfId="328" priority="22" operator="between">
      <formula>0.51</formula>
      <formula>0.69</formula>
    </cfRule>
    <cfRule type="cellIs" dxfId="327" priority="23" operator="lessThan">
      <formula>0.5</formula>
    </cfRule>
    <cfRule type="cellIs" dxfId="326" priority="24" operator="greaterThan">
      <formula>0.7</formula>
    </cfRule>
    <cfRule type="cellIs" dxfId="325" priority="25" operator="between">
      <formula>0.51</formula>
      <formula>0.69</formula>
    </cfRule>
    <cfRule type="cellIs" dxfId="324" priority="26" operator="lessThan">
      <formula>50</formula>
    </cfRule>
    <cfRule type="cellIs" dxfId="323" priority="27" operator="greaterThan">
      <formula>0.7</formula>
    </cfRule>
    <cfRule type="cellIs" dxfId="322" priority="28" operator="between">
      <formula>0.51</formula>
      <formula>0.69</formula>
    </cfRule>
    <cfRule type="cellIs" dxfId="321" priority="29" operator="lessThan">
      <formula>0.5</formula>
    </cfRule>
    <cfRule type="cellIs" dxfId="320" priority="30" operator="greaterThan">
      <formula>0.7</formula>
    </cfRule>
  </conditionalFormatting>
  <conditionalFormatting sqref="R36">
    <cfRule type="cellIs" dxfId="319" priority="11" operator="between">
      <formula>0.51</formula>
      <formula>0.69</formula>
    </cfRule>
    <cfRule type="cellIs" dxfId="318" priority="12" operator="between">
      <formula>0.51</formula>
      <formula>0.69</formula>
    </cfRule>
    <cfRule type="cellIs" dxfId="317" priority="13" operator="lessThan">
      <formula>0.5</formula>
    </cfRule>
    <cfRule type="cellIs" dxfId="316" priority="14" operator="greaterThan">
      <formula>0.7</formula>
    </cfRule>
    <cfRule type="cellIs" dxfId="315" priority="15" operator="between">
      <formula>0.51</formula>
      <formula>0.69</formula>
    </cfRule>
    <cfRule type="cellIs" dxfId="314" priority="16" operator="lessThan">
      <formula>50</formula>
    </cfRule>
    <cfRule type="cellIs" dxfId="313" priority="17" operator="greaterThan">
      <formula>0.7</formula>
    </cfRule>
    <cfRule type="cellIs" dxfId="312" priority="18" operator="between">
      <formula>0.51</formula>
      <formula>0.69</formula>
    </cfRule>
    <cfRule type="cellIs" dxfId="311" priority="19" operator="lessThan">
      <formula>0.5</formula>
    </cfRule>
    <cfRule type="cellIs" dxfId="310" priority="20" operator="greaterThan">
      <formula>0.7</formula>
    </cfRule>
  </conditionalFormatting>
  <conditionalFormatting sqref="R38">
    <cfRule type="cellIs" dxfId="309" priority="1" operator="between">
      <formula>0.51</formula>
      <formula>0.69</formula>
    </cfRule>
    <cfRule type="cellIs" dxfId="308" priority="2" operator="between">
      <formula>0.51</formula>
      <formula>0.69</formula>
    </cfRule>
    <cfRule type="cellIs" dxfId="307" priority="3" operator="lessThan">
      <formula>0.5</formula>
    </cfRule>
    <cfRule type="cellIs" dxfId="306" priority="4" operator="greaterThan">
      <formula>0.7</formula>
    </cfRule>
    <cfRule type="cellIs" dxfId="305" priority="5" operator="between">
      <formula>0.51</formula>
      <formula>0.69</formula>
    </cfRule>
    <cfRule type="cellIs" dxfId="304" priority="6" operator="lessThan">
      <formula>50</formula>
    </cfRule>
    <cfRule type="cellIs" dxfId="303" priority="7" operator="greaterThan">
      <formula>0.7</formula>
    </cfRule>
    <cfRule type="cellIs" dxfId="302" priority="8" operator="between">
      <formula>0.51</formula>
      <formula>0.69</formula>
    </cfRule>
    <cfRule type="cellIs" dxfId="301" priority="9" operator="lessThan">
      <formula>0.5</formula>
    </cfRule>
    <cfRule type="cellIs" dxfId="300" priority="10" operator="greaterThan">
      <formula>0.7</formula>
    </cfRule>
  </conditionalFormatting>
  <pageMargins left="0.7" right="0.7" top="0.75" bottom="0.75" header="0.3" footer="0.3"/>
  <pageSetup paperSize="205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482B"/>
  </sheetPr>
  <dimension ref="A1:EE439"/>
  <sheetViews>
    <sheetView showGridLines="0" topLeftCell="A7" zoomScale="80" zoomScaleNormal="80" workbookViewId="0">
      <pane ySplit="1" topLeftCell="A8" activePane="bottomLeft" state="frozen"/>
      <selection activeCell="B7" sqref="B7"/>
      <selection pane="bottomLeft" activeCell="W363" sqref="W363"/>
    </sheetView>
  </sheetViews>
  <sheetFormatPr baseColWidth="10" defaultColWidth="0" defaultRowHeight="0" customHeight="1" zeroHeight="1" x14ac:dyDescent="0.25"/>
  <cols>
    <col min="1" max="1" width="11.42578125" style="73" customWidth="1"/>
    <col min="2" max="2" width="38.140625" style="73" customWidth="1"/>
    <col min="3" max="3" width="17.28515625" style="73" customWidth="1"/>
    <col min="4" max="4" width="14.7109375" style="73" customWidth="1"/>
    <col min="5" max="5" width="39.42578125" style="73" customWidth="1"/>
    <col min="6" max="6" width="21.140625" style="1" hidden="1" customWidth="1"/>
    <col min="7" max="7" width="12.85546875" style="73" hidden="1" customWidth="1"/>
    <col min="8" max="8" width="17.5703125" style="73" hidden="1" customWidth="1"/>
    <col min="9" max="11" width="17.5703125" style="229" hidden="1" customWidth="1"/>
    <col min="12" max="13" width="16.7109375" style="73" hidden="1" customWidth="1"/>
    <col min="14" max="14" width="18.7109375" style="73" customWidth="1"/>
    <col min="15" max="15" width="17.28515625" style="73" customWidth="1"/>
    <col min="16" max="16" width="15.7109375" style="73" customWidth="1"/>
    <col min="17" max="17" width="11.42578125" style="73" customWidth="1"/>
    <col min="18" max="18" width="15.42578125" style="73" customWidth="1"/>
    <col min="19" max="19" width="18.42578125" style="73" bestFit="1" customWidth="1"/>
    <col min="20" max="20" width="11.5703125" style="3" bestFit="1" customWidth="1"/>
    <col min="21" max="21" width="11.42578125" style="73" customWidth="1"/>
    <col min="22" max="22" width="16.7109375" style="35" bestFit="1" customWidth="1"/>
    <col min="23" max="23" width="17.28515625" style="73" bestFit="1" customWidth="1"/>
    <col min="24" max="24" width="11.42578125" style="73" customWidth="1"/>
    <col min="25" max="25" width="14.5703125" style="35" customWidth="1"/>
    <col min="26" max="26" width="19" style="73" bestFit="1" customWidth="1"/>
    <col min="27" max="131" width="11.5703125" style="72" hidden="1" customWidth="1"/>
    <col min="132" max="135" width="11.5703125" style="73" hidden="1" customWidth="1"/>
    <col min="136" max="16384" width="11.42578125" style="73" hidden="1"/>
  </cols>
  <sheetData>
    <row r="1" spans="1:131" ht="15" hidden="1" x14ac:dyDescent="0.25">
      <c r="A1" s="24"/>
      <c r="B1" s="25"/>
      <c r="C1" s="25"/>
      <c r="D1" s="26"/>
      <c r="E1" s="26"/>
      <c r="F1" s="27"/>
      <c r="G1" s="28"/>
      <c r="H1" s="28"/>
      <c r="I1" s="28"/>
      <c r="J1" s="28"/>
      <c r="K1" s="28"/>
      <c r="L1" s="28"/>
      <c r="M1" s="29"/>
      <c r="N1" s="24"/>
      <c r="O1" s="24"/>
      <c r="P1" s="24"/>
      <c r="Q1" s="24"/>
      <c r="R1" s="24"/>
      <c r="S1" s="24"/>
      <c r="T1" s="24"/>
      <c r="U1" s="24"/>
      <c r="V1" s="36"/>
      <c r="W1" s="24"/>
      <c r="X1" s="24"/>
      <c r="Y1" s="36"/>
    </row>
    <row r="2" spans="1:131"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09"/>
      <c r="X2" s="709"/>
      <c r="Y2" s="730" t="s">
        <v>86</v>
      </c>
      <c r="Z2" s="730"/>
    </row>
    <row r="3" spans="1:131"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1"/>
      <c r="X3" s="731"/>
      <c r="Y3" s="730" t="s">
        <v>88</v>
      </c>
      <c r="Z3" s="730"/>
    </row>
    <row r="4" spans="1:131"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1"/>
      <c r="X4" s="731"/>
      <c r="Y4" s="730" t="s">
        <v>90</v>
      </c>
      <c r="Z4" s="730"/>
    </row>
    <row r="5" spans="1:131"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1"/>
      <c r="X5" s="731"/>
      <c r="Y5" s="730" t="s">
        <v>91</v>
      </c>
      <c r="Z5" s="730"/>
    </row>
    <row r="6" spans="1:131" ht="15" hidden="1" x14ac:dyDescent="0.25">
      <c r="A6" s="24"/>
      <c r="B6" s="24"/>
      <c r="C6" s="24"/>
      <c r="D6" s="24"/>
      <c r="E6" s="24"/>
      <c r="F6" s="24"/>
      <c r="G6" s="24"/>
      <c r="H6" s="24"/>
      <c r="I6" s="24"/>
      <c r="J6" s="24"/>
      <c r="K6" s="24"/>
      <c r="L6" s="24"/>
      <c r="M6" s="24"/>
      <c r="N6" s="24"/>
      <c r="O6" s="24"/>
      <c r="P6" s="24"/>
      <c r="Q6" s="24"/>
      <c r="R6" s="24"/>
      <c r="S6" s="24"/>
      <c r="T6" s="24"/>
      <c r="U6" s="24"/>
      <c r="V6" s="36"/>
      <c r="W6" s="24"/>
      <c r="X6" s="24"/>
      <c r="Y6" s="36"/>
    </row>
    <row r="7" spans="1:131" s="34" customFormat="1" ht="63.75" x14ac:dyDescent="0.25">
      <c r="A7" s="41" t="s">
        <v>0</v>
      </c>
      <c r="B7" s="41" t="s">
        <v>1</v>
      </c>
      <c r="C7" s="41" t="s">
        <v>2</v>
      </c>
      <c r="D7" s="41" t="s">
        <v>103</v>
      </c>
      <c r="E7" s="41" t="s">
        <v>30</v>
      </c>
      <c r="F7" s="41" t="s">
        <v>96</v>
      </c>
      <c r="G7" s="41" t="s">
        <v>97</v>
      </c>
      <c r="H7" s="41" t="s">
        <v>871</v>
      </c>
      <c r="I7" s="41" t="s">
        <v>1133</v>
      </c>
      <c r="J7" s="41" t="s">
        <v>1134</v>
      </c>
      <c r="K7" s="41" t="s">
        <v>1136</v>
      </c>
      <c r="L7" s="41" t="s">
        <v>98</v>
      </c>
      <c r="M7" s="41" t="s">
        <v>99</v>
      </c>
      <c r="N7" s="41" t="s">
        <v>3</v>
      </c>
      <c r="O7" s="41" t="s">
        <v>4</v>
      </c>
      <c r="P7" s="41" t="s">
        <v>28</v>
      </c>
      <c r="Q7" s="41" t="s">
        <v>21</v>
      </c>
      <c r="R7" s="41" t="s">
        <v>65</v>
      </c>
      <c r="S7" s="41" t="s">
        <v>31</v>
      </c>
      <c r="T7" s="32" t="s">
        <v>62</v>
      </c>
      <c r="U7" s="41" t="s">
        <v>22</v>
      </c>
      <c r="V7" s="37" t="s">
        <v>23</v>
      </c>
      <c r="W7" s="41" t="s">
        <v>24</v>
      </c>
      <c r="X7" s="41" t="s">
        <v>25</v>
      </c>
      <c r="Y7" s="37" t="s">
        <v>26</v>
      </c>
      <c r="Z7" s="41" t="s">
        <v>27</v>
      </c>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row>
    <row r="8" spans="1:131" s="50" customFormat="1" ht="15" x14ac:dyDescent="0.25">
      <c r="A8" s="692" t="s">
        <v>224</v>
      </c>
      <c r="B8" s="689" t="s">
        <v>225</v>
      </c>
      <c r="C8" s="689" t="s">
        <v>226</v>
      </c>
      <c r="D8" s="692" t="s">
        <v>788</v>
      </c>
      <c r="E8" s="689" t="s">
        <v>227</v>
      </c>
      <c r="F8" s="710">
        <v>357028017</v>
      </c>
      <c r="G8" s="692"/>
      <c r="H8" s="692"/>
      <c r="I8" s="728"/>
      <c r="J8" s="728"/>
      <c r="K8" s="728"/>
      <c r="L8" s="692"/>
      <c r="M8" s="728">
        <v>260374771</v>
      </c>
      <c r="N8" s="810">
        <f>+F8+H9+I9+J9+K9+G9+L8-M8</f>
        <v>96653246</v>
      </c>
      <c r="O8" s="742">
        <f>1134843051+1590748596</f>
        <v>2725591647</v>
      </c>
      <c r="P8" s="78" t="s">
        <v>682</v>
      </c>
      <c r="Q8" s="457" t="s">
        <v>683</v>
      </c>
      <c r="R8" s="78" t="s">
        <v>684</v>
      </c>
      <c r="S8" s="274">
        <v>2313360</v>
      </c>
      <c r="T8" s="46"/>
      <c r="U8" s="250">
        <v>21</v>
      </c>
      <c r="V8" s="122">
        <v>44608</v>
      </c>
      <c r="W8" s="66">
        <v>2313360</v>
      </c>
      <c r="X8" s="250">
        <v>14</v>
      </c>
      <c r="Y8" s="122" t="s">
        <v>1048</v>
      </c>
      <c r="Z8" s="274">
        <v>2313360</v>
      </c>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row>
    <row r="9" spans="1:131" s="50" customFormat="1" ht="15" x14ac:dyDescent="0.25">
      <c r="A9" s="693"/>
      <c r="B9" s="690"/>
      <c r="C9" s="690"/>
      <c r="D9" s="694"/>
      <c r="E9" s="691"/>
      <c r="F9" s="712"/>
      <c r="G9" s="694"/>
      <c r="H9" s="694"/>
      <c r="I9" s="729"/>
      <c r="J9" s="729"/>
      <c r="K9" s="729"/>
      <c r="L9" s="694"/>
      <c r="M9" s="729"/>
      <c r="N9" s="811"/>
      <c r="O9" s="743"/>
      <c r="P9" s="78" t="s">
        <v>1487</v>
      </c>
      <c r="Q9" s="457" t="s">
        <v>1488</v>
      </c>
      <c r="R9" s="78" t="s">
        <v>1489</v>
      </c>
      <c r="S9" s="66">
        <v>42222390</v>
      </c>
      <c r="T9" s="46"/>
      <c r="U9" s="38">
        <v>27</v>
      </c>
      <c r="V9" s="122">
        <v>44699</v>
      </c>
      <c r="W9" s="274">
        <v>42222390</v>
      </c>
      <c r="X9" s="38">
        <v>98</v>
      </c>
      <c r="Y9" s="122">
        <v>44761</v>
      </c>
      <c r="Z9" s="275">
        <v>42222390</v>
      </c>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row>
    <row r="10" spans="1:131" s="50" customFormat="1" ht="27" customHeight="1" x14ac:dyDescent="0.25">
      <c r="A10" s="693"/>
      <c r="B10" s="690"/>
      <c r="C10" s="690"/>
      <c r="D10" s="692" t="s">
        <v>792</v>
      </c>
      <c r="E10" s="689" t="s">
        <v>111</v>
      </c>
      <c r="F10" s="710">
        <v>5450000</v>
      </c>
      <c r="G10" s="692"/>
      <c r="H10" s="692"/>
      <c r="I10" s="728"/>
      <c r="J10" s="710">
        <v>20000000</v>
      </c>
      <c r="K10" s="710">
        <v>21515843</v>
      </c>
      <c r="L10" s="692"/>
      <c r="M10" s="692"/>
      <c r="N10" s="810">
        <f t="shared" ref="N10:N273" si="0">+F10+H10+I10+J10+K10+G10+L10-M10</f>
        <v>46965843</v>
      </c>
      <c r="O10" s="743"/>
      <c r="P10" s="78" t="s">
        <v>1575</v>
      </c>
      <c r="Q10" s="457" t="s">
        <v>1673</v>
      </c>
      <c r="R10" s="80" t="s">
        <v>1669</v>
      </c>
      <c r="S10" s="345">
        <v>2440000</v>
      </c>
      <c r="T10" s="46"/>
      <c r="U10" s="598">
        <v>39</v>
      </c>
      <c r="V10" s="273">
        <v>44774</v>
      </c>
      <c r="W10" s="345">
        <v>2440000</v>
      </c>
      <c r="X10" s="598">
        <v>103</v>
      </c>
      <c r="Y10" s="273">
        <v>44775</v>
      </c>
      <c r="Z10" s="349">
        <v>2440000</v>
      </c>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row>
    <row r="11" spans="1:131" s="50" customFormat="1" ht="15" x14ac:dyDescent="0.25">
      <c r="A11" s="693"/>
      <c r="B11" s="690"/>
      <c r="C11" s="690"/>
      <c r="D11" s="693"/>
      <c r="E11" s="690"/>
      <c r="F11" s="711"/>
      <c r="G11" s="693"/>
      <c r="H11" s="693"/>
      <c r="I11" s="735"/>
      <c r="J11" s="711"/>
      <c r="K11" s="711"/>
      <c r="L11" s="693"/>
      <c r="M11" s="693"/>
      <c r="N11" s="812"/>
      <c r="O11" s="743"/>
      <c r="P11" s="78" t="s">
        <v>1666</v>
      </c>
      <c r="Q11" s="457" t="s">
        <v>1674</v>
      </c>
      <c r="R11" s="80" t="s">
        <v>1670</v>
      </c>
      <c r="S11" s="345">
        <v>4920000</v>
      </c>
      <c r="T11" s="46"/>
      <c r="U11" s="598">
        <v>33</v>
      </c>
      <c r="V11" s="273">
        <v>44763</v>
      </c>
      <c r="W11" s="345">
        <v>4920000</v>
      </c>
      <c r="X11" s="598">
        <v>124</v>
      </c>
      <c r="Y11" s="273">
        <v>44799</v>
      </c>
      <c r="Z11" s="275">
        <v>4920000</v>
      </c>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row>
    <row r="12" spans="1:131" s="50" customFormat="1" ht="15" x14ac:dyDescent="0.25">
      <c r="A12" s="693"/>
      <c r="B12" s="690"/>
      <c r="C12" s="690"/>
      <c r="D12" s="693"/>
      <c r="E12" s="690"/>
      <c r="F12" s="711"/>
      <c r="G12" s="693"/>
      <c r="H12" s="693"/>
      <c r="I12" s="735"/>
      <c r="J12" s="711"/>
      <c r="K12" s="711"/>
      <c r="L12" s="693"/>
      <c r="M12" s="693"/>
      <c r="N12" s="812"/>
      <c r="O12" s="743"/>
      <c r="P12" s="78" t="s">
        <v>1667</v>
      </c>
      <c r="Q12" s="457" t="s">
        <v>1675</v>
      </c>
      <c r="R12" s="80" t="s">
        <v>1671</v>
      </c>
      <c r="S12" s="345">
        <v>10204608</v>
      </c>
      <c r="T12" s="46"/>
      <c r="U12" s="598">
        <v>35</v>
      </c>
      <c r="V12" s="273">
        <v>44764</v>
      </c>
      <c r="W12" s="345">
        <v>10204608</v>
      </c>
      <c r="X12" s="598">
        <v>109</v>
      </c>
      <c r="Y12" s="273">
        <v>44784</v>
      </c>
      <c r="Z12" s="349">
        <v>10204608</v>
      </c>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row>
    <row r="13" spans="1:131" s="50" customFormat="1" ht="15" x14ac:dyDescent="0.25">
      <c r="A13" s="693"/>
      <c r="B13" s="690"/>
      <c r="C13" s="690"/>
      <c r="D13" s="694"/>
      <c r="E13" s="691"/>
      <c r="F13" s="712"/>
      <c r="G13" s="694"/>
      <c r="H13" s="694"/>
      <c r="I13" s="729"/>
      <c r="J13" s="712"/>
      <c r="K13" s="712"/>
      <c r="L13" s="694"/>
      <c r="M13" s="694"/>
      <c r="N13" s="811"/>
      <c r="O13" s="743"/>
      <c r="P13" s="78" t="s">
        <v>1668</v>
      </c>
      <c r="Q13" s="457" t="s">
        <v>1676</v>
      </c>
      <c r="R13" s="80" t="s">
        <v>1672</v>
      </c>
      <c r="S13" s="274">
        <v>24815235</v>
      </c>
      <c r="T13" s="46"/>
      <c r="U13" s="598">
        <v>38</v>
      </c>
      <c r="V13" s="273">
        <v>44764</v>
      </c>
      <c r="W13" s="274">
        <v>24815235</v>
      </c>
      <c r="X13" s="598">
        <v>105</v>
      </c>
      <c r="Y13" s="273" t="s">
        <v>2878</v>
      </c>
      <c r="Z13" s="274">
        <v>24815235</v>
      </c>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row>
    <row r="14" spans="1:131" s="50" customFormat="1" ht="15" x14ac:dyDescent="0.25">
      <c r="A14" s="693"/>
      <c r="B14" s="690"/>
      <c r="C14" s="690"/>
      <c r="D14" s="692" t="s">
        <v>791</v>
      </c>
      <c r="E14" s="689" t="s">
        <v>228</v>
      </c>
      <c r="F14" s="710">
        <v>121840303</v>
      </c>
      <c r="G14" s="692"/>
      <c r="H14" s="710">
        <v>121395051</v>
      </c>
      <c r="I14" s="710">
        <v>445896586</v>
      </c>
      <c r="J14" s="710">
        <v>61800439</v>
      </c>
      <c r="K14" s="728"/>
      <c r="L14" s="692"/>
      <c r="M14" s="692"/>
      <c r="N14" s="810">
        <f>+F14+G14+H14+I14+J14+K14+L14-M14</f>
        <v>750932379</v>
      </c>
      <c r="O14" s="743"/>
      <c r="P14" s="78" t="s">
        <v>1490</v>
      </c>
      <c r="Q14" s="457" t="s">
        <v>1491</v>
      </c>
      <c r="R14" s="78" t="s">
        <v>1492</v>
      </c>
      <c r="S14" s="274">
        <v>44500000</v>
      </c>
      <c r="T14" s="46"/>
      <c r="U14" s="598">
        <v>28</v>
      </c>
      <c r="V14" s="273">
        <v>44707</v>
      </c>
      <c r="W14" s="274">
        <v>44500000</v>
      </c>
      <c r="X14" s="598">
        <v>21</v>
      </c>
      <c r="Y14" s="273" t="s">
        <v>2879</v>
      </c>
      <c r="Z14" s="275">
        <v>500000</v>
      </c>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row>
    <row r="15" spans="1:131" s="50" customFormat="1" ht="15" x14ac:dyDescent="0.25">
      <c r="A15" s="693"/>
      <c r="B15" s="690"/>
      <c r="C15" s="690"/>
      <c r="D15" s="693"/>
      <c r="E15" s="690"/>
      <c r="F15" s="711"/>
      <c r="G15" s="693"/>
      <c r="H15" s="711"/>
      <c r="I15" s="711"/>
      <c r="J15" s="711"/>
      <c r="K15" s="735"/>
      <c r="L15" s="693"/>
      <c r="M15" s="693"/>
      <c r="N15" s="812"/>
      <c r="O15" s="743"/>
      <c r="P15" s="78"/>
      <c r="Q15" s="148"/>
      <c r="R15" s="78"/>
      <c r="S15" s="274"/>
      <c r="T15" s="46"/>
      <c r="U15" s="598"/>
      <c r="V15" s="273"/>
      <c r="W15" s="274"/>
      <c r="X15" s="598">
        <v>22</v>
      </c>
      <c r="Y15" s="273" t="s">
        <v>2879</v>
      </c>
      <c r="Z15" s="275">
        <v>500000</v>
      </c>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row>
    <row r="16" spans="1:131" s="50" customFormat="1" ht="15" x14ac:dyDescent="0.25">
      <c r="A16" s="693"/>
      <c r="B16" s="690"/>
      <c r="C16" s="690"/>
      <c r="D16" s="693"/>
      <c r="E16" s="690"/>
      <c r="F16" s="711"/>
      <c r="G16" s="693"/>
      <c r="H16" s="711"/>
      <c r="I16" s="711"/>
      <c r="J16" s="711"/>
      <c r="K16" s="735"/>
      <c r="L16" s="693"/>
      <c r="M16" s="693"/>
      <c r="N16" s="812"/>
      <c r="O16" s="743"/>
      <c r="P16" s="78"/>
      <c r="Q16" s="148"/>
      <c r="R16" s="78"/>
      <c r="S16" s="274"/>
      <c r="T16" s="46"/>
      <c r="U16" s="598"/>
      <c r="V16" s="273"/>
      <c r="W16" s="274"/>
      <c r="X16" s="598">
        <v>23</v>
      </c>
      <c r="Y16" s="273" t="s">
        <v>2879</v>
      </c>
      <c r="Z16" s="275">
        <v>500000</v>
      </c>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row>
    <row r="17" spans="1:131" s="50" customFormat="1" ht="15" x14ac:dyDescent="0.25">
      <c r="A17" s="693"/>
      <c r="B17" s="690"/>
      <c r="C17" s="690"/>
      <c r="D17" s="693"/>
      <c r="E17" s="690"/>
      <c r="F17" s="711"/>
      <c r="G17" s="693"/>
      <c r="H17" s="711"/>
      <c r="I17" s="711"/>
      <c r="J17" s="711"/>
      <c r="K17" s="735"/>
      <c r="L17" s="693"/>
      <c r="M17" s="693"/>
      <c r="N17" s="812"/>
      <c r="O17" s="743"/>
      <c r="P17" s="78"/>
      <c r="Q17" s="148"/>
      <c r="R17" s="78"/>
      <c r="S17" s="274"/>
      <c r="T17" s="46"/>
      <c r="U17" s="598"/>
      <c r="V17" s="273"/>
      <c r="W17" s="274"/>
      <c r="X17" s="598">
        <v>24</v>
      </c>
      <c r="Y17" s="273" t="s">
        <v>2879</v>
      </c>
      <c r="Z17" s="275">
        <v>500000</v>
      </c>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row>
    <row r="18" spans="1:131" s="50" customFormat="1" ht="15" x14ac:dyDescent="0.25">
      <c r="A18" s="693"/>
      <c r="B18" s="690"/>
      <c r="C18" s="690"/>
      <c r="D18" s="693"/>
      <c r="E18" s="690"/>
      <c r="F18" s="711"/>
      <c r="G18" s="693"/>
      <c r="H18" s="711"/>
      <c r="I18" s="711"/>
      <c r="J18" s="711"/>
      <c r="K18" s="735"/>
      <c r="L18" s="693"/>
      <c r="M18" s="693"/>
      <c r="N18" s="812"/>
      <c r="O18" s="743"/>
      <c r="P18" s="78"/>
      <c r="Q18" s="148"/>
      <c r="R18" s="78"/>
      <c r="S18" s="274"/>
      <c r="T18" s="46"/>
      <c r="U18" s="598"/>
      <c r="V18" s="273"/>
      <c r="W18" s="274"/>
      <c r="X18" s="598">
        <v>25</v>
      </c>
      <c r="Y18" s="273" t="s">
        <v>2879</v>
      </c>
      <c r="Z18" s="275">
        <v>500000</v>
      </c>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row>
    <row r="19" spans="1:131" s="50" customFormat="1" ht="15" x14ac:dyDescent="0.25">
      <c r="A19" s="693"/>
      <c r="B19" s="690"/>
      <c r="C19" s="690"/>
      <c r="D19" s="693"/>
      <c r="E19" s="690"/>
      <c r="F19" s="711"/>
      <c r="G19" s="693"/>
      <c r="H19" s="711"/>
      <c r="I19" s="711"/>
      <c r="J19" s="711"/>
      <c r="K19" s="735"/>
      <c r="L19" s="693"/>
      <c r="M19" s="693"/>
      <c r="N19" s="812"/>
      <c r="O19" s="743"/>
      <c r="P19" s="78"/>
      <c r="Q19" s="148"/>
      <c r="R19" s="78"/>
      <c r="S19" s="274"/>
      <c r="T19" s="46"/>
      <c r="U19" s="598"/>
      <c r="V19" s="273"/>
      <c r="W19" s="274"/>
      <c r="X19" s="598">
        <v>26</v>
      </c>
      <c r="Y19" s="273" t="s">
        <v>2879</v>
      </c>
      <c r="Z19" s="275">
        <v>1000000</v>
      </c>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row>
    <row r="20" spans="1:131" s="50" customFormat="1" ht="15" x14ac:dyDescent="0.25">
      <c r="A20" s="693"/>
      <c r="B20" s="690"/>
      <c r="C20" s="690"/>
      <c r="D20" s="693"/>
      <c r="E20" s="690"/>
      <c r="F20" s="711"/>
      <c r="G20" s="693"/>
      <c r="H20" s="711"/>
      <c r="I20" s="711"/>
      <c r="J20" s="711"/>
      <c r="K20" s="735"/>
      <c r="L20" s="693"/>
      <c r="M20" s="693"/>
      <c r="N20" s="812"/>
      <c r="O20" s="743"/>
      <c r="P20" s="78"/>
      <c r="Q20" s="148"/>
      <c r="R20" s="78"/>
      <c r="S20" s="274"/>
      <c r="T20" s="46"/>
      <c r="U20" s="598"/>
      <c r="V20" s="273"/>
      <c r="W20" s="274"/>
      <c r="X20" s="598">
        <v>27</v>
      </c>
      <c r="Y20" s="273" t="s">
        <v>2879</v>
      </c>
      <c r="Z20" s="275">
        <v>500000</v>
      </c>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row>
    <row r="21" spans="1:131" s="50" customFormat="1" ht="15" x14ac:dyDescent="0.25">
      <c r="A21" s="693"/>
      <c r="B21" s="690"/>
      <c r="C21" s="690"/>
      <c r="D21" s="693"/>
      <c r="E21" s="690"/>
      <c r="F21" s="711"/>
      <c r="G21" s="693"/>
      <c r="H21" s="711"/>
      <c r="I21" s="711"/>
      <c r="J21" s="711"/>
      <c r="K21" s="735"/>
      <c r="L21" s="693"/>
      <c r="M21" s="693"/>
      <c r="N21" s="812"/>
      <c r="O21" s="743"/>
      <c r="P21" s="78"/>
      <c r="Q21" s="148"/>
      <c r="R21" s="78"/>
      <c r="S21" s="274"/>
      <c r="T21" s="46"/>
      <c r="U21" s="598"/>
      <c r="V21" s="273"/>
      <c r="W21" s="274"/>
      <c r="X21" s="598">
        <v>28</v>
      </c>
      <c r="Y21" s="273" t="s">
        <v>2879</v>
      </c>
      <c r="Z21" s="275">
        <v>500000</v>
      </c>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row>
    <row r="22" spans="1:131" s="50" customFormat="1" ht="15" x14ac:dyDescent="0.25">
      <c r="A22" s="693"/>
      <c r="B22" s="690"/>
      <c r="C22" s="690"/>
      <c r="D22" s="693"/>
      <c r="E22" s="690"/>
      <c r="F22" s="711"/>
      <c r="G22" s="693"/>
      <c r="H22" s="711"/>
      <c r="I22" s="711"/>
      <c r="J22" s="711"/>
      <c r="K22" s="735"/>
      <c r="L22" s="693"/>
      <c r="M22" s="693"/>
      <c r="N22" s="812"/>
      <c r="O22" s="743"/>
      <c r="P22" s="78"/>
      <c r="Q22" s="148"/>
      <c r="R22" s="78"/>
      <c r="S22" s="274"/>
      <c r="T22" s="46"/>
      <c r="U22" s="598"/>
      <c r="V22" s="273"/>
      <c r="W22" s="274"/>
      <c r="X22" s="598">
        <v>29</v>
      </c>
      <c r="Y22" s="273" t="s">
        <v>2879</v>
      </c>
      <c r="Z22" s="275">
        <v>500000</v>
      </c>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row>
    <row r="23" spans="1:131" s="50" customFormat="1" ht="15" x14ac:dyDescent="0.25">
      <c r="A23" s="693"/>
      <c r="B23" s="690"/>
      <c r="C23" s="690"/>
      <c r="D23" s="693"/>
      <c r="E23" s="690"/>
      <c r="F23" s="711"/>
      <c r="G23" s="693"/>
      <c r="H23" s="711"/>
      <c r="I23" s="711"/>
      <c r="J23" s="711"/>
      <c r="K23" s="735"/>
      <c r="L23" s="693"/>
      <c r="M23" s="693"/>
      <c r="N23" s="812"/>
      <c r="O23" s="743"/>
      <c r="P23" s="78"/>
      <c r="Q23" s="148"/>
      <c r="R23" s="78"/>
      <c r="S23" s="274"/>
      <c r="T23" s="46"/>
      <c r="U23" s="598"/>
      <c r="V23" s="273"/>
      <c r="W23" s="274"/>
      <c r="X23" s="598">
        <v>30</v>
      </c>
      <c r="Y23" s="273" t="s">
        <v>2879</v>
      </c>
      <c r="Z23" s="275">
        <v>500000</v>
      </c>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row>
    <row r="24" spans="1:131" s="50" customFormat="1" ht="15" x14ac:dyDescent="0.25">
      <c r="A24" s="693"/>
      <c r="B24" s="690"/>
      <c r="C24" s="690"/>
      <c r="D24" s="693"/>
      <c r="E24" s="690"/>
      <c r="F24" s="711"/>
      <c r="G24" s="693"/>
      <c r="H24" s="711"/>
      <c r="I24" s="711"/>
      <c r="J24" s="711"/>
      <c r="K24" s="735"/>
      <c r="L24" s="693"/>
      <c r="M24" s="693"/>
      <c r="N24" s="812"/>
      <c r="O24" s="743"/>
      <c r="P24" s="78"/>
      <c r="Q24" s="148"/>
      <c r="R24" s="78"/>
      <c r="S24" s="274"/>
      <c r="T24" s="46"/>
      <c r="U24" s="598"/>
      <c r="V24" s="273"/>
      <c r="W24" s="274"/>
      <c r="X24" s="598">
        <v>31</v>
      </c>
      <c r="Y24" s="273" t="s">
        <v>2879</v>
      </c>
      <c r="Z24" s="275">
        <v>500000</v>
      </c>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row>
    <row r="25" spans="1:131" s="50" customFormat="1" ht="15" x14ac:dyDescent="0.25">
      <c r="A25" s="693"/>
      <c r="B25" s="690"/>
      <c r="C25" s="690"/>
      <c r="D25" s="693"/>
      <c r="E25" s="690"/>
      <c r="F25" s="711"/>
      <c r="G25" s="693"/>
      <c r="H25" s="711"/>
      <c r="I25" s="711"/>
      <c r="J25" s="711"/>
      <c r="K25" s="735"/>
      <c r="L25" s="693"/>
      <c r="M25" s="693"/>
      <c r="N25" s="812"/>
      <c r="O25" s="743"/>
      <c r="P25" s="78"/>
      <c r="Q25" s="148"/>
      <c r="R25" s="78"/>
      <c r="S25" s="274"/>
      <c r="T25" s="46"/>
      <c r="U25" s="598"/>
      <c r="V25" s="273"/>
      <c r="W25" s="274"/>
      <c r="X25" s="598">
        <v>32</v>
      </c>
      <c r="Y25" s="273" t="s">
        <v>2879</v>
      </c>
      <c r="Z25" s="275">
        <v>500000</v>
      </c>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row>
    <row r="26" spans="1:131" s="50" customFormat="1" ht="15" x14ac:dyDescent="0.25">
      <c r="A26" s="693"/>
      <c r="B26" s="690"/>
      <c r="C26" s="690"/>
      <c r="D26" s="693"/>
      <c r="E26" s="690"/>
      <c r="F26" s="711"/>
      <c r="G26" s="693"/>
      <c r="H26" s="711"/>
      <c r="I26" s="711"/>
      <c r="J26" s="711"/>
      <c r="K26" s="735"/>
      <c r="L26" s="693"/>
      <c r="M26" s="693"/>
      <c r="N26" s="812"/>
      <c r="O26" s="743"/>
      <c r="P26" s="78"/>
      <c r="Q26" s="148"/>
      <c r="R26" s="78"/>
      <c r="S26" s="274"/>
      <c r="T26" s="46"/>
      <c r="U26" s="598"/>
      <c r="V26" s="273"/>
      <c r="W26" s="274"/>
      <c r="X26" s="598">
        <v>33</v>
      </c>
      <c r="Y26" s="273" t="s">
        <v>2879</v>
      </c>
      <c r="Z26" s="275">
        <v>500000</v>
      </c>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row>
    <row r="27" spans="1:131" s="50" customFormat="1" ht="15" x14ac:dyDescent="0.25">
      <c r="A27" s="693"/>
      <c r="B27" s="690"/>
      <c r="C27" s="690"/>
      <c r="D27" s="693"/>
      <c r="E27" s="690"/>
      <c r="F27" s="711"/>
      <c r="G27" s="693"/>
      <c r="H27" s="711"/>
      <c r="I27" s="711"/>
      <c r="J27" s="711"/>
      <c r="K27" s="735"/>
      <c r="L27" s="693"/>
      <c r="M27" s="693"/>
      <c r="N27" s="812"/>
      <c r="O27" s="743"/>
      <c r="P27" s="78"/>
      <c r="Q27" s="148"/>
      <c r="R27" s="78"/>
      <c r="S27" s="274"/>
      <c r="T27" s="46"/>
      <c r="U27" s="598"/>
      <c r="V27" s="273"/>
      <c r="W27" s="274"/>
      <c r="X27" s="598">
        <v>34</v>
      </c>
      <c r="Y27" s="273" t="s">
        <v>2879</v>
      </c>
      <c r="Z27" s="275">
        <v>500000</v>
      </c>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row>
    <row r="28" spans="1:131" s="50" customFormat="1" ht="15" x14ac:dyDescent="0.25">
      <c r="A28" s="693"/>
      <c r="B28" s="690"/>
      <c r="C28" s="690"/>
      <c r="D28" s="693"/>
      <c r="E28" s="690"/>
      <c r="F28" s="711"/>
      <c r="G28" s="693"/>
      <c r="H28" s="711"/>
      <c r="I28" s="711"/>
      <c r="J28" s="711"/>
      <c r="K28" s="735"/>
      <c r="L28" s="693"/>
      <c r="M28" s="693"/>
      <c r="N28" s="812"/>
      <c r="O28" s="743"/>
      <c r="P28" s="78"/>
      <c r="Q28" s="148"/>
      <c r="R28" s="78"/>
      <c r="S28" s="274"/>
      <c r="T28" s="46"/>
      <c r="U28" s="598"/>
      <c r="V28" s="273"/>
      <c r="W28" s="274"/>
      <c r="X28" s="598">
        <v>35</v>
      </c>
      <c r="Y28" s="273" t="s">
        <v>2879</v>
      </c>
      <c r="Z28" s="275">
        <v>1500000</v>
      </c>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row>
    <row r="29" spans="1:131" s="50" customFormat="1" ht="15" x14ac:dyDescent="0.25">
      <c r="A29" s="693"/>
      <c r="B29" s="690"/>
      <c r="C29" s="690"/>
      <c r="D29" s="693"/>
      <c r="E29" s="690"/>
      <c r="F29" s="711"/>
      <c r="G29" s="693"/>
      <c r="H29" s="711"/>
      <c r="I29" s="711"/>
      <c r="J29" s="711"/>
      <c r="K29" s="735"/>
      <c r="L29" s="693"/>
      <c r="M29" s="693"/>
      <c r="N29" s="812"/>
      <c r="O29" s="743"/>
      <c r="P29" s="78"/>
      <c r="Q29" s="148"/>
      <c r="R29" s="78"/>
      <c r="S29" s="274"/>
      <c r="T29" s="46"/>
      <c r="U29" s="598"/>
      <c r="V29" s="273"/>
      <c r="W29" s="274"/>
      <c r="X29" s="598">
        <v>36</v>
      </c>
      <c r="Y29" s="273" t="s">
        <v>2879</v>
      </c>
      <c r="Z29" s="275">
        <v>500000</v>
      </c>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row>
    <row r="30" spans="1:131" s="50" customFormat="1" ht="15" x14ac:dyDescent="0.25">
      <c r="A30" s="693"/>
      <c r="B30" s="690"/>
      <c r="C30" s="690"/>
      <c r="D30" s="693"/>
      <c r="E30" s="690"/>
      <c r="F30" s="711"/>
      <c r="G30" s="693"/>
      <c r="H30" s="711"/>
      <c r="I30" s="711"/>
      <c r="J30" s="711"/>
      <c r="K30" s="735"/>
      <c r="L30" s="693"/>
      <c r="M30" s="693"/>
      <c r="N30" s="812"/>
      <c r="O30" s="743"/>
      <c r="P30" s="78"/>
      <c r="Q30" s="148"/>
      <c r="R30" s="78"/>
      <c r="S30" s="274"/>
      <c r="T30" s="46"/>
      <c r="U30" s="598"/>
      <c r="V30" s="273"/>
      <c r="W30" s="274"/>
      <c r="X30" s="598">
        <v>37</v>
      </c>
      <c r="Y30" s="273" t="s">
        <v>2879</v>
      </c>
      <c r="Z30" s="275">
        <v>500000</v>
      </c>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row>
    <row r="31" spans="1:131" s="50" customFormat="1" ht="15" x14ac:dyDescent="0.25">
      <c r="A31" s="693"/>
      <c r="B31" s="690"/>
      <c r="C31" s="690"/>
      <c r="D31" s="693"/>
      <c r="E31" s="690"/>
      <c r="F31" s="711"/>
      <c r="G31" s="693"/>
      <c r="H31" s="711"/>
      <c r="I31" s="711"/>
      <c r="J31" s="711"/>
      <c r="K31" s="735"/>
      <c r="L31" s="693"/>
      <c r="M31" s="693"/>
      <c r="N31" s="812"/>
      <c r="O31" s="743"/>
      <c r="P31" s="78"/>
      <c r="Q31" s="148"/>
      <c r="R31" s="78"/>
      <c r="S31" s="274"/>
      <c r="T31" s="46"/>
      <c r="U31" s="598"/>
      <c r="V31" s="273"/>
      <c r="W31" s="274"/>
      <c r="X31" s="598">
        <v>38</v>
      </c>
      <c r="Y31" s="273" t="s">
        <v>2879</v>
      </c>
      <c r="Z31" s="275">
        <v>500000</v>
      </c>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row>
    <row r="32" spans="1:131" s="50" customFormat="1" ht="15" x14ac:dyDescent="0.25">
      <c r="A32" s="693"/>
      <c r="B32" s="690"/>
      <c r="C32" s="690"/>
      <c r="D32" s="693"/>
      <c r="E32" s="690"/>
      <c r="F32" s="711"/>
      <c r="G32" s="693"/>
      <c r="H32" s="711"/>
      <c r="I32" s="711"/>
      <c r="J32" s="711"/>
      <c r="K32" s="735"/>
      <c r="L32" s="693"/>
      <c r="M32" s="693"/>
      <c r="N32" s="812"/>
      <c r="O32" s="743"/>
      <c r="P32" s="78"/>
      <c r="Q32" s="148"/>
      <c r="R32" s="78"/>
      <c r="S32" s="274"/>
      <c r="T32" s="46"/>
      <c r="U32" s="598"/>
      <c r="V32" s="273"/>
      <c r="W32" s="274"/>
      <c r="X32" s="598">
        <v>39</v>
      </c>
      <c r="Y32" s="273" t="s">
        <v>2879</v>
      </c>
      <c r="Z32" s="275">
        <v>1000000</v>
      </c>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row>
    <row r="33" spans="1:131" s="50" customFormat="1" ht="15" x14ac:dyDescent="0.25">
      <c r="A33" s="693"/>
      <c r="B33" s="690"/>
      <c r="C33" s="690"/>
      <c r="D33" s="693"/>
      <c r="E33" s="690"/>
      <c r="F33" s="711"/>
      <c r="G33" s="693"/>
      <c r="H33" s="711"/>
      <c r="I33" s="711"/>
      <c r="J33" s="711"/>
      <c r="K33" s="735"/>
      <c r="L33" s="693"/>
      <c r="M33" s="693"/>
      <c r="N33" s="812"/>
      <c r="O33" s="743"/>
      <c r="P33" s="78"/>
      <c r="Q33" s="148"/>
      <c r="R33" s="78"/>
      <c r="S33" s="274"/>
      <c r="T33" s="46"/>
      <c r="U33" s="598"/>
      <c r="V33" s="273"/>
      <c r="W33" s="274"/>
      <c r="X33" s="598">
        <v>40</v>
      </c>
      <c r="Y33" s="273" t="s">
        <v>2879</v>
      </c>
      <c r="Z33" s="275">
        <v>1000000</v>
      </c>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row>
    <row r="34" spans="1:131" s="50" customFormat="1" ht="15" x14ac:dyDescent="0.25">
      <c r="A34" s="693"/>
      <c r="B34" s="690"/>
      <c r="C34" s="690"/>
      <c r="D34" s="693"/>
      <c r="E34" s="690"/>
      <c r="F34" s="711"/>
      <c r="G34" s="693"/>
      <c r="H34" s="711"/>
      <c r="I34" s="711"/>
      <c r="J34" s="711"/>
      <c r="K34" s="735"/>
      <c r="L34" s="693"/>
      <c r="M34" s="693"/>
      <c r="N34" s="812"/>
      <c r="O34" s="743"/>
      <c r="P34" s="78"/>
      <c r="Q34" s="148"/>
      <c r="R34" s="78"/>
      <c r="S34" s="274"/>
      <c r="T34" s="46"/>
      <c r="U34" s="598"/>
      <c r="V34" s="273"/>
      <c r="W34" s="274"/>
      <c r="X34" s="598">
        <v>41</v>
      </c>
      <c r="Y34" s="273" t="s">
        <v>2879</v>
      </c>
      <c r="Z34" s="275">
        <v>1000000</v>
      </c>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row>
    <row r="35" spans="1:131" s="50" customFormat="1" ht="15" x14ac:dyDescent="0.25">
      <c r="A35" s="693"/>
      <c r="B35" s="690"/>
      <c r="C35" s="690"/>
      <c r="D35" s="693"/>
      <c r="E35" s="690"/>
      <c r="F35" s="711"/>
      <c r="G35" s="693"/>
      <c r="H35" s="711"/>
      <c r="I35" s="711"/>
      <c r="J35" s="711"/>
      <c r="K35" s="735"/>
      <c r="L35" s="693"/>
      <c r="M35" s="693"/>
      <c r="N35" s="812"/>
      <c r="O35" s="743"/>
      <c r="P35" s="78"/>
      <c r="Q35" s="148"/>
      <c r="R35" s="78"/>
      <c r="S35" s="274"/>
      <c r="T35" s="46"/>
      <c r="U35" s="598"/>
      <c r="V35" s="273"/>
      <c r="W35" s="274"/>
      <c r="X35" s="598">
        <v>42</v>
      </c>
      <c r="Y35" s="273" t="s">
        <v>2879</v>
      </c>
      <c r="Z35" s="275">
        <v>500000</v>
      </c>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row>
    <row r="36" spans="1:131" s="50" customFormat="1" ht="15" x14ac:dyDescent="0.25">
      <c r="A36" s="693"/>
      <c r="B36" s="690"/>
      <c r="C36" s="690"/>
      <c r="D36" s="693"/>
      <c r="E36" s="690"/>
      <c r="F36" s="711"/>
      <c r="G36" s="693"/>
      <c r="H36" s="711"/>
      <c r="I36" s="711"/>
      <c r="J36" s="711"/>
      <c r="K36" s="735"/>
      <c r="L36" s="693"/>
      <c r="M36" s="693"/>
      <c r="N36" s="812"/>
      <c r="O36" s="743"/>
      <c r="P36" s="78"/>
      <c r="Q36" s="148"/>
      <c r="R36" s="78"/>
      <c r="S36" s="274"/>
      <c r="T36" s="46"/>
      <c r="U36" s="598"/>
      <c r="V36" s="273"/>
      <c r="W36" s="274"/>
      <c r="X36" s="598">
        <v>43</v>
      </c>
      <c r="Y36" s="273" t="s">
        <v>2879</v>
      </c>
      <c r="Z36" s="275">
        <v>500000</v>
      </c>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row>
    <row r="37" spans="1:131" s="50" customFormat="1" ht="15" x14ac:dyDescent="0.25">
      <c r="A37" s="693"/>
      <c r="B37" s="690"/>
      <c r="C37" s="690"/>
      <c r="D37" s="693"/>
      <c r="E37" s="690"/>
      <c r="F37" s="711"/>
      <c r="G37" s="693"/>
      <c r="H37" s="711"/>
      <c r="I37" s="711"/>
      <c r="J37" s="711"/>
      <c r="K37" s="735"/>
      <c r="L37" s="693"/>
      <c r="M37" s="693"/>
      <c r="N37" s="812"/>
      <c r="O37" s="743"/>
      <c r="P37" s="78"/>
      <c r="Q37" s="148"/>
      <c r="R37" s="78"/>
      <c r="S37" s="274"/>
      <c r="T37" s="46"/>
      <c r="U37" s="598"/>
      <c r="V37" s="273"/>
      <c r="W37" s="274"/>
      <c r="X37" s="598">
        <v>44</v>
      </c>
      <c r="Y37" s="273" t="s">
        <v>2879</v>
      </c>
      <c r="Z37" s="275">
        <v>500000</v>
      </c>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row>
    <row r="38" spans="1:131" s="50" customFormat="1" ht="15" x14ac:dyDescent="0.25">
      <c r="A38" s="693"/>
      <c r="B38" s="690"/>
      <c r="C38" s="690"/>
      <c r="D38" s="693"/>
      <c r="E38" s="690"/>
      <c r="F38" s="711"/>
      <c r="G38" s="693"/>
      <c r="H38" s="711"/>
      <c r="I38" s="711"/>
      <c r="J38" s="711"/>
      <c r="K38" s="735"/>
      <c r="L38" s="693"/>
      <c r="M38" s="693"/>
      <c r="N38" s="812"/>
      <c r="O38" s="743"/>
      <c r="P38" s="78"/>
      <c r="Q38" s="148"/>
      <c r="R38" s="78"/>
      <c r="S38" s="274"/>
      <c r="T38" s="46"/>
      <c r="U38" s="598"/>
      <c r="V38" s="273"/>
      <c r="W38" s="274"/>
      <c r="X38" s="598">
        <v>45</v>
      </c>
      <c r="Y38" s="273" t="s">
        <v>2879</v>
      </c>
      <c r="Z38" s="275">
        <v>1500000</v>
      </c>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row>
    <row r="39" spans="1:131" s="50" customFormat="1" ht="15" x14ac:dyDescent="0.25">
      <c r="A39" s="693"/>
      <c r="B39" s="690"/>
      <c r="C39" s="690"/>
      <c r="D39" s="693"/>
      <c r="E39" s="690"/>
      <c r="F39" s="711"/>
      <c r="G39" s="693"/>
      <c r="H39" s="711"/>
      <c r="I39" s="711"/>
      <c r="J39" s="711"/>
      <c r="K39" s="735"/>
      <c r="L39" s="693"/>
      <c r="M39" s="693"/>
      <c r="N39" s="812"/>
      <c r="O39" s="743"/>
      <c r="P39" s="78"/>
      <c r="Q39" s="148"/>
      <c r="R39" s="78"/>
      <c r="S39" s="274"/>
      <c r="T39" s="46"/>
      <c r="U39" s="598"/>
      <c r="V39" s="273"/>
      <c r="W39" s="274"/>
      <c r="X39" s="598">
        <v>46</v>
      </c>
      <c r="Y39" s="273" t="s">
        <v>2879</v>
      </c>
      <c r="Z39" s="275">
        <v>500000</v>
      </c>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row>
    <row r="40" spans="1:131" s="50" customFormat="1" ht="15" x14ac:dyDescent="0.25">
      <c r="A40" s="693"/>
      <c r="B40" s="690"/>
      <c r="C40" s="690"/>
      <c r="D40" s="693"/>
      <c r="E40" s="690"/>
      <c r="F40" s="711"/>
      <c r="G40" s="693"/>
      <c r="H40" s="711"/>
      <c r="I40" s="711"/>
      <c r="J40" s="711"/>
      <c r="K40" s="735"/>
      <c r="L40" s="693"/>
      <c r="M40" s="693"/>
      <c r="N40" s="812"/>
      <c r="O40" s="743"/>
      <c r="P40" s="78"/>
      <c r="Q40" s="148"/>
      <c r="R40" s="78"/>
      <c r="S40" s="274"/>
      <c r="T40" s="46"/>
      <c r="U40" s="598"/>
      <c r="V40" s="273"/>
      <c r="W40" s="274"/>
      <c r="X40" s="598">
        <v>47</v>
      </c>
      <c r="Y40" s="273" t="s">
        <v>2879</v>
      </c>
      <c r="Z40" s="275">
        <v>500000</v>
      </c>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row>
    <row r="41" spans="1:131" s="50" customFormat="1" ht="15" x14ac:dyDescent="0.25">
      <c r="A41" s="693"/>
      <c r="B41" s="690"/>
      <c r="C41" s="690"/>
      <c r="D41" s="693"/>
      <c r="E41" s="690"/>
      <c r="F41" s="711"/>
      <c r="G41" s="693"/>
      <c r="H41" s="711"/>
      <c r="I41" s="711"/>
      <c r="J41" s="711"/>
      <c r="K41" s="735"/>
      <c r="L41" s="693"/>
      <c r="M41" s="693"/>
      <c r="N41" s="812"/>
      <c r="O41" s="743"/>
      <c r="P41" s="78"/>
      <c r="Q41" s="148"/>
      <c r="R41" s="78"/>
      <c r="S41" s="274"/>
      <c r="T41" s="46"/>
      <c r="U41" s="598"/>
      <c r="V41" s="273"/>
      <c r="W41" s="274"/>
      <c r="X41" s="598">
        <v>48</v>
      </c>
      <c r="Y41" s="273" t="s">
        <v>2879</v>
      </c>
      <c r="Z41" s="275">
        <v>1000000</v>
      </c>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row>
    <row r="42" spans="1:131" s="50" customFormat="1" ht="15" x14ac:dyDescent="0.25">
      <c r="A42" s="693"/>
      <c r="B42" s="690"/>
      <c r="C42" s="690"/>
      <c r="D42" s="693"/>
      <c r="E42" s="690"/>
      <c r="F42" s="711"/>
      <c r="G42" s="693"/>
      <c r="H42" s="711"/>
      <c r="I42" s="711"/>
      <c r="J42" s="711"/>
      <c r="K42" s="735"/>
      <c r="L42" s="693"/>
      <c r="M42" s="693"/>
      <c r="N42" s="812"/>
      <c r="O42" s="743"/>
      <c r="P42" s="78"/>
      <c r="Q42" s="148"/>
      <c r="R42" s="78"/>
      <c r="S42" s="274"/>
      <c r="T42" s="46"/>
      <c r="U42" s="598"/>
      <c r="V42" s="273"/>
      <c r="W42" s="274"/>
      <c r="X42" s="598">
        <v>49</v>
      </c>
      <c r="Y42" s="273" t="s">
        <v>2879</v>
      </c>
      <c r="Z42" s="275">
        <v>500000</v>
      </c>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row>
    <row r="43" spans="1:131" s="50" customFormat="1" ht="15" x14ac:dyDescent="0.25">
      <c r="A43" s="693"/>
      <c r="B43" s="690"/>
      <c r="C43" s="690"/>
      <c r="D43" s="693"/>
      <c r="E43" s="690"/>
      <c r="F43" s="711"/>
      <c r="G43" s="693"/>
      <c r="H43" s="711"/>
      <c r="I43" s="711"/>
      <c r="J43" s="711"/>
      <c r="K43" s="735"/>
      <c r="L43" s="693"/>
      <c r="M43" s="693"/>
      <c r="N43" s="812"/>
      <c r="O43" s="743"/>
      <c r="P43" s="78"/>
      <c r="Q43" s="148"/>
      <c r="R43" s="78"/>
      <c r="S43" s="274"/>
      <c r="T43" s="46"/>
      <c r="U43" s="598"/>
      <c r="V43" s="273"/>
      <c r="W43" s="274"/>
      <c r="X43" s="598">
        <v>50</v>
      </c>
      <c r="Y43" s="273" t="s">
        <v>2879</v>
      </c>
      <c r="Z43" s="275">
        <v>500000</v>
      </c>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row>
    <row r="44" spans="1:131" s="50" customFormat="1" ht="15" x14ac:dyDescent="0.25">
      <c r="A44" s="693"/>
      <c r="B44" s="690"/>
      <c r="C44" s="690"/>
      <c r="D44" s="693"/>
      <c r="E44" s="690"/>
      <c r="F44" s="711"/>
      <c r="G44" s="693"/>
      <c r="H44" s="711"/>
      <c r="I44" s="711"/>
      <c r="J44" s="711"/>
      <c r="K44" s="735"/>
      <c r="L44" s="693"/>
      <c r="M44" s="693"/>
      <c r="N44" s="812"/>
      <c r="O44" s="743"/>
      <c r="P44" s="78"/>
      <c r="Q44" s="148"/>
      <c r="R44" s="78"/>
      <c r="S44" s="274"/>
      <c r="T44" s="46"/>
      <c r="U44" s="598"/>
      <c r="V44" s="273"/>
      <c r="W44" s="274"/>
      <c r="X44" s="598">
        <v>52</v>
      </c>
      <c r="Y44" s="273" t="s">
        <v>2879</v>
      </c>
      <c r="Z44" s="275">
        <v>1000000</v>
      </c>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row>
    <row r="45" spans="1:131" s="50" customFormat="1" ht="15" x14ac:dyDescent="0.25">
      <c r="A45" s="693"/>
      <c r="B45" s="690"/>
      <c r="C45" s="690"/>
      <c r="D45" s="693"/>
      <c r="E45" s="690"/>
      <c r="F45" s="711"/>
      <c r="G45" s="693"/>
      <c r="H45" s="711"/>
      <c r="I45" s="711"/>
      <c r="J45" s="711"/>
      <c r="K45" s="735"/>
      <c r="L45" s="693"/>
      <c r="M45" s="693"/>
      <c r="N45" s="812"/>
      <c r="O45" s="743"/>
      <c r="P45" s="78"/>
      <c r="Q45" s="148"/>
      <c r="R45" s="78"/>
      <c r="S45" s="274"/>
      <c r="T45" s="46"/>
      <c r="U45" s="598"/>
      <c r="V45" s="273"/>
      <c r="W45" s="274"/>
      <c r="X45" s="598">
        <v>53</v>
      </c>
      <c r="Y45" s="273" t="s">
        <v>2879</v>
      </c>
      <c r="Z45" s="275">
        <v>500000</v>
      </c>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row>
    <row r="46" spans="1:131" s="50" customFormat="1" ht="15" x14ac:dyDescent="0.25">
      <c r="A46" s="693"/>
      <c r="B46" s="690"/>
      <c r="C46" s="690"/>
      <c r="D46" s="693"/>
      <c r="E46" s="690"/>
      <c r="F46" s="711"/>
      <c r="G46" s="693"/>
      <c r="H46" s="711"/>
      <c r="I46" s="711"/>
      <c r="J46" s="711"/>
      <c r="K46" s="735"/>
      <c r="L46" s="693"/>
      <c r="M46" s="693"/>
      <c r="N46" s="812"/>
      <c r="O46" s="743"/>
      <c r="P46" s="78"/>
      <c r="Q46" s="148"/>
      <c r="R46" s="78"/>
      <c r="S46" s="274"/>
      <c r="T46" s="46"/>
      <c r="U46" s="598"/>
      <c r="V46" s="273"/>
      <c r="W46" s="274"/>
      <c r="X46" s="598">
        <v>54</v>
      </c>
      <c r="Y46" s="273" t="s">
        <v>2879</v>
      </c>
      <c r="Z46" s="275">
        <v>500000</v>
      </c>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row>
    <row r="47" spans="1:131" s="50" customFormat="1" ht="15" x14ac:dyDescent="0.25">
      <c r="A47" s="693"/>
      <c r="B47" s="690"/>
      <c r="C47" s="690"/>
      <c r="D47" s="693"/>
      <c r="E47" s="690"/>
      <c r="F47" s="711"/>
      <c r="G47" s="693"/>
      <c r="H47" s="711"/>
      <c r="I47" s="711"/>
      <c r="J47" s="711"/>
      <c r="K47" s="735"/>
      <c r="L47" s="693"/>
      <c r="M47" s="693"/>
      <c r="N47" s="812"/>
      <c r="O47" s="743"/>
      <c r="P47" s="78"/>
      <c r="Q47" s="148"/>
      <c r="R47" s="78"/>
      <c r="S47" s="274"/>
      <c r="T47" s="46"/>
      <c r="U47" s="598"/>
      <c r="V47" s="273"/>
      <c r="W47" s="274"/>
      <c r="X47" s="598">
        <v>55</v>
      </c>
      <c r="Y47" s="273" t="s">
        <v>2879</v>
      </c>
      <c r="Z47" s="275">
        <v>500000</v>
      </c>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row>
    <row r="48" spans="1:131" s="50" customFormat="1" ht="15" x14ac:dyDescent="0.25">
      <c r="A48" s="693"/>
      <c r="B48" s="690"/>
      <c r="C48" s="690"/>
      <c r="D48" s="693"/>
      <c r="E48" s="690"/>
      <c r="F48" s="711"/>
      <c r="G48" s="693"/>
      <c r="H48" s="711"/>
      <c r="I48" s="711"/>
      <c r="J48" s="711"/>
      <c r="K48" s="735"/>
      <c r="L48" s="693"/>
      <c r="M48" s="693"/>
      <c r="N48" s="812"/>
      <c r="O48" s="743"/>
      <c r="P48" s="78"/>
      <c r="Q48" s="148"/>
      <c r="R48" s="78"/>
      <c r="S48" s="274"/>
      <c r="T48" s="46"/>
      <c r="U48" s="598"/>
      <c r="V48" s="273"/>
      <c r="W48" s="274"/>
      <c r="X48" s="598">
        <v>56</v>
      </c>
      <c r="Y48" s="273" t="s">
        <v>2879</v>
      </c>
      <c r="Z48" s="275">
        <v>500000</v>
      </c>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row>
    <row r="49" spans="1:131" s="50" customFormat="1" ht="15" x14ac:dyDescent="0.25">
      <c r="A49" s="693"/>
      <c r="B49" s="690"/>
      <c r="C49" s="690"/>
      <c r="D49" s="693"/>
      <c r="E49" s="690"/>
      <c r="F49" s="711"/>
      <c r="G49" s="693"/>
      <c r="H49" s="711"/>
      <c r="I49" s="711"/>
      <c r="J49" s="711"/>
      <c r="K49" s="735"/>
      <c r="L49" s="693"/>
      <c r="M49" s="693"/>
      <c r="N49" s="812"/>
      <c r="O49" s="743"/>
      <c r="P49" s="78"/>
      <c r="Q49" s="148"/>
      <c r="R49" s="78"/>
      <c r="S49" s="274"/>
      <c r="T49" s="46"/>
      <c r="U49" s="598"/>
      <c r="V49" s="273"/>
      <c r="W49" s="274"/>
      <c r="X49" s="598">
        <v>57</v>
      </c>
      <c r="Y49" s="273" t="s">
        <v>2879</v>
      </c>
      <c r="Z49" s="275">
        <v>500000</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row>
    <row r="50" spans="1:131" s="50" customFormat="1" ht="15" x14ac:dyDescent="0.25">
      <c r="A50" s="693"/>
      <c r="B50" s="690"/>
      <c r="C50" s="690"/>
      <c r="D50" s="693"/>
      <c r="E50" s="690"/>
      <c r="F50" s="711"/>
      <c r="G50" s="693"/>
      <c r="H50" s="711"/>
      <c r="I50" s="711"/>
      <c r="J50" s="711"/>
      <c r="K50" s="735"/>
      <c r="L50" s="693"/>
      <c r="M50" s="693"/>
      <c r="N50" s="812"/>
      <c r="O50" s="743"/>
      <c r="P50" s="78"/>
      <c r="Q50" s="148"/>
      <c r="R50" s="78"/>
      <c r="S50" s="274"/>
      <c r="T50" s="46"/>
      <c r="U50" s="598"/>
      <c r="V50" s="273"/>
      <c r="W50" s="274"/>
      <c r="X50" s="598">
        <v>58</v>
      </c>
      <c r="Y50" s="273" t="s">
        <v>2879</v>
      </c>
      <c r="Z50" s="275">
        <v>500000</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row>
    <row r="51" spans="1:131" s="50" customFormat="1" ht="15" x14ac:dyDescent="0.25">
      <c r="A51" s="693"/>
      <c r="B51" s="690"/>
      <c r="C51" s="690"/>
      <c r="D51" s="693"/>
      <c r="E51" s="690"/>
      <c r="F51" s="711"/>
      <c r="G51" s="693"/>
      <c r="H51" s="711"/>
      <c r="I51" s="711"/>
      <c r="J51" s="711"/>
      <c r="K51" s="735"/>
      <c r="L51" s="693"/>
      <c r="M51" s="693"/>
      <c r="N51" s="812"/>
      <c r="O51" s="743"/>
      <c r="P51" s="78"/>
      <c r="Q51" s="148"/>
      <c r="R51" s="78"/>
      <c r="S51" s="274"/>
      <c r="T51" s="46"/>
      <c r="U51" s="598"/>
      <c r="V51" s="273"/>
      <c r="W51" s="274"/>
      <c r="X51" s="598">
        <v>59</v>
      </c>
      <c r="Y51" s="273" t="s">
        <v>2879</v>
      </c>
      <c r="Z51" s="275">
        <v>500000</v>
      </c>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row>
    <row r="52" spans="1:131" s="50" customFormat="1" ht="15" x14ac:dyDescent="0.25">
      <c r="A52" s="693"/>
      <c r="B52" s="690"/>
      <c r="C52" s="690"/>
      <c r="D52" s="693"/>
      <c r="E52" s="690"/>
      <c r="F52" s="711"/>
      <c r="G52" s="693"/>
      <c r="H52" s="711"/>
      <c r="I52" s="711"/>
      <c r="J52" s="711"/>
      <c r="K52" s="735"/>
      <c r="L52" s="693"/>
      <c r="M52" s="693"/>
      <c r="N52" s="812"/>
      <c r="O52" s="743"/>
      <c r="P52" s="78"/>
      <c r="Q52" s="148"/>
      <c r="R52" s="78"/>
      <c r="S52" s="274"/>
      <c r="T52" s="46"/>
      <c r="U52" s="598"/>
      <c r="V52" s="273"/>
      <c r="W52" s="274"/>
      <c r="X52" s="598">
        <v>60</v>
      </c>
      <c r="Y52" s="273" t="s">
        <v>2879</v>
      </c>
      <c r="Z52" s="275">
        <v>500000</v>
      </c>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row>
    <row r="53" spans="1:131" s="50" customFormat="1" ht="15" x14ac:dyDescent="0.25">
      <c r="A53" s="693"/>
      <c r="B53" s="690"/>
      <c r="C53" s="690"/>
      <c r="D53" s="693"/>
      <c r="E53" s="690"/>
      <c r="F53" s="711"/>
      <c r="G53" s="693"/>
      <c r="H53" s="711"/>
      <c r="I53" s="711"/>
      <c r="J53" s="711"/>
      <c r="K53" s="735"/>
      <c r="L53" s="693"/>
      <c r="M53" s="693"/>
      <c r="N53" s="812"/>
      <c r="O53" s="743"/>
      <c r="P53" s="78"/>
      <c r="Q53" s="148"/>
      <c r="R53" s="78"/>
      <c r="S53" s="274"/>
      <c r="T53" s="46"/>
      <c r="U53" s="598"/>
      <c r="V53" s="273"/>
      <c r="W53" s="274"/>
      <c r="X53" s="598">
        <v>61</v>
      </c>
      <c r="Y53" s="273" t="s">
        <v>2879</v>
      </c>
      <c r="Z53" s="275">
        <v>500000</v>
      </c>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row>
    <row r="54" spans="1:131" s="50" customFormat="1" ht="15" x14ac:dyDescent="0.25">
      <c r="A54" s="693"/>
      <c r="B54" s="690"/>
      <c r="C54" s="690"/>
      <c r="D54" s="693"/>
      <c r="E54" s="690"/>
      <c r="F54" s="711"/>
      <c r="G54" s="693"/>
      <c r="H54" s="711"/>
      <c r="I54" s="711"/>
      <c r="J54" s="711"/>
      <c r="K54" s="735"/>
      <c r="L54" s="693"/>
      <c r="M54" s="693"/>
      <c r="N54" s="812"/>
      <c r="O54" s="743"/>
      <c r="P54" s="78"/>
      <c r="Q54" s="148"/>
      <c r="R54" s="78"/>
      <c r="S54" s="274"/>
      <c r="T54" s="46"/>
      <c r="U54" s="598"/>
      <c r="V54" s="273"/>
      <c r="W54" s="274"/>
      <c r="X54" s="598">
        <v>62</v>
      </c>
      <c r="Y54" s="273" t="s">
        <v>2879</v>
      </c>
      <c r="Z54" s="275">
        <v>500000</v>
      </c>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row>
    <row r="55" spans="1:131" s="50" customFormat="1" ht="15" x14ac:dyDescent="0.25">
      <c r="A55" s="693"/>
      <c r="B55" s="690"/>
      <c r="C55" s="690"/>
      <c r="D55" s="693"/>
      <c r="E55" s="690"/>
      <c r="F55" s="711"/>
      <c r="G55" s="693"/>
      <c r="H55" s="711"/>
      <c r="I55" s="711"/>
      <c r="J55" s="711"/>
      <c r="K55" s="735"/>
      <c r="L55" s="693"/>
      <c r="M55" s="693"/>
      <c r="N55" s="812"/>
      <c r="O55" s="743"/>
      <c r="P55" s="78"/>
      <c r="Q55" s="148"/>
      <c r="R55" s="78"/>
      <c r="S55" s="274"/>
      <c r="T55" s="46"/>
      <c r="U55" s="598"/>
      <c r="V55" s="273"/>
      <c r="W55" s="274"/>
      <c r="X55" s="598">
        <v>63</v>
      </c>
      <c r="Y55" s="273" t="s">
        <v>2879</v>
      </c>
      <c r="Z55" s="275">
        <v>500000</v>
      </c>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row>
    <row r="56" spans="1:131" s="50" customFormat="1" ht="15" x14ac:dyDescent="0.25">
      <c r="A56" s="693"/>
      <c r="B56" s="690"/>
      <c r="C56" s="690"/>
      <c r="D56" s="693"/>
      <c r="E56" s="690"/>
      <c r="F56" s="711"/>
      <c r="G56" s="693"/>
      <c r="H56" s="711"/>
      <c r="I56" s="711"/>
      <c r="J56" s="711"/>
      <c r="K56" s="735"/>
      <c r="L56" s="693"/>
      <c r="M56" s="693"/>
      <c r="N56" s="812"/>
      <c r="O56" s="743"/>
      <c r="P56" s="78"/>
      <c r="Q56" s="148"/>
      <c r="R56" s="78"/>
      <c r="S56" s="274"/>
      <c r="T56" s="46"/>
      <c r="U56" s="598"/>
      <c r="V56" s="273"/>
      <c r="W56" s="274"/>
      <c r="X56" s="598">
        <v>64</v>
      </c>
      <c r="Y56" s="273" t="s">
        <v>2879</v>
      </c>
      <c r="Z56" s="275">
        <v>1000000</v>
      </c>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row>
    <row r="57" spans="1:131" s="50" customFormat="1" ht="15" x14ac:dyDescent="0.25">
      <c r="A57" s="693"/>
      <c r="B57" s="690"/>
      <c r="C57" s="690"/>
      <c r="D57" s="693"/>
      <c r="E57" s="690"/>
      <c r="F57" s="711"/>
      <c r="G57" s="693"/>
      <c r="H57" s="711"/>
      <c r="I57" s="711"/>
      <c r="J57" s="711"/>
      <c r="K57" s="735"/>
      <c r="L57" s="693"/>
      <c r="M57" s="693"/>
      <c r="N57" s="812"/>
      <c r="O57" s="743"/>
      <c r="P57" s="78"/>
      <c r="Q57" s="148"/>
      <c r="R57" s="78"/>
      <c r="S57" s="274"/>
      <c r="T57" s="46"/>
      <c r="U57" s="598"/>
      <c r="V57" s="273"/>
      <c r="W57" s="274"/>
      <c r="X57" s="598">
        <v>65</v>
      </c>
      <c r="Y57" s="273" t="s">
        <v>2879</v>
      </c>
      <c r="Z57" s="275">
        <v>500000</v>
      </c>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row>
    <row r="58" spans="1:131" s="50" customFormat="1" ht="15" x14ac:dyDescent="0.25">
      <c r="A58" s="693"/>
      <c r="B58" s="690"/>
      <c r="C58" s="690"/>
      <c r="D58" s="693"/>
      <c r="E58" s="690"/>
      <c r="F58" s="711"/>
      <c r="G58" s="693"/>
      <c r="H58" s="711"/>
      <c r="I58" s="711"/>
      <c r="J58" s="711"/>
      <c r="K58" s="735"/>
      <c r="L58" s="693"/>
      <c r="M58" s="693"/>
      <c r="N58" s="812"/>
      <c r="O58" s="743"/>
      <c r="P58" s="78"/>
      <c r="Q58" s="148"/>
      <c r="R58" s="78"/>
      <c r="S58" s="274"/>
      <c r="T58" s="46"/>
      <c r="U58" s="598"/>
      <c r="V58" s="273"/>
      <c r="W58" s="274"/>
      <c r="X58" s="598">
        <v>66</v>
      </c>
      <c r="Y58" s="273" t="s">
        <v>2879</v>
      </c>
      <c r="Z58" s="275">
        <v>500000</v>
      </c>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row>
    <row r="59" spans="1:131" s="50" customFormat="1" ht="15" x14ac:dyDescent="0.25">
      <c r="A59" s="693"/>
      <c r="B59" s="690"/>
      <c r="C59" s="690"/>
      <c r="D59" s="693"/>
      <c r="E59" s="690"/>
      <c r="F59" s="711"/>
      <c r="G59" s="693"/>
      <c r="H59" s="711"/>
      <c r="I59" s="711"/>
      <c r="J59" s="711"/>
      <c r="K59" s="735"/>
      <c r="L59" s="693"/>
      <c r="M59" s="693"/>
      <c r="N59" s="812"/>
      <c r="O59" s="743"/>
      <c r="P59" s="78"/>
      <c r="Q59" s="148"/>
      <c r="R59" s="78"/>
      <c r="S59" s="274"/>
      <c r="T59" s="46"/>
      <c r="U59" s="598"/>
      <c r="V59" s="273"/>
      <c r="W59" s="274"/>
      <c r="X59" s="598">
        <v>67</v>
      </c>
      <c r="Y59" s="273" t="s">
        <v>2879</v>
      </c>
      <c r="Z59" s="275">
        <v>500000</v>
      </c>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row>
    <row r="60" spans="1:131" s="50" customFormat="1" ht="15" x14ac:dyDescent="0.25">
      <c r="A60" s="693"/>
      <c r="B60" s="690"/>
      <c r="C60" s="690"/>
      <c r="D60" s="693"/>
      <c r="E60" s="690"/>
      <c r="F60" s="711"/>
      <c r="G60" s="693"/>
      <c r="H60" s="711"/>
      <c r="I60" s="711"/>
      <c r="J60" s="711"/>
      <c r="K60" s="735"/>
      <c r="L60" s="693"/>
      <c r="M60" s="693"/>
      <c r="N60" s="812"/>
      <c r="O60" s="743"/>
      <c r="P60" s="78"/>
      <c r="Q60" s="148"/>
      <c r="R60" s="78"/>
      <c r="S60" s="274"/>
      <c r="T60" s="46"/>
      <c r="U60" s="598"/>
      <c r="V60" s="273"/>
      <c r="W60" s="274"/>
      <c r="X60" s="598">
        <v>68</v>
      </c>
      <c r="Y60" s="273" t="s">
        <v>2879</v>
      </c>
      <c r="Z60" s="275">
        <v>500000</v>
      </c>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row>
    <row r="61" spans="1:131" s="50" customFormat="1" ht="15" x14ac:dyDescent="0.25">
      <c r="A61" s="693"/>
      <c r="B61" s="690"/>
      <c r="C61" s="690"/>
      <c r="D61" s="693"/>
      <c r="E61" s="690"/>
      <c r="F61" s="711"/>
      <c r="G61" s="693"/>
      <c r="H61" s="711"/>
      <c r="I61" s="711"/>
      <c r="J61" s="711"/>
      <c r="K61" s="735"/>
      <c r="L61" s="693"/>
      <c r="M61" s="693"/>
      <c r="N61" s="812"/>
      <c r="O61" s="743"/>
      <c r="P61" s="78"/>
      <c r="Q61" s="148"/>
      <c r="R61" s="78"/>
      <c r="S61" s="274"/>
      <c r="T61" s="46"/>
      <c r="U61" s="598"/>
      <c r="V61" s="273"/>
      <c r="W61" s="274"/>
      <c r="X61" s="598">
        <v>69</v>
      </c>
      <c r="Y61" s="273" t="s">
        <v>2879</v>
      </c>
      <c r="Z61" s="275">
        <v>500000</v>
      </c>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row>
    <row r="62" spans="1:131" s="50" customFormat="1" ht="15" x14ac:dyDescent="0.25">
      <c r="A62" s="693"/>
      <c r="B62" s="690"/>
      <c r="C62" s="690"/>
      <c r="D62" s="693"/>
      <c r="E62" s="690"/>
      <c r="F62" s="711"/>
      <c r="G62" s="693"/>
      <c r="H62" s="711"/>
      <c r="I62" s="711"/>
      <c r="J62" s="711"/>
      <c r="K62" s="735"/>
      <c r="L62" s="693"/>
      <c r="M62" s="693"/>
      <c r="N62" s="812"/>
      <c r="O62" s="743"/>
      <c r="P62" s="78"/>
      <c r="Q62" s="148"/>
      <c r="R62" s="78"/>
      <c r="S62" s="274"/>
      <c r="T62" s="46"/>
      <c r="U62" s="598"/>
      <c r="V62" s="273"/>
      <c r="W62" s="274"/>
      <c r="X62" s="598">
        <v>70</v>
      </c>
      <c r="Y62" s="273" t="s">
        <v>2879</v>
      </c>
      <c r="Z62" s="275">
        <v>500000</v>
      </c>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row>
    <row r="63" spans="1:131" s="50" customFormat="1" ht="15" x14ac:dyDescent="0.25">
      <c r="A63" s="693"/>
      <c r="B63" s="690"/>
      <c r="C63" s="690"/>
      <c r="D63" s="693"/>
      <c r="E63" s="690"/>
      <c r="F63" s="711"/>
      <c r="G63" s="693"/>
      <c r="H63" s="711"/>
      <c r="I63" s="711"/>
      <c r="J63" s="711"/>
      <c r="K63" s="735"/>
      <c r="L63" s="693"/>
      <c r="M63" s="693"/>
      <c r="N63" s="812"/>
      <c r="O63" s="743"/>
      <c r="P63" s="78"/>
      <c r="Q63" s="148"/>
      <c r="R63" s="78"/>
      <c r="S63" s="274"/>
      <c r="T63" s="46"/>
      <c r="U63" s="598"/>
      <c r="V63" s="273"/>
      <c r="W63" s="274"/>
      <c r="X63" s="598">
        <v>71</v>
      </c>
      <c r="Y63" s="273" t="s">
        <v>2879</v>
      </c>
      <c r="Z63" s="275">
        <v>500000</v>
      </c>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row>
    <row r="64" spans="1:131" s="50" customFormat="1" ht="15" x14ac:dyDescent="0.25">
      <c r="A64" s="693"/>
      <c r="B64" s="690"/>
      <c r="C64" s="690"/>
      <c r="D64" s="693"/>
      <c r="E64" s="690"/>
      <c r="F64" s="711"/>
      <c r="G64" s="693"/>
      <c r="H64" s="711"/>
      <c r="I64" s="711"/>
      <c r="J64" s="711"/>
      <c r="K64" s="735"/>
      <c r="L64" s="693"/>
      <c r="M64" s="693"/>
      <c r="N64" s="812"/>
      <c r="O64" s="743"/>
      <c r="P64" s="78"/>
      <c r="Q64" s="148"/>
      <c r="R64" s="78"/>
      <c r="S64" s="274"/>
      <c r="T64" s="46"/>
      <c r="U64" s="598"/>
      <c r="V64" s="273"/>
      <c r="W64" s="274"/>
      <c r="X64" s="598">
        <v>72</v>
      </c>
      <c r="Y64" s="273" t="s">
        <v>2879</v>
      </c>
      <c r="Z64" s="275">
        <v>500000</v>
      </c>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row>
    <row r="65" spans="1:131" s="50" customFormat="1" ht="15" x14ac:dyDescent="0.25">
      <c r="A65" s="693"/>
      <c r="B65" s="690"/>
      <c r="C65" s="690"/>
      <c r="D65" s="693"/>
      <c r="E65" s="690"/>
      <c r="F65" s="711"/>
      <c r="G65" s="693"/>
      <c r="H65" s="711"/>
      <c r="I65" s="711"/>
      <c r="J65" s="711"/>
      <c r="K65" s="735"/>
      <c r="L65" s="693"/>
      <c r="M65" s="693"/>
      <c r="N65" s="812"/>
      <c r="O65" s="743"/>
      <c r="P65" s="78"/>
      <c r="Q65" s="148"/>
      <c r="R65" s="78"/>
      <c r="S65" s="274"/>
      <c r="T65" s="46"/>
      <c r="U65" s="598"/>
      <c r="V65" s="273"/>
      <c r="W65" s="274"/>
      <c r="X65" s="598">
        <v>73</v>
      </c>
      <c r="Y65" s="273" t="s">
        <v>2879</v>
      </c>
      <c r="Z65" s="275">
        <v>500000</v>
      </c>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row>
    <row r="66" spans="1:131" s="50" customFormat="1" ht="15" x14ac:dyDescent="0.25">
      <c r="A66" s="693"/>
      <c r="B66" s="690"/>
      <c r="C66" s="690"/>
      <c r="D66" s="693"/>
      <c r="E66" s="690"/>
      <c r="F66" s="711"/>
      <c r="G66" s="693"/>
      <c r="H66" s="711"/>
      <c r="I66" s="711"/>
      <c r="J66" s="711"/>
      <c r="K66" s="735"/>
      <c r="L66" s="693"/>
      <c r="M66" s="693"/>
      <c r="N66" s="812"/>
      <c r="O66" s="743"/>
      <c r="P66" s="78"/>
      <c r="Q66" s="148"/>
      <c r="R66" s="78"/>
      <c r="S66" s="274"/>
      <c r="T66" s="46"/>
      <c r="U66" s="598"/>
      <c r="V66" s="273"/>
      <c r="W66" s="274"/>
      <c r="X66" s="598">
        <v>74</v>
      </c>
      <c r="Y66" s="273" t="s">
        <v>2879</v>
      </c>
      <c r="Z66" s="275">
        <v>500000</v>
      </c>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row>
    <row r="67" spans="1:131" s="50" customFormat="1" ht="15" x14ac:dyDescent="0.25">
      <c r="A67" s="693"/>
      <c r="B67" s="690"/>
      <c r="C67" s="690"/>
      <c r="D67" s="693"/>
      <c r="E67" s="690"/>
      <c r="F67" s="711"/>
      <c r="G67" s="693"/>
      <c r="H67" s="711"/>
      <c r="I67" s="711"/>
      <c r="J67" s="711"/>
      <c r="K67" s="735"/>
      <c r="L67" s="693"/>
      <c r="M67" s="693"/>
      <c r="N67" s="812"/>
      <c r="O67" s="743"/>
      <c r="P67" s="78"/>
      <c r="Q67" s="148"/>
      <c r="R67" s="78"/>
      <c r="S67" s="274"/>
      <c r="T67" s="46"/>
      <c r="U67" s="598"/>
      <c r="V67" s="273"/>
      <c r="W67" s="274"/>
      <c r="X67" s="598">
        <v>75</v>
      </c>
      <c r="Y67" s="273" t="s">
        <v>2879</v>
      </c>
      <c r="Z67" s="275">
        <v>500000</v>
      </c>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row>
    <row r="68" spans="1:131" s="50" customFormat="1" ht="15" x14ac:dyDescent="0.25">
      <c r="A68" s="693"/>
      <c r="B68" s="690"/>
      <c r="C68" s="690"/>
      <c r="D68" s="693"/>
      <c r="E68" s="690"/>
      <c r="F68" s="711"/>
      <c r="G68" s="693"/>
      <c r="H68" s="711"/>
      <c r="I68" s="711"/>
      <c r="J68" s="711"/>
      <c r="K68" s="735"/>
      <c r="L68" s="693"/>
      <c r="M68" s="693"/>
      <c r="N68" s="812"/>
      <c r="O68" s="743"/>
      <c r="P68" s="78"/>
      <c r="Q68" s="148"/>
      <c r="R68" s="78"/>
      <c r="S68" s="274"/>
      <c r="T68" s="46"/>
      <c r="U68" s="598"/>
      <c r="V68" s="273"/>
      <c r="W68" s="274"/>
      <c r="X68" s="598">
        <v>76</v>
      </c>
      <c r="Y68" s="273" t="s">
        <v>2879</v>
      </c>
      <c r="Z68" s="275">
        <v>500000</v>
      </c>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row>
    <row r="69" spans="1:131" s="50" customFormat="1" ht="15" x14ac:dyDescent="0.25">
      <c r="A69" s="693"/>
      <c r="B69" s="690"/>
      <c r="C69" s="690"/>
      <c r="D69" s="693"/>
      <c r="E69" s="690"/>
      <c r="F69" s="711"/>
      <c r="G69" s="693"/>
      <c r="H69" s="711"/>
      <c r="I69" s="711"/>
      <c r="J69" s="711"/>
      <c r="K69" s="735"/>
      <c r="L69" s="693"/>
      <c r="M69" s="693"/>
      <c r="N69" s="812"/>
      <c r="O69" s="743"/>
      <c r="P69" s="78"/>
      <c r="Q69" s="148"/>
      <c r="R69" s="78"/>
      <c r="S69" s="274"/>
      <c r="T69" s="46"/>
      <c r="U69" s="598"/>
      <c r="V69" s="273"/>
      <c r="W69" s="274"/>
      <c r="X69" s="598">
        <v>77</v>
      </c>
      <c r="Y69" s="273" t="s">
        <v>2879</v>
      </c>
      <c r="Z69" s="275">
        <v>500000</v>
      </c>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row>
    <row r="70" spans="1:131" s="50" customFormat="1" ht="15" x14ac:dyDescent="0.25">
      <c r="A70" s="693"/>
      <c r="B70" s="690"/>
      <c r="C70" s="690"/>
      <c r="D70" s="693"/>
      <c r="E70" s="690"/>
      <c r="F70" s="711"/>
      <c r="G70" s="693"/>
      <c r="H70" s="711"/>
      <c r="I70" s="711"/>
      <c r="J70" s="711"/>
      <c r="K70" s="735"/>
      <c r="L70" s="693"/>
      <c r="M70" s="693"/>
      <c r="N70" s="812"/>
      <c r="O70" s="743"/>
      <c r="P70" s="78"/>
      <c r="Q70" s="148"/>
      <c r="R70" s="78"/>
      <c r="S70" s="274"/>
      <c r="T70" s="46"/>
      <c r="U70" s="598"/>
      <c r="V70" s="273"/>
      <c r="W70" s="274"/>
      <c r="X70" s="598">
        <v>78</v>
      </c>
      <c r="Y70" s="273" t="s">
        <v>2879</v>
      </c>
      <c r="Z70" s="275">
        <v>500000</v>
      </c>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row>
    <row r="71" spans="1:131" s="50" customFormat="1" ht="15" x14ac:dyDescent="0.25">
      <c r="A71" s="693"/>
      <c r="B71" s="690"/>
      <c r="C71" s="690"/>
      <c r="D71" s="693"/>
      <c r="E71" s="690"/>
      <c r="F71" s="711"/>
      <c r="G71" s="693"/>
      <c r="H71" s="711"/>
      <c r="I71" s="711"/>
      <c r="J71" s="711"/>
      <c r="K71" s="735"/>
      <c r="L71" s="693"/>
      <c r="M71" s="693"/>
      <c r="N71" s="812"/>
      <c r="O71" s="743"/>
      <c r="P71" s="78"/>
      <c r="Q71" s="148"/>
      <c r="R71" s="78"/>
      <c r="S71" s="274"/>
      <c r="T71" s="46"/>
      <c r="U71" s="598"/>
      <c r="V71" s="273"/>
      <c r="W71" s="274"/>
      <c r="X71" s="598">
        <v>79</v>
      </c>
      <c r="Y71" s="273" t="s">
        <v>2879</v>
      </c>
      <c r="Z71" s="275">
        <v>500000</v>
      </c>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row>
    <row r="72" spans="1:131" s="50" customFormat="1" ht="15" x14ac:dyDescent="0.25">
      <c r="A72" s="693"/>
      <c r="B72" s="690"/>
      <c r="C72" s="690"/>
      <c r="D72" s="693"/>
      <c r="E72" s="690"/>
      <c r="F72" s="711"/>
      <c r="G72" s="693"/>
      <c r="H72" s="711"/>
      <c r="I72" s="711"/>
      <c r="J72" s="711"/>
      <c r="K72" s="735"/>
      <c r="L72" s="693"/>
      <c r="M72" s="693"/>
      <c r="N72" s="812"/>
      <c r="O72" s="743"/>
      <c r="P72" s="78"/>
      <c r="Q72" s="148"/>
      <c r="R72" s="78"/>
      <c r="S72" s="274"/>
      <c r="T72" s="46"/>
      <c r="U72" s="598"/>
      <c r="V72" s="273"/>
      <c r="W72" s="274"/>
      <c r="X72" s="598">
        <v>80</v>
      </c>
      <c r="Y72" s="273" t="s">
        <v>2879</v>
      </c>
      <c r="Z72" s="275">
        <v>1000000</v>
      </c>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row>
    <row r="73" spans="1:131" s="50" customFormat="1" ht="15" x14ac:dyDescent="0.25">
      <c r="A73" s="693"/>
      <c r="B73" s="690"/>
      <c r="C73" s="690"/>
      <c r="D73" s="693"/>
      <c r="E73" s="690"/>
      <c r="F73" s="711"/>
      <c r="G73" s="693"/>
      <c r="H73" s="711"/>
      <c r="I73" s="711"/>
      <c r="J73" s="711"/>
      <c r="K73" s="735"/>
      <c r="L73" s="693"/>
      <c r="M73" s="693"/>
      <c r="N73" s="812"/>
      <c r="O73" s="743"/>
      <c r="P73" s="78"/>
      <c r="Q73" s="148"/>
      <c r="R73" s="78"/>
      <c r="S73" s="274"/>
      <c r="T73" s="46"/>
      <c r="U73" s="598"/>
      <c r="V73" s="273"/>
      <c r="W73" s="274"/>
      <c r="X73" s="598">
        <v>81</v>
      </c>
      <c r="Y73" s="273" t="s">
        <v>2879</v>
      </c>
      <c r="Z73" s="275">
        <v>500000</v>
      </c>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row>
    <row r="74" spans="1:131" s="50" customFormat="1" ht="15" x14ac:dyDescent="0.25">
      <c r="A74" s="693"/>
      <c r="B74" s="690"/>
      <c r="C74" s="690"/>
      <c r="D74" s="693"/>
      <c r="E74" s="690"/>
      <c r="F74" s="711"/>
      <c r="G74" s="693"/>
      <c r="H74" s="711"/>
      <c r="I74" s="711"/>
      <c r="J74" s="711"/>
      <c r="K74" s="735"/>
      <c r="L74" s="693"/>
      <c r="M74" s="693"/>
      <c r="N74" s="812"/>
      <c r="O74" s="743"/>
      <c r="P74" s="78"/>
      <c r="Q74" s="148"/>
      <c r="R74" s="78"/>
      <c r="S74" s="274"/>
      <c r="T74" s="46"/>
      <c r="U74" s="598"/>
      <c r="V74" s="273"/>
      <c r="W74" s="274"/>
      <c r="X74" s="598">
        <v>82</v>
      </c>
      <c r="Y74" s="273" t="s">
        <v>2879</v>
      </c>
      <c r="Z74" s="275">
        <v>1000000</v>
      </c>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row>
    <row r="75" spans="1:131" s="50" customFormat="1" ht="15" x14ac:dyDescent="0.25">
      <c r="A75" s="693"/>
      <c r="B75" s="690"/>
      <c r="C75" s="690"/>
      <c r="D75" s="693"/>
      <c r="E75" s="690"/>
      <c r="F75" s="711"/>
      <c r="G75" s="693"/>
      <c r="H75" s="711"/>
      <c r="I75" s="711"/>
      <c r="J75" s="711"/>
      <c r="K75" s="735"/>
      <c r="L75" s="693"/>
      <c r="M75" s="693"/>
      <c r="N75" s="812"/>
      <c r="O75" s="743"/>
      <c r="P75" s="78"/>
      <c r="Q75" s="148"/>
      <c r="R75" s="78"/>
      <c r="S75" s="274"/>
      <c r="T75" s="46"/>
      <c r="U75" s="598"/>
      <c r="V75" s="273"/>
      <c r="W75" s="274"/>
      <c r="X75" s="598">
        <v>83</v>
      </c>
      <c r="Y75" s="273" t="s">
        <v>2879</v>
      </c>
      <c r="Z75" s="275">
        <v>500000</v>
      </c>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row>
    <row r="76" spans="1:131" s="50" customFormat="1" ht="15" x14ac:dyDescent="0.25">
      <c r="A76" s="693"/>
      <c r="B76" s="690"/>
      <c r="C76" s="690"/>
      <c r="D76" s="693"/>
      <c r="E76" s="690"/>
      <c r="F76" s="711"/>
      <c r="G76" s="693"/>
      <c r="H76" s="711"/>
      <c r="I76" s="711"/>
      <c r="J76" s="711"/>
      <c r="K76" s="735"/>
      <c r="L76" s="693"/>
      <c r="M76" s="693"/>
      <c r="N76" s="812"/>
      <c r="O76" s="743"/>
      <c r="P76" s="78"/>
      <c r="Q76" s="148"/>
      <c r="R76" s="78"/>
      <c r="S76" s="274"/>
      <c r="T76" s="46"/>
      <c r="U76" s="598"/>
      <c r="V76" s="273"/>
      <c r="W76" s="274"/>
      <c r="X76" s="598">
        <v>84</v>
      </c>
      <c r="Y76" s="273" t="s">
        <v>2879</v>
      </c>
      <c r="Z76" s="275">
        <v>500000</v>
      </c>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row>
    <row r="77" spans="1:131" s="50" customFormat="1" ht="15" x14ac:dyDescent="0.25">
      <c r="A77" s="693"/>
      <c r="B77" s="690"/>
      <c r="C77" s="690"/>
      <c r="D77" s="693"/>
      <c r="E77" s="690"/>
      <c r="F77" s="711"/>
      <c r="G77" s="693"/>
      <c r="H77" s="711"/>
      <c r="I77" s="711"/>
      <c r="J77" s="711"/>
      <c r="K77" s="735"/>
      <c r="L77" s="693"/>
      <c r="M77" s="693"/>
      <c r="N77" s="812"/>
      <c r="O77" s="743"/>
      <c r="P77" s="78"/>
      <c r="Q77" s="148"/>
      <c r="R77" s="78"/>
      <c r="S77" s="274"/>
      <c r="T77" s="46"/>
      <c r="U77" s="598"/>
      <c r="V77" s="273"/>
      <c r="W77" s="274"/>
      <c r="X77" s="598">
        <v>85</v>
      </c>
      <c r="Y77" s="273" t="s">
        <v>2879</v>
      </c>
      <c r="Z77" s="275">
        <v>500000</v>
      </c>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row>
    <row r="78" spans="1:131" s="50" customFormat="1" ht="15" x14ac:dyDescent="0.25">
      <c r="A78" s="693"/>
      <c r="B78" s="690"/>
      <c r="C78" s="690"/>
      <c r="D78" s="693"/>
      <c r="E78" s="690"/>
      <c r="F78" s="711"/>
      <c r="G78" s="693"/>
      <c r="H78" s="711"/>
      <c r="I78" s="711"/>
      <c r="J78" s="711"/>
      <c r="K78" s="735"/>
      <c r="L78" s="693"/>
      <c r="M78" s="693"/>
      <c r="N78" s="812"/>
      <c r="O78" s="743"/>
      <c r="P78" s="78"/>
      <c r="Q78" s="148"/>
      <c r="R78" s="78"/>
      <c r="S78" s="274"/>
      <c r="T78" s="46"/>
      <c r="U78" s="598"/>
      <c r="V78" s="273"/>
      <c r="W78" s="274"/>
      <c r="X78" s="598">
        <v>86</v>
      </c>
      <c r="Y78" s="273" t="s">
        <v>2879</v>
      </c>
      <c r="Z78" s="275">
        <v>500000</v>
      </c>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row>
    <row r="79" spans="1:131" s="50" customFormat="1" ht="15" x14ac:dyDescent="0.25">
      <c r="A79" s="693"/>
      <c r="B79" s="690"/>
      <c r="C79" s="690"/>
      <c r="D79" s="693"/>
      <c r="E79" s="690"/>
      <c r="F79" s="711"/>
      <c r="G79" s="693"/>
      <c r="H79" s="711"/>
      <c r="I79" s="711"/>
      <c r="J79" s="711"/>
      <c r="K79" s="735"/>
      <c r="L79" s="693"/>
      <c r="M79" s="693"/>
      <c r="N79" s="812"/>
      <c r="O79" s="743"/>
      <c r="P79" s="78"/>
      <c r="Q79" s="148"/>
      <c r="R79" s="78"/>
      <c r="S79" s="274"/>
      <c r="T79" s="46"/>
      <c r="U79" s="598"/>
      <c r="V79" s="273"/>
      <c r="W79" s="274"/>
      <c r="X79" s="598">
        <v>87</v>
      </c>
      <c r="Y79" s="273" t="s">
        <v>2879</v>
      </c>
      <c r="Z79" s="275">
        <v>500000</v>
      </c>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row>
    <row r="80" spans="1:131" s="50" customFormat="1" ht="15" x14ac:dyDescent="0.25">
      <c r="A80" s="693"/>
      <c r="B80" s="690"/>
      <c r="C80" s="690"/>
      <c r="D80" s="693"/>
      <c r="E80" s="690"/>
      <c r="F80" s="711"/>
      <c r="G80" s="693"/>
      <c r="H80" s="711"/>
      <c r="I80" s="711"/>
      <c r="J80" s="711"/>
      <c r="K80" s="735"/>
      <c r="L80" s="693"/>
      <c r="M80" s="693"/>
      <c r="N80" s="812"/>
      <c r="O80" s="743"/>
      <c r="P80" s="78"/>
      <c r="Q80" s="148"/>
      <c r="R80" s="78"/>
      <c r="S80" s="274"/>
      <c r="T80" s="46"/>
      <c r="U80" s="598"/>
      <c r="V80" s="273"/>
      <c r="W80" s="274"/>
      <c r="X80" s="598">
        <v>88</v>
      </c>
      <c r="Y80" s="273" t="s">
        <v>2879</v>
      </c>
      <c r="Z80" s="275">
        <v>500000</v>
      </c>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row>
    <row r="81" spans="1:131" s="50" customFormat="1" ht="15" x14ac:dyDescent="0.25">
      <c r="A81" s="693"/>
      <c r="B81" s="690"/>
      <c r="C81" s="690"/>
      <c r="D81" s="693"/>
      <c r="E81" s="690"/>
      <c r="F81" s="711"/>
      <c r="G81" s="693"/>
      <c r="H81" s="711"/>
      <c r="I81" s="711"/>
      <c r="J81" s="711"/>
      <c r="K81" s="735"/>
      <c r="L81" s="693"/>
      <c r="M81" s="693"/>
      <c r="N81" s="812"/>
      <c r="O81" s="743"/>
      <c r="P81" s="78"/>
      <c r="Q81" s="148"/>
      <c r="R81" s="78"/>
      <c r="S81" s="274"/>
      <c r="T81" s="46"/>
      <c r="U81" s="598"/>
      <c r="V81" s="273"/>
      <c r="W81" s="274"/>
      <c r="X81" s="598">
        <v>89</v>
      </c>
      <c r="Y81" s="273" t="s">
        <v>2879</v>
      </c>
      <c r="Z81" s="275">
        <v>500000</v>
      </c>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row>
    <row r="82" spans="1:131" s="50" customFormat="1" ht="15" x14ac:dyDescent="0.25">
      <c r="A82" s="693"/>
      <c r="B82" s="690"/>
      <c r="C82" s="690"/>
      <c r="D82" s="693"/>
      <c r="E82" s="690"/>
      <c r="F82" s="711"/>
      <c r="G82" s="693"/>
      <c r="H82" s="711"/>
      <c r="I82" s="711"/>
      <c r="J82" s="711"/>
      <c r="K82" s="735"/>
      <c r="L82" s="693"/>
      <c r="M82" s="693"/>
      <c r="N82" s="812"/>
      <c r="O82" s="743"/>
      <c r="P82" s="78"/>
      <c r="Q82" s="148"/>
      <c r="R82" s="78"/>
      <c r="S82" s="274"/>
      <c r="T82" s="46"/>
      <c r="U82" s="598"/>
      <c r="V82" s="273"/>
      <c r="W82" s="274"/>
      <c r="X82" s="598">
        <v>90</v>
      </c>
      <c r="Y82" s="273" t="s">
        <v>2879</v>
      </c>
      <c r="Z82" s="275">
        <v>500000</v>
      </c>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row>
    <row r="83" spans="1:131" s="50" customFormat="1" ht="15" x14ac:dyDescent="0.25">
      <c r="A83" s="693"/>
      <c r="B83" s="690"/>
      <c r="C83" s="690"/>
      <c r="D83" s="693"/>
      <c r="E83" s="690"/>
      <c r="F83" s="711"/>
      <c r="G83" s="693"/>
      <c r="H83" s="711"/>
      <c r="I83" s="711"/>
      <c r="J83" s="711"/>
      <c r="K83" s="735"/>
      <c r="L83" s="693"/>
      <c r="M83" s="693"/>
      <c r="N83" s="812"/>
      <c r="O83" s="743"/>
      <c r="P83" s="78"/>
      <c r="Q83" s="148"/>
      <c r="R83" s="78"/>
      <c r="S83" s="274"/>
      <c r="T83" s="46"/>
      <c r="U83" s="598"/>
      <c r="V83" s="273"/>
      <c r="W83" s="274"/>
      <c r="X83" s="598">
        <v>91</v>
      </c>
      <c r="Y83" s="273" t="s">
        <v>2879</v>
      </c>
      <c r="Z83" s="275">
        <v>500000</v>
      </c>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row>
    <row r="84" spans="1:131" s="50" customFormat="1" ht="15" x14ac:dyDescent="0.25">
      <c r="A84" s="693"/>
      <c r="B84" s="690"/>
      <c r="C84" s="690"/>
      <c r="D84" s="693"/>
      <c r="E84" s="690"/>
      <c r="F84" s="711"/>
      <c r="G84" s="693"/>
      <c r="H84" s="711"/>
      <c r="I84" s="711"/>
      <c r="J84" s="711"/>
      <c r="K84" s="735"/>
      <c r="L84" s="693"/>
      <c r="M84" s="693"/>
      <c r="N84" s="812"/>
      <c r="O84" s="743"/>
      <c r="P84" s="78"/>
      <c r="Q84" s="148"/>
      <c r="R84" s="78"/>
      <c r="S84" s="274"/>
      <c r="T84" s="46"/>
      <c r="U84" s="598"/>
      <c r="V84" s="273"/>
      <c r="W84" s="274"/>
      <c r="X84" s="598">
        <v>92</v>
      </c>
      <c r="Y84" s="273" t="s">
        <v>2879</v>
      </c>
      <c r="Z84" s="275">
        <v>1000000</v>
      </c>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row>
    <row r="85" spans="1:131" s="50" customFormat="1" ht="15" x14ac:dyDescent="0.25">
      <c r="A85" s="693"/>
      <c r="B85" s="690"/>
      <c r="C85" s="690"/>
      <c r="D85" s="693"/>
      <c r="E85" s="690"/>
      <c r="F85" s="711"/>
      <c r="G85" s="693"/>
      <c r="H85" s="711"/>
      <c r="I85" s="711"/>
      <c r="J85" s="711"/>
      <c r="K85" s="735"/>
      <c r="L85" s="693"/>
      <c r="M85" s="693"/>
      <c r="N85" s="812"/>
      <c r="O85" s="743"/>
      <c r="P85" s="78"/>
      <c r="Q85" s="148"/>
      <c r="R85" s="78"/>
      <c r="S85" s="274"/>
      <c r="T85" s="46"/>
      <c r="U85" s="598"/>
      <c r="V85" s="273"/>
      <c r="W85" s="274"/>
      <c r="X85" s="598">
        <v>94</v>
      </c>
      <c r="Y85" s="273" t="s">
        <v>2879</v>
      </c>
      <c r="Z85" s="275">
        <v>500000</v>
      </c>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row>
    <row r="86" spans="1:131" s="50" customFormat="1" ht="15" x14ac:dyDescent="0.25">
      <c r="A86" s="693"/>
      <c r="B86" s="690"/>
      <c r="C86" s="690"/>
      <c r="D86" s="693"/>
      <c r="E86" s="690"/>
      <c r="F86" s="711"/>
      <c r="G86" s="693"/>
      <c r="H86" s="711"/>
      <c r="I86" s="711"/>
      <c r="J86" s="711"/>
      <c r="K86" s="735"/>
      <c r="L86" s="693"/>
      <c r="M86" s="693"/>
      <c r="N86" s="812"/>
      <c r="O86" s="743"/>
      <c r="P86" s="78"/>
      <c r="Q86" s="148"/>
      <c r="R86" s="78"/>
      <c r="S86" s="274"/>
      <c r="T86" s="46"/>
      <c r="U86" s="598"/>
      <c r="V86" s="273"/>
      <c r="W86" s="274"/>
      <c r="X86" s="598">
        <v>95</v>
      </c>
      <c r="Y86" s="273" t="s">
        <v>2879</v>
      </c>
      <c r="Z86" s="275">
        <v>500000</v>
      </c>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row>
    <row r="87" spans="1:131" s="50" customFormat="1" ht="15" x14ac:dyDescent="0.25">
      <c r="A87" s="693"/>
      <c r="B87" s="690"/>
      <c r="C87" s="690"/>
      <c r="D87" s="693"/>
      <c r="E87" s="690"/>
      <c r="F87" s="711"/>
      <c r="G87" s="693"/>
      <c r="H87" s="711"/>
      <c r="I87" s="711"/>
      <c r="J87" s="711"/>
      <c r="K87" s="735"/>
      <c r="L87" s="693"/>
      <c r="M87" s="693"/>
      <c r="N87" s="812"/>
      <c r="O87" s="743"/>
      <c r="P87" s="78"/>
      <c r="Q87" s="148"/>
      <c r="R87" s="78"/>
      <c r="S87" s="274"/>
      <c r="T87" s="46"/>
      <c r="U87" s="598"/>
      <c r="V87" s="273"/>
      <c r="W87" s="274"/>
      <c r="X87" s="598">
        <v>96</v>
      </c>
      <c r="Y87" s="273" t="s">
        <v>2879</v>
      </c>
      <c r="Z87" s="275">
        <v>500000</v>
      </c>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row>
    <row r="88" spans="1:131" s="50" customFormat="1" ht="15" x14ac:dyDescent="0.25">
      <c r="A88" s="693"/>
      <c r="B88" s="690"/>
      <c r="C88" s="690"/>
      <c r="D88" s="693"/>
      <c r="E88" s="690"/>
      <c r="F88" s="711"/>
      <c r="G88" s="693"/>
      <c r="H88" s="711"/>
      <c r="I88" s="711"/>
      <c r="J88" s="711"/>
      <c r="K88" s="735"/>
      <c r="L88" s="693"/>
      <c r="M88" s="693"/>
      <c r="N88" s="812"/>
      <c r="O88" s="743"/>
      <c r="P88" s="78"/>
      <c r="Q88" s="148"/>
      <c r="R88" s="78"/>
      <c r="S88" s="274"/>
      <c r="T88" s="46"/>
      <c r="U88" s="598"/>
      <c r="V88" s="273"/>
      <c r="W88" s="274"/>
      <c r="X88" s="598">
        <v>97</v>
      </c>
      <c r="Y88" s="273" t="s">
        <v>2879</v>
      </c>
      <c r="Z88" s="275">
        <v>500000</v>
      </c>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row>
    <row r="89" spans="1:131" s="50" customFormat="1" ht="15" x14ac:dyDescent="0.25">
      <c r="A89" s="693"/>
      <c r="B89" s="690"/>
      <c r="C89" s="690"/>
      <c r="D89" s="693"/>
      <c r="E89" s="690"/>
      <c r="F89" s="711"/>
      <c r="G89" s="693"/>
      <c r="H89" s="711"/>
      <c r="I89" s="711"/>
      <c r="J89" s="711"/>
      <c r="K89" s="735"/>
      <c r="L89" s="693"/>
      <c r="M89" s="693"/>
      <c r="N89" s="812"/>
      <c r="O89" s="743"/>
      <c r="P89" s="78" t="s">
        <v>1493</v>
      </c>
      <c r="Q89" s="457" t="s">
        <v>1494</v>
      </c>
      <c r="R89" s="78" t="s">
        <v>1495</v>
      </c>
      <c r="S89" s="274">
        <v>4000000</v>
      </c>
      <c r="T89" s="46"/>
      <c r="U89" s="598">
        <v>31</v>
      </c>
      <c r="V89" s="273">
        <v>37435</v>
      </c>
      <c r="W89" s="274">
        <v>4000000</v>
      </c>
      <c r="X89" s="598">
        <v>112</v>
      </c>
      <c r="Y89" s="273" t="s">
        <v>2857</v>
      </c>
      <c r="Z89" s="275">
        <v>500000</v>
      </c>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row>
    <row r="90" spans="1:131" s="50" customFormat="1" ht="15" x14ac:dyDescent="0.25">
      <c r="A90" s="693"/>
      <c r="B90" s="690"/>
      <c r="C90" s="690"/>
      <c r="D90" s="693"/>
      <c r="E90" s="690"/>
      <c r="F90" s="711"/>
      <c r="G90" s="693"/>
      <c r="H90" s="711"/>
      <c r="I90" s="711"/>
      <c r="J90" s="711"/>
      <c r="K90" s="735"/>
      <c r="L90" s="693"/>
      <c r="M90" s="693"/>
      <c r="N90" s="812"/>
      <c r="O90" s="743"/>
      <c r="P90" s="78"/>
      <c r="Q90" s="148"/>
      <c r="R90" s="78"/>
      <c r="S90" s="274"/>
      <c r="T90" s="46"/>
      <c r="U90" s="598"/>
      <c r="V90" s="273"/>
      <c r="W90" s="274"/>
      <c r="X90" s="598">
        <v>114</v>
      </c>
      <c r="Y90" s="273" t="s">
        <v>2857</v>
      </c>
      <c r="Z90" s="275">
        <v>500000</v>
      </c>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row>
    <row r="91" spans="1:131" s="50" customFormat="1" ht="15" x14ac:dyDescent="0.25">
      <c r="A91" s="693"/>
      <c r="B91" s="690"/>
      <c r="C91" s="690"/>
      <c r="D91" s="693"/>
      <c r="E91" s="690"/>
      <c r="F91" s="711"/>
      <c r="G91" s="693"/>
      <c r="H91" s="711"/>
      <c r="I91" s="711"/>
      <c r="J91" s="711"/>
      <c r="K91" s="735"/>
      <c r="L91" s="693"/>
      <c r="M91" s="693"/>
      <c r="N91" s="812"/>
      <c r="O91" s="743"/>
      <c r="P91" s="78"/>
      <c r="Q91" s="148"/>
      <c r="R91" s="78"/>
      <c r="S91" s="274"/>
      <c r="T91" s="46"/>
      <c r="U91" s="598"/>
      <c r="V91" s="273"/>
      <c r="W91" s="274"/>
      <c r="X91" s="598">
        <v>115</v>
      </c>
      <c r="Y91" s="273" t="s">
        <v>2857</v>
      </c>
      <c r="Z91" s="275">
        <v>500000</v>
      </c>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row>
    <row r="92" spans="1:131" s="50" customFormat="1" ht="15" x14ac:dyDescent="0.25">
      <c r="A92" s="693"/>
      <c r="B92" s="690"/>
      <c r="C92" s="690"/>
      <c r="D92" s="693"/>
      <c r="E92" s="690"/>
      <c r="F92" s="711"/>
      <c r="G92" s="693"/>
      <c r="H92" s="711"/>
      <c r="I92" s="711"/>
      <c r="J92" s="711"/>
      <c r="K92" s="735"/>
      <c r="L92" s="693"/>
      <c r="M92" s="693"/>
      <c r="N92" s="812"/>
      <c r="O92" s="743"/>
      <c r="P92" s="78"/>
      <c r="Q92" s="148"/>
      <c r="R92" s="78"/>
      <c r="S92" s="274"/>
      <c r="T92" s="46"/>
      <c r="U92" s="598"/>
      <c r="V92" s="273"/>
      <c r="W92" s="274"/>
      <c r="X92" s="598">
        <v>116</v>
      </c>
      <c r="Y92" s="273" t="s">
        <v>2857</v>
      </c>
      <c r="Z92" s="275">
        <v>1000000</v>
      </c>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row>
    <row r="93" spans="1:131" s="50" customFormat="1" ht="15" x14ac:dyDescent="0.25">
      <c r="A93" s="693"/>
      <c r="B93" s="690"/>
      <c r="C93" s="690"/>
      <c r="D93" s="693"/>
      <c r="E93" s="690"/>
      <c r="F93" s="711"/>
      <c r="G93" s="693"/>
      <c r="H93" s="711"/>
      <c r="I93" s="711"/>
      <c r="J93" s="711"/>
      <c r="K93" s="735"/>
      <c r="L93" s="693"/>
      <c r="M93" s="693"/>
      <c r="N93" s="812"/>
      <c r="O93" s="743"/>
      <c r="P93" s="78"/>
      <c r="Q93" s="148"/>
      <c r="R93" s="78"/>
      <c r="S93" s="274"/>
      <c r="T93" s="46"/>
      <c r="U93" s="598"/>
      <c r="V93" s="273"/>
      <c r="W93" s="274"/>
      <c r="X93" s="598">
        <v>117</v>
      </c>
      <c r="Y93" s="273" t="s">
        <v>2857</v>
      </c>
      <c r="Z93" s="275">
        <v>500000</v>
      </c>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row>
    <row r="94" spans="1:131" s="50" customFormat="1" ht="15" x14ac:dyDescent="0.25">
      <c r="A94" s="693"/>
      <c r="B94" s="690"/>
      <c r="C94" s="690"/>
      <c r="D94" s="693"/>
      <c r="E94" s="690"/>
      <c r="F94" s="711"/>
      <c r="G94" s="693"/>
      <c r="H94" s="711"/>
      <c r="I94" s="711"/>
      <c r="J94" s="711"/>
      <c r="K94" s="735"/>
      <c r="L94" s="693"/>
      <c r="M94" s="693"/>
      <c r="N94" s="812"/>
      <c r="O94" s="743"/>
      <c r="P94" s="78"/>
      <c r="Q94" s="148"/>
      <c r="R94" s="78"/>
      <c r="S94" s="274"/>
      <c r="T94" s="46"/>
      <c r="U94" s="598"/>
      <c r="V94" s="273"/>
      <c r="W94" s="274"/>
      <c r="X94" s="598">
        <v>118</v>
      </c>
      <c r="Y94" s="273" t="s">
        <v>2857</v>
      </c>
      <c r="Z94" s="275">
        <v>500000</v>
      </c>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row>
    <row r="95" spans="1:131" s="50" customFormat="1" ht="15" x14ac:dyDescent="0.25">
      <c r="A95" s="693"/>
      <c r="B95" s="690"/>
      <c r="C95" s="690"/>
      <c r="D95" s="693"/>
      <c r="E95" s="690"/>
      <c r="F95" s="711"/>
      <c r="G95" s="693"/>
      <c r="H95" s="711"/>
      <c r="I95" s="711"/>
      <c r="J95" s="711"/>
      <c r="K95" s="735"/>
      <c r="L95" s="693"/>
      <c r="M95" s="693"/>
      <c r="N95" s="812"/>
      <c r="O95" s="743"/>
      <c r="P95" s="78"/>
      <c r="Q95" s="148"/>
      <c r="R95" s="78"/>
      <c r="S95" s="274"/>
      <c r="T95" s="46"/>
      <c r="U95" s="598"/>
      <c r="V95" s="273"/>
      <c r="W95" s="274"/>
      <c r="X95" s="598">
        <v>119</v>
      </c>
      <c r="Y95" s="273" t="s">
        <v>2857</v>
      </c>
      <c r="Z95" s="275">
        <v>500000</v>
      </c>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row>
    <row r="96" spans="1:131" s="50" customFormat="1" ht="15" x14ac:dyDescent="0.25">
      <c r="A96" s="693"/>
      <c r="B96" s="690"/>
      <c r="C96" s="690"/>
      <c r="D96" s="693"/>
      <c r="E96" s="690"/>
      <c r="F96" s="711"/>
      <c r="G96" s="693"/>
      <c r="H96" s="711"/>
      <c r="I96" s="711"/>
      <c r="J96" s="711"/>
      <c r="K96" s="735"/>
      <c r="L96" s="693"/>
      <c r="M96" s="693"/>
      <c r="N96" s="812"/>
      <c r="O96" s="743"/>
      <c r="P96" s="78" t="s">
        <v>1496</v>
      </c>
      <c r="Q96" s="457" t="s">
        <v>1497</v>
      </c>
      <c r="R96" s="78" t="s">
        <v>1498</v>
      </c>
      <c r="S96" s="274">
        <v>13800000</v>
      </c>
      <c r="T96" s="46"/>
      <c r="U96" s="598">
        <v>32</v>
      </c>
      <c r="V96" s="273">
        <v>44757</v>
      </c>
      <c r="W96" s="274">
        <v>13800000</v>
      </c>
      <c r="X96" s="598">
        <v>136</v>
      </c>
      <c r="Y96" s="273" t="s">
        <v>2811</v>
      </c>
      <c r="Z96" s="275">
        <v>300000</v>
      </c>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row>
    <row r="97" spans="1:131" s="50" customFormat="1" ht="15" x14ac:dyDescent="0.25">
      <c r="A97" s="693"/>
      <c r="B97" s="690"/>
      <c r="C97" s="690"/>
      <c r="D97" s="693"/>
      <c r="E97" s="690"/>
      <c r="F97" s="711"/>
      <c r="G97" s="693"/>
      <c r="H97" s="711"/>
      <c r="I97" s="711"/>
      <c r="J97" s="711"/>
      <c r="K97" s="735"/>
      <c r="L97" s="693"/>
      <c r="M97" s="693"/>
      <c r="N97" s="812"/>
      <c r="O97" s="743"/>
      <c r="P97" s="78"/>
      <c r="Q97" s="599"/>
      <c r="R97" s="78"/>
      <c r="S97" s="274"/>
      <c r="T97" s="46"/>
      <c r="U97" s="598"/>
      <c r="V97" s="273"/>
      <c r="W97" s="274"/>
      <c r="X97" s="598">
        <v>137</v>
      </c>
      <c r="Y97" s="273" t="s">
        <v>2811</v>
      </c>
      <c r="Z97" s="275">
        <v>300000</v>
      </c>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row>
    <row r="98" spans="1:131" s="50" customFormat="1" ht="15" x14ac:dyDescent="0.25">
      <c r="A98" s="693"/>
      <c r="B98" s="690"/>
      <c r="C98" s="690"/>
      <c r="D98" s="693"/>
      <c r="E98" s="690"/>
      <c r="F98" s="711"/>
      <c r="G98" s="693"/>
      <c r="H98" s="711"/>
      <c r="I98" s="711"/>
      <c r="J98" s="711"/>
      <c r="K98" s="735"/>
      <c r="L98" s="693"/>
      <c r="M98" s="693"/>
      <c r="N98" s="812"/>
      <c r="O98" s="743"/>
      <c r="P98" s="78"/>
      <c r="Q98" s="599"/>
      <c r="R98" s="78"/>
      <c r="S98" s="274"/>
      <c r="T98" s="46"/>
      <c r="U98" s="598"/>
      <c r="V98" s="273"/>
      <c r="W98" s="274"/>
      <c r="X98" s="598">
        <v>138</v>
      </c>
      <c r="Y98" s="273" t="s">
        <v>2811</v>
      </c>
      <c r="Z98" s="275">
        <v>300000</v>
      </c>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row>
    <row r="99" spans="1:131" s="50" customFormat="1" ht="15" x14ac:dyDescent="0.25">
      <c r="A99" s="693"/>
      <c r="B99" s="690"/>
      <c r="C99" s="690"/>
      <c r="D99" s="693"/>
      <c r="E99" s="690"/>
      <c r="F99" s="711"/>
      <c r="G99" s="693"/>
      <c r="H99" s="711"/>
      <c r="I99" s="711"/>
      <c r="J99" s="711"/>
      <c r="K99" s="735"/>
      <c r="L99" s="693"/>
      <c r="M99" s="693"/>
      <c r="N99" s="812"/>
      <c r="O99" s="743"/>
      <c r="P99" s="78"/>
      <c r="Q99" s="599"/>
      <c r="R99" s="78"/>
      <c r="S99" s="274"/>
      <c r="T99" s="46"/>
      <c r="U99" s="598"/>
      <c r="V99" s="273"/>
      <c r="W99" s="274"/>
      <c r="X99" s="598">
        <v>139</v>
      </c>
      <c r="Y99" s="273" t="s">
        <v>2811</v>
      </c>
      <c r="Z99" s="275">
        <v>300000</v>
      </c>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row>
    <row r="100" spans="1:131" s="50" customFormat="1" ht="15" x14ac:dyDescent="0.25">
      <c r="A100" s="693"/>
      <c r="B100" s="690"/>
      <c r="C100" s="690"/>
      <c r="D100" s="693"/>
      <c r="E100" s="690"/>
      <c r="F100" s="711"/>
      <c r="G100" s="693"/>
      <c r="H100" s="711"/>
      <c r="I100" s="711"/>
      <c r="J100" s="711"/>
      <c r="K100" s="735"/>
      <c r="L100" s="693"/>
      <c r="M100" s="693"/>
      <c r="N100" s="812"/>
      <c r="O100" s="743"/>
      <c r="P100" s="78"/>
      <c r="Q100" s="599"/>
      <c r="R100" s="78"/>
      <c r="S100" s="274"/>
      <c r="T100" s="46"/>
      <c r="U100" s="598"/>
      <c r="V100" s="273"/>
      <c r="W100" s="274"/>
      <c r="X100" s="598">
        <v>140</v>
      </c>
      <c r="Y100" s="273" t="s">
        <v>2811</v>
      </c>
      <c r="Z100" s="275">
        <v>600000</v>
      </c>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row>
    <row r="101" spans="1:131" s="50" customFormat="1" ht="15" x14ac:dyDescent="0.25">
      <c r="A101" s="693"/>
      <c r="B101" s="690"/>
      <c r="C101" s="690"/>
      <c r="D101" s="693"/>
      <c r="E101" s="690"/>
      <c r="F101" s="711"/>
      <c r="G101" s="693"/>
      <c r="H101" s="711"/>
      <c r="I101" s="711"/>
      <c r="J101" s="711"/>
      <c r="K101" s="735"/>
      <c r="L101" s="693"/>
      <c r="M101" s="693"/>
      <c r="N101" s="812"/>
      <c r="O101" s="743"/>
      <c r="P101" s="78"/>
      <c r="Q101" s="599"/>
      <c r="R101" s="78"/>
      <c r="S101" s="274"/>
      <c r="T101" s="46"/>
      <c r="U101" s="598"/>
      <c r="V101" s="273"/>
      <c r="W101" s="274"/>
      <c r="X101" s="598">
        <v>141</v>
      </c>
      <c r="Y101" s="273" t="s">
        <v>2811</v>
      </c>
      <c r="Z101" s="275">
        <v>1500000</v>
      </c>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row>
    <row r="102" spans="1:131" s="50" customFormat="1" ht="15" x14ac:dyDescent="0.25">
      <c r="A102" s="693"/>
      <c r="B102" s="690"/>
      <c r="C102" s="690"/>
      <c r="D102" s="693"/>
      <c r="E102" s="690"/>
      <c r="F102" s="711"/>
      <c r="G102" s="693"/>
      <c r="H102" s="711"/>
      <c r="I102" s="711"/>
      <c r="J102" s="711"/>
      <c r="K102" s="735"/>
      <c r="L102" s="693"/>
      <c r="M102" s="693"/>
      <c r="N102" s="812"/>
      <c r="O102" s="743"/>
      <c r="P102" s="78"/>
      <c r="Q102" s="599"/>
      <c r="R102" s="78"/>
      <c r="S102" s="274"/>
      <c r="T102" s="46"/>
      <c r="U102" s="598"/>
      <c r="V102" s="273"/>
      <c r="W102" s="274"/>
      <c r="X102" s="598">
        <v>142</v>
      </c>
      <c r="Y102" s="273" t="s">
        <v>2811</v>
      </c>
      <c r="Z102" s="275">
        <v>1200000</v>
      </c>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row>
    <row r="103" spans="1:131" s="50" customFormat="1" ht="15" x14ac:dyDescent="0.25">
      <c r="A103" s="693"/>
      <c r="B103" s="690"/>
      <c r="C103" s="690"/>
      <c r="D103" s="693"/>
      <c r="E103" s="690"/>
      <c r="F103" s="711"/>
      <c r="G103" s="693"/>
      <c r="H103" s="711"/>
      <c r="I103" s="711"/>
      <c r="J103" s="711"/>
      <c r="K103" s="735"/>
      <c r="L103" s="693"/>
      <c r="M103" s="693"/>
      <c r="N103" s="812"/>
      <c r="O103" s="743"/>
      <c r="P103" s="78"/>
      <c r="Q103" s="599"/>
      <c r="R103" s="78"/>
      <c r="S103" s="274"/>
      <c r="T103" s="46"/>
      <c r="U103" s="598"/>
      <c r="V103" s="273"/>
      <c r="W103" s="274"/>
      <c r="X103" s="598">
        <v>143</v>
      </c>
      <c r="Y103" s="273" t="s">
        <v>2811</v>
      </c>
      <c r="Z103" s="275">
        <v>1200000</v>
      </c>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row>
    <row r="104" spans="1:131" s="50" customFormat="1" ht="15" x14ac:dyDescent="0.25">
      <c r="A104" s="693"/>
      <c r="B104" s="690"/>
      <c r="C104" s="690"/>
      <c r="D104" s="693"/>
      <c r="E104" s="690"/>
      <c r="F104" s="711"/>
      <c r="G104" s="693"/>
      <c r="H104" s="711"/>
      <c r="I104" s="711"/>
      <c r="J104" s="711"/>
      <c r="K104" s="735"/>
      <c r="L104" s="693"/>
      <c r="M104" s="693"/>
      <c r="N104" s="812"/>
      <c r="O104" s="743"/>
      <c r="P104" s="78"/>
      <c r="Q104" s="599"/>
      <c r="R104" s="78"/>
      <c r="S104" s="274"/>
      <c r="T104" s="46"/>
      <c r="U104" s="598"/>
      <c r="V104" s="273"/>
      <c r="W104" s="274"/>
      <c r="X104" s="598">
        <v>144</v>
      </c>
      <c r="Y104" s="273" t="s">
        <v>2811</v>
      </c>
      <c r="Z104" s="275">
        <v>900000</v>
      </c>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row>
    <row r="105" spans="1:131" s="50" customFormat="1" ht="15" x14ac:dyDescent="0.25">
      <c r="A105" s="693"/>
      <c r="B105" s="690"/>
      <c r="C105" s="690"/>
      <c r="D105" s="693"/>
      <c r="E105" s="690"/>
      <c r="F105" s="711"/>
      <c r="G105" s="693"/>
      <c r="H105" s="711"/>
      <c r="I105" s="711"/>
      <c r="J105" s="711"/>
      <c r="K105" s="735"/>
      <c r="L105" s="693"/>
      <c r="M105" s="693"/>
      <c r="N105" s="812"/>
      <c r="O105" s="743"/>
      <c r="P105" s="78"/>
      <c r="Q105" s="599"/>
      <c r="R105" s="78"/>
      <c r="S105" s="274"/>
      <c r="T105" s="46"/>
      <c r="U105" s="598"/>
      <c r="V105" s="273"/>
      <c r="W105" s="274"/>
      <c r="X105" s="598">
        <v>145</v>
      </c>
      <c r="Y105" s="273" t="s">
        <v>2811</v>
      </c>
      <c r="Z105" s="275">
        <v>1200000</v>
      </c>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row>
    <row r="106" spans="1:131" s="50" customFormat="1" ht="15" x14ac:dyDescent="0.25">
      <c r="A106" s="693"/>
      <c r="B106" s="690"/>
      <c r="C106" s="690"/>
      <c r="D106" s="693"/>
      <c r="E106" s="690"/>
      <c r="F106" s="711"/>
      <c r="G106" s="693"/>
      <c r="H106" s="711"/>
      <c r="I106" s="711"/>
      <c r="J106" s="711"/>
      <c r="K106" s="735"/>
      <c r="L106" s="693"/>
      <c r="M106" s="693"/>
      <c r="N106" s="812"/>
      <c r="O106" s="743"/>
      <c r="P106" s="78"/>
      <c r="Q106" s="599"/>
      <c r="R106" s="78"/>
      <c r="S106" s="274"/>
      <c r="T106" s="46"/>
      <c r="U106" s="598"/>
      <c r="V106" s="273"/>
      <c r="W106" s="274"/>
      <c r="X106" s="598">
        <v>146</v>
      </c>
      <c r="Y106" s="273" t="s">
        <v>2811</v>
      </c>
      <c r="Z106" s="275">
        <v>1500000</v>
      </c>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row>
    <row r="107" spans="1:131" s="50" customFormat="1" ht="15" x14ac:dyDescent="0.25">
      <c r="A107" s="693"/>
      <c r="B107" s="690"/>
      <c r="C107" s="690"/>
      <c r="D107" s="693"/>
      <c r="E107" s="690"/>
      <c r="F107" s="711"/>
      <c r="G107" s="693"/>
      <c r="H107" s="711"/>
      <c r="I107" s="711"/>
      <c r="J107" s="711"/>
      <c r="K107" s="735"/>
      <c r="L107" s="693"/>
      <c r="M107" s="693"/>
      <c r="N107" s="812"/>
      <c r="O107" s="743"/>
      <c r="P107" s="78"/>
      <c r="Q107" s="599"/>
      <c r="R107" s="78"/>
      <c r="S107" s="274"/>
      <c r="T107" s="46"/>
      <c r="U107" s="598"/>
      <c r="V107" s="273"/>
      <c r="W107" s="274"/>
      <c r="X107" s="598">
        <v>147</v>
      </c>
      <c r="Y107" s="273" t="s">
        <v>2811</v>
      </c>
      <c r="Z107" s="275">
        <v>1500000</v>
      </c>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row>
    <row r="108" spans="1:131" s="50" customFormat="1" ht="15" x14ac:dyDescent="0.25">
      <c r="A108" s="693"/>
      <c r="B108" s="690"/>
      <c r="C108" s="690"/>
      <c r="D108" s="693"/>
      <c r="E108" s="690"/>
      <c r="F108" s="711"/>
      <c r="G108" s="693"/>
      <c r="H108" s="711"/>
      <c r="I108" s="711"/>
      <c r="J108" s="711"/>
      <c r="K108" s="735"/>
      <c r="L108" s="693"/>
      <c r="M108" s="693"/>
      <c r="N108" s="812"/>
      <c r="O108" s="743"/>
      <c r="P108" s="78"/>
      <c r="Q108" s="599"/>
      <c r="R108" s="78"/>
      <c r="S108" s="274"/>
      <c r="T108" s="46"/>
      <c r="U108" s="598"/>
      <c r="V108" s="273"/>
      <c r="W108" s="274"/>
      <c r="X108" s="598">
        <v>148</v>
      </c>
      <c r="Y108" s="273" t="s">
        <v>2811</v>
      </c>
      <c r="Z108" s="275">
        <v>1500000</v>
      </c>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row>
    <row r="109" spans="1:131" s="50" customFormat="1" ht="15" x14ac:dyDescent="0.25">
      <c r="A109" s="693"/>
      <c r="B109" s="690"/>
      <c r="C109" s="690"/>
      <c r="D109" s="693"/>
      <c r="E109" s="690"/>
      <c r="F109" s="711"/>
      <c r="G109" s="693"/>
      <c r="H109" s="711"/>
      <c r="I109" s="711"/>
      <c r="J109" s="711"/>
      <c r="K109" s="735"/>
      <c r="L109" s="693"/>
      <c r="M109" s="693"/>
      <c r="N109" s="812"/>
      <c r="O109" s="743"/>
      <c r="P109" s="78"/>
      <c r="Q109" s="599"/>
      <c r="R109" s="78"/>
      <c r="S109" s="274"/>
      <c r="T109" s="46"/>
      <c r="U109" s="598"/>
      <c r="V109" s="273"/>
      <c r="W109" s="274"/>
      <c r="X109" s="598">
        <v>149</v>
      </c>
      <c r="Y109" s="273" t="s">
        <v>2811</v>
      </c>
      <c r="Z109" s="275">
        <v>1500000</v>
      </c>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row>
    <row r="110" spans="1:131" s="50" customFormat="1" ht="15" x14ac:dyDescent="0.25">
      <c r="A110" s="693"/>
      <c r="B110" s="690"/>
      <c r="C110" s="690"/>
      <c r="D110" s="693"/>
      <c r="E110" s="690"/>
      <c r="F110" s="711"/>
      <c r="G110" s="693"/>
      <c r="H110" s="711"/>
      <c r="I110" s="711"/>
      <c r="J110" s="711"/>
      <c r="K110" s="735"/>
      <c r="L110" s="693"/>
      <c r="M110" s="693"/>
      <c r="N110" s="812"/>
      <c r="O110" s="743"/>
      <c r="P110" s="78" t="s">
        <v>1821</v>
      </c>
      <c r="Q110" s="457" t="s">
        <v>1826</v>
      </c>
      <c r="R110" s="78" t="s">
        <v>1831</v>
      </c>
      <c r="S110" s="274">
        <v>17670000</v>
      </c>
      <c r="T110" s="46"/>
      <c r="U110" s="598">
        <v>43</v>
      </c>
      <c r="V110" s="273">
        <v>44785</v>
      </c>
      <c r="W110" s="274">
        <v>17670000</v>
      </c>
      <c r="X110" s="598">
        <v>135</v>
      </c>
      <c r="Y110" s="273" t="s">
        <v>2813</v>
      </c>
      <c r="Z110" s="275">
        <v>2970000</v>
      </c>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row>
    <row r="111" spans="1:131" s="50" customFormat="1" ht="15" x14ac:dyDescent="0.25">
      <c r="A111" s="693"/>
      <c r="B111" s="690"/>
      <c r="C111" s="690"/>
      <c r="D111" s="693"/>
      <c r="E111" s="690"/>
      <c r="F111" s="711"/>
      <c r="G111" s="693"/>
      <c r="H111" s="711"/>
      <c r="I111" s="711"/>
      <c r="J111" s="711"/>
      <c r="K111" s="735"/>
      <c r="L111" s="693"/>
      <c r="M111" s="693"/>
      <c r="N111" s="812"/>
      <c r="O111" s="743"/>
      <c r="P111" s="78"/>
      <c r="Q111" s="599"/>
      <c r="R111" s="78"/>
      <c r="S111" s="274"/>
      <c r="T111" s="46"/>
      <c r="U111" s="598"/>
      <c r="V111" s="273"/>
      <c r="W111" s="274"/>
      <c r="X111" s="598">
        <v>159</v>
      </c>
      <c r="Y111" s="273" t="s">
        <v>2777</v>
      </c>
      <c r="Z111" s="275">
        <v>3200000</v>
      </c>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row>
    <row r="112" spans="1:131" s="50" customFormat="1" ht="15" x14ac:dyDescent="0.25">
      <c r="A112" s="693"/>
      <c r="B112" s="690"/>
      <c r="C112" s="690"/>
      <c r="D112" s="693"/>
      <c r="E112" s="690"/>
      <c r="F112" s="711"/>
      <c r="G112" s="693"/>
      <c r="H112" s="711"/>
      <c r="I112" s="711"/>
      <c r="J112" s="711"/>
      <c r="K112" s="735"/>
      <c r="L112" s="693"/>
      <c r="M112" s="693"/>
      <c r="N112" s="812"/>
      <c r="O112" s="743"/>
      <c r="P112" s="78"/>
      <c r="Q112" s="599"/>
      <c r="R112" s="78"/>
      <c r="S112" s="274"/>
      <c r="T112" s="46"/>
      <c r="U112" s="598"/>
      <c r="V112" s="273"/>
      <c r="W112" s="274"/>
      <c r="X112" s="598">
        <v>160</v>
      </c>
      <c r="Y112" s="273" t="s">
        <v>2777</v>
      </c>
      <c r="Z112" s="275">
        <v>4000000</v>
      </c>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row>
    <row r="113" spans="1:131" s="50" customFormat="1" ht="15" x14ac:dyDescent="0.25">
      <c r="A113" s="693"/>
      <c r="B113" s="690"/>
      <c r="C113" s="690"/>
      <c r="D113" s="693"/>
      <c r="E113" s="690"/>
      <c r="F113" s="711"/>
      <c r="G113" s="693"/>
      <c r="H113" s="711"/>
      <c r="I113" s="711"/>
      <c r="J113" s="711"/>
      <c r="K113" s="735"/>
      <c r="L113" s="693"/>
      <c r="M113" s="693"/>
      <c r="N113" s="812"/>
      <c r="O113" s="743"/>
      <c r="P113" s="78"/>
      <c r="Q113" s="599"/>
      <c r="R113" s="78"/>
      <c r="S113" s="274"/>
      <c r="T113" s="46"/>
      <c r="U113" s="598"/>
      <c r="V113" s="273"/>
      <c r="W113" s="274"/>
      <c r="X113" s="598">
        <v>161</v>
      </c>
      <c r="Y113" s="273" t="s">
        <v>2777</v>
      </c>
      <c r="Z113" s="275">
        <v>4000000</v>
      </c>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row>
    <row r="114" spans="1:131" s="50" customFormat="1" ht="15" x14ac:dyDescent="0.25">
      <c r="A114" s="693"/>
      <c r="B114" s="690"/>
      <c r="C114" s="690"/>
      <c r="D114" s="693"/>
      <c r="E114" s="690"/>
      <c r="F114" s="711"/>
      <c r="G114" s="693"/>
      <c r="H114" s="711"/>
      <c r="I114" s="711"/>
      <c r="J114" s="711"/>
      <c r="K114" s="735"/>
      <c r="L114" s="693"/>
      <c r="M114" s="693"/>
      <c r="N114" s="812"/>
      <c r="O114" s="743"/>
      <c r="P114" s="78"/>
      <c r="Q114" s="599"/>
      <c r="R114" s="78"/>
      <c r="S114" s="274"/>
      <c r="T114" s="46"/>
      <c r="U114" s="598"/>
      <c r="V114" s="273"/>
      <c r="W114" s="274"/>
      <c r="X114" s="598">
        <v>162</v>
      </c>
      <c r="Y114" s="273" t="s">
        <v>2870</v>
      </c>
      <c r="Z114" s="275">
        <v>3500000</v>
      </c>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row>
    <row r="115" spans="1:131" s="50" customFormat="1" ht="15" x14ac:dyDescent="0.25">
      <c r="A115" s="693"/>
      <c r="B115" s="690"/>
      <c r="C115" s="690"/>
      <c r="D115" s="693"/>
      <c r="E115" s="690"/>
      <c r="F115" s="711"/>
      <c r="G115" s="693"/>
      <c r="H115" s="711"/>
      <c r="I115" s="711"/>
      <c r="J115" s="711"/>
      <c r="K115" s="735"/>
      <c r="L115" s="693"/>
      <c r="M115" s="693"/>
      <c r="N115" s="812"/>
      <c r="O115" s="743"/>
      <c r="P115" s="78" t="s">
        <v>1822</v>
      </c>
      <c r="Q115" s="457" t="s">
        <v>1827</v>
      </c>
      <c r="R115" s="78" t="s">
        <v>1832</v>
      </c>
      <c r="S115" s="274">
        <v>35030000</v>
      </c>
      <c r="T115" s="46"/>
      <c r="U115" s="598">
        <v>46</v>
      </c>
      <c r="V115" s="273">
        <v>44798</v>
      </c>
      <c r="W115" s="274">
        <v>35030000</v>
      </c>
      <c r="X115" s="598">
        <v>127</v>
      </c>
      <c r="Y115" s="273" t="s">
        <v>2845</v>
      </c>
      <c r="Z115" s="275">
        <v>15820000</v>
      </c>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row>
    <row r="116" spans="1:131" s="50" customFormat="1" ht="15" x14ac:dyDescent="0.25">
      <c r="A116" s="693"/>
      <c r="B116" s="690"/>
      <c r="C116" s="690"/>
      <c r="D116" s="693"/>
      <c r="E116" s="690"/>
      <c r="F116" s="711"/>
      <c r="G116" s="693"/>
      <c r="H116" s="711"/>
      <c r="I116" s="711"/>
      <c r="J116" s="711"/>
      <c r="K116" s="735"/>
      <c r="L116" s="693"/>
      <c r="M116" s="693"/>
      <c r="N116" s="812"/>
      <c r="O116" s="743"/>
      <c r="P116" s="78"/>
      <c r="Q116" s="148"/>
      <c r="R116" s="78"/>
      <c r="S116" s="274"/>
      <c r="T116" s="46"/>
      <c r="U116" s="598"/>
      <c r="V116" s="273"/>
      <c r="W116" s="274"/>
      <c r="X116" s="598">
        <v>134</v>
      </c>
      <c r="Y116" s="273" t="s">
        <v>2825</v>
      </c>
      <c r="Z116" s="275">
        <v>10850000</v>
      </c>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row>
    <row r="117" spans="1:131" s="50" customFormat="1" ht="15" x14ac:dyDescent="0.25">
      <c r="A117" s="693"/>
      <c r="B117" s="690"/>
      <c r="C117" s="690"/>
      <c r="D117" s="693"/>
      <c r="E117" s="690"/>
      <c r="F117" s="711"/>
      <c r="G117" s="693"/>
      <c r="H117" s="711"/>
      <c r="I117" s="711"/>
      <c r="J117" s="711"/>
      <c r="K117" s="735"/>
      <c r="L117" s="693"/>
      <c r="M117" s="693"/>
      <c r="N117" s="812"/>
      <c r="O117" s="743"/>
      <c r="P117" s="78"/>
      <c r="Q117" s="148"/>
      <c r="R117" s="78"/>
      <c r="S117" s="274"/>
      <c r="T117" s="46"/>
      <c r="U117" s="598"/>
      <c r="V117" s="273"/>
      <c r="W117" s="274"/>
      <c r="X117" s="598">
        <v>154</v>
      </c>
      <c r="Y117" s="273" t="s">
        <v>2769</v>
      </c>
      <c r="Z117" s="275">
        <v>8360000</v>
      </c>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row>
    <row r="118" spans="1:131" s="50" customFormat="1" ht="15" x14ac:dyDescent="0.25">
      <c r="A118" s="693"/>
      <c r="B118" s="690"/>
      <c r="C118" s="690"/>
      <c r="D118" s="693"/>
      <c r="E118" s="690"/>
      <c r="F118" s="711"/>
      <c r="G118" s="693"/>
      <c r="H118" s="711"/>
      <c r="I118" s="711"/>
      <c r="J118" s="711"/>
      <c r="K118" s="735"/>
      <c r="L118" s="693"/>
      <c r="M118" s="693"/>
      <c r="N118" s="812"/>
      <c r="O118" s="743"/>
      <c r="P118" s="78" t="s">
        <v>1823</v>
      </c>
      <c r="Q118" s="457" t="s">
        <v>1828</v>
      </c>
      <c r="R118" s="78" t="s">
        <v>1833</v>
      </c>
      <c r="S118" s="274">
        <v>754842</v>
      </c>
      <c r="T118" s="46"/>
      <c r="U118" s="598">
        <v>47</v>
      </c>
      <c r="V118" s="273">
        <v>44798</v>
      </c>
      <c r="W118" s="274">
        <v>754842</v>
      </c>
      <c r="X118" s="598">
        <v>165</v>
      </c>
      <c r="Y118" s="273" t="s">
        <v>2791</v>
      </c>
      <c r="Z118" s="274">
        <v>754842</v>
      </c>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row>
    <row r="119" spans="1:131" s="50" customFormat="1" ht="15" x14ac:dyDescent="0.25">
      <c r="A119" s="693"/>
      <c r="B119" s="690"/>
      <c r="C119" s="690"/>
      <c r="D119" s="693"/>
      <c r="E119" s="690"/>
      <c r="F119" s="711"/>
      <c r="G119" s="693"/>
      <c r="H119" s="711"/>
      <c r="I119" s="711"/>
      <c r="J119" s="711"/>
      <c r="K119" s="735"/>
      <c r="L119" s="693"/>
      <c r="M119" s="693"/>
      <c r="N119" s="812"/>
      <c r="O119" s="743"/>
      <c r="P119" s="78" t="s">
        <v>1824</v>
      </c>
      <c r="Q119" s="457" t="s">
        <v>1829</v>
      </c>
      <c r="R119" s="78" t="s">
        <v>1834</v>
      </c>
      <c r="S119" s="274">
        <v>7000000</v>
      </c>
      <c r="T119" s="46"/>
      <c r="U119" s="598">
        <v>53</v>
      </c>
      <c r="V119" s="273">
        <v>44827</v>
      </c>
      <c r="W119" s="274">
        <v>7000000</v>
      </c>
      <c r="X119" s="598">
        <v>168</v>
      </c>
      <c r="Y119" s="273" t="s">
        <v>2790</v>
      </c>
      <c r="Z119" s="275">
        <v>1500000</v>
      </c>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row>
    <row r="120" spans="1:131" s="50" customFormat="1" ht="15" x14ac:dyDescent="0.25">
      <c r="A120" s="693"/>
      <c r="B120" s="690"/>
      <c r="C120" s="690"/>
      <c r="D120" s="693"/>
      <c r="E120" s="690"/>
      <c r="F120" s="711"/>
      <c r="G120" s="693"/>
      <c r="H120" s="711"/>
      <c r="I120" s="711"/>
      <c r="J120" s="711"/>
      <c r="K120" s="735"/>
      <c r="L120" s="693"/>
      <c r="M120" s="693"/>
      <c r="N120" s="812"/>
      <c r="O120" s="743"/>
      <c r="P120" s="78"/>
      <c r="Q120" s="599"/>
      <c r="R120" s="78"/>
      <c r="S120" s="274"/>
      <c r="T120" s="46"/>
      <c r="U120" s="598"/>
      <c r="V120" s="273"/>
      <c r="W120" s="274"/>
      <c r="X120" s="598">
        <v>169</v>
      </c>
      <c r="Y120" s="273" t="s">
        <v>2790</v>
      </c>
      <c r="Z120" s="275">
        <v>1500000</v>
      </c>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row>
    <row r="121" spans="1:131" s="50" customFormat="1" ht="15" x14ac:dyDescent="0.25">
      <c r="A121" s="693"/>
      <c r="B121" s="690"/>
      <c r="C121" s="690"/>
      <c r="D121" s="693"/>
      <c r="E121" s="690"/>
      <c r="F121" s="711"/>
      <c r="G121" s="693"/>
      <c r="H121" s="711"/>
      <c r="I121" s="711"/>
      <c r="J121" s="711"/>
      <c r="K121" s="735"/>
      <c r="L121" s="693"/>
      <c r="M121" s="693"/>
      <c r="N121" s="812"/>
      <c r="O121" s="743"/>
      <c r="P121" s="78"/>
      <c r="Q121" s="599"/>
      <c r="R121" s="78"/>
      <c r="S121" s="274"/>
      <c r="T121" s="46"/>
      <c r="U121" s="598"/>
      <c r="V121" s="273"/>
      <c r="W121" s="274"/>
      <c r="X121" s="598">
        <v>170</v>
      </c>
      <c r="Y121" s="273" t="s">
        <v>2790</v>
      </c>
      <c r="Z121" s="275">
        <v>1000000</v>
      </c>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row>
    <row r="122" spans="1:131" s="50" customFormat="1" ht="15" x14ac:dyDescent="0.25">
      <c r="A122" s="693"/>
      <c r="B122" s="690"/>
      <c r="C122" s="690"/>
      <c r="D122" s="693"/>
      <c r="E122" s="690"/>
      <c r="F122" s="711"/>
      <c r="G122" s="693"/>
      <c r="H122" s="711"/>
      <c r="I122" s="711"/>
      <c r="J122" s="711"/>
      <c r="K122" s="735"/>
      <c r="L122" s="693"/>
      <c r="M122" s="693"/>
      <c r="N122" s="812"/>
      <c r="O122" s="743"/>
      <c r="P122" s="78"/>
      <c r="Q122" s="599"/>
      <c r="R122" s="78"/>
      <c r="S122" s="274"/>
      <c r="T122" s="46"/>
      <c r="U122" s="598"/>
      <c r="V122" s="273"/>
      <c r="W122" s="274"/>
      <c r="X122" s="598">
        <v>171</v>
      </c>
      <c r="Y122" s="273" t="s">
        <v>2790</v>
      </c>
      <c r="Z122" s="275">
        <v>1000000</v>
      </c>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row>
    <row r="123" spans="1:131" s="50" customFormat="1" ht="15" x14ac:dyDescent="0.25">
      <c r="A123" s="693"/>
      <c r="B123" s="690"/>
      <c r="C123" s="690"/>
      <c r="D123" s="693"/>
      <c r="E123" s="690"/>
      <c r="F123" s="711"/>
      <c r="G123" s="693"/>
      <c r="H123" s="711"/>
      <c r="I123" s="711"/>
      <c r="J123" s="711"/>
      <c r="K123" s="735"/>
      <c r="L123" s="693"/>
      <c r="M123" s="693"/>
      <c r="N123" s="812"/>
      <c r="O123" s="743"/>
      <c r="P123" s="78"/>
      <c r="Q123" s="599"/>
      <c r="R123" s="78"/>
      <c r="S123" s="274"/>
      <c r="T123" s="46"/>
      <c r="U123" s="598"/>
      <c r="V123" s="273"/>
      <c r="W123" s="274"/>
      <c r="X123" s="598">
        <v>172</v>
      </c>
      <c r="Y123" s="273" t="s">
        <v>2790</v>
      </c>
      <c r="Z123" s="275">
        <v>1000000</v>
      </c>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row>
    <row r="124" spans="1:131" s="50" customFormat="1" ht="15" x14ac:dyDescent="0.25">
      <c r="A124" s="693"/>
      <c r="B124" s="690"/>
      <c r="C124" s="690"/>
      <c r="D124" s="693"/>
      <c r="E124" s="690"/>
      <c r="F124" s="711"/>
      <c r="G124" s="693"/>
      <c r="H124" s="711"/>
      <c r="I124" s="711"/>
      <c r="J124" s="711"/>
      <c r="K124" s="735"/>
      <c r="L124" s="693"/>
      <c r="M124" s="693"/>
      <c r="N124" s="812"/>
      <c r="O124" s="743"/>
      <c r="P124" s="78"/>
      <c r="Q124" s="599"/>
      <c r="R124" s="78"/>
      <c r="S124" s="274"/>
      <c r="T124" s="46"/>
      <c r="U124" s="598"/>
      <c r="V124" s="273"/>
      <c r="W124" s="274"/>
      <c r="X124" s="598">
        <v>173</v>
      </c>
      <c r="Y124" s="273" t="s">
        <v>2790</v>
      </c>
      <c r="Z124" s="275">
        <v>1000000</v>
      </c>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row>
    <row r="125" spans="1:131" s="50" customFormat="1" ht="15" x14ac:dyDescent="0.25">
      <c r="A125" s="693"/>
      <c r="B125" s="690"/>
      <c r="C125" s="690"/>
      <c r="D125" s="694"/>
      <c r="E125" s="691"/>
      <c r="F125" s="712"/>
      <c r="G125" s="694"/>
      <c r="H125" s="712"/>
      <c r="I125" s="712"/>
      <c r="J125" s="712"/>
      <c r="K125" s="729"/>
      <c r="L125" s="694"/>
      <c r="M125" s="694"/>
      <c r="N125" s="811"/>
      <c r="O125" s="743"/>
      <c r="P125" s="78" t="s">
        <v>1825</v>
      </c>
      <c r="Q125" s="457" t="s">
        <v>1830</v>
      </c>
      <c r="R125" s="78" t="s">
        <v>1835</v>
      </c>
      <c r="S125" s="274">
        <v>5500000</v>
      </c>
      <c r="T125" s="46"/>
      <c r="U125" s="598">
        <v>55</v>
      </c>
      <c r="V125" s="273" t="s">
        <v>2812</v>
      </c>
      <c r="W125" s="274">
        <v>5500000</v>
      </c>
      <c r="X125" s="598">
        <v>156</v>
      </c>
      <c r="Y125" s="273" t="s">
        <v>2781</v>
      </c>
      <c r="Z125" s="274">
        <v>5500000</v>
      </c>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row>
    <row r="126" spans="1:131" s="50" customFormat="1" ht="15" x14ac:dyDescent="0.25">
      <c r="A126" s="693"/>
      <c r="B126" s="690"/>
      <c r="C126" s="690"/>
      <c r="D126" s="410"/>
      <c r="E126" s="415"/>
      <c r="F126" s="423"/>
      <c r="G126" s="410"/>
      <c r="H126" s="287"/>
      <c r="I126" s="287"/>
      <c r="J126" s="287"/>
      <c r="K126" s="233"/>
      <c r="L126" s="410"/>
      <c r="M126" s="410"/>
      <c r="N126" s="427"/>
      <c r="O126" s="743"/>
      <c r="P126" s="78" t="s">
        <v>2546</v>
      </c>
      <c r="Q126" s="457" t="s">
        <v>2547</v>
      </c>
      <c r="R126" s="78" t="s">
        <v>2548</v>
      </c>
      <c r="S126" s="274">
        <v>12000000</v>
      </c>
      <c r="T126" s="46"/>
      <c r="U126" s="598">
        <v>56</v>
      </c>
      <c r="V126" s="273" t="s">
        <v>2813</v>
      </c>
      <c r="W126" s="274">
        <v>12000000</v>
      </c>
      <c r="X126" s="598">
        <v>153</v>
      </c>
      <c r="Y126" s="273" t="s">
        <v>2769</v>
      </c>
      <c r="Z126" s="274">
        <v>12000000</v>
      </c>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row>
    <row r="127" spans="1:131" s="50" customFormat="1" ht="15" x14ac:dyDescent="0.25">
      <c r="A127" s="693"/>
      <c r="B127" s="690"/>
      <c r="C127" s="690"/>
      <c r="D127" s="410"/>
      <c r="E127" s="415"/>
      <c r="F127" s="423"/>
      <c r="G127" s="410"/>
      <c r="H127" s="287"/>
      <c r="I127" s="287"/>
      <c r="J127" s="287"/>
      <c r="K127" s="233"/>
      <c r="L127" s="410"/>
      <c r="M127" s="410"/>
      <c r="N127" s="427"/>
      <c r="O127" s="743"/>
      <c r="P127" s="78" t="s">
        <v>2549</v>
      </c>
      <c r="Q127" s="457" t="s">
        <v>2550</v>
      </c>
      <c r="R127" s="78" t="s">
        <v>2551</v>
      </c>
      <c r="S127" s="274">
        <v>76000000</v>
      </c>
      <c r="T127" s="46"/>
      <c r="U127" s="598">
        <v>60</v>
      </c>
      <c r="V127" s="273" t="s">
        <v>2769</v>
      </c>
      <c r="W127" s="274">
        <v>76000000</v>
      </c>
      <c r="X127" s="598">
        <v>185</v>
      </c>
      <c r="Y127" s="273" t="s">
        <v>2798</v>
      </c>
      <c r="Z127" s="275">
        <v>500000</v>
      </c>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row>
    <row r="128" spans="1:131" s="50" customFormat="1" ht="15" x14ac:dyDescent="0.25">
      <c r="A128" s="693"/>
      <c r="B128" s="690"/>
      <c r="C128" s="690"/>
      <c r="D128" s="590"/>
      <c r="E128" s="591"/>
      <c r="F128" s="592"/>
      <c r="G128" s="590"/>
      <c r="H128" s="287"/>
      <c r="I128" s="287"/>
      <c r="J128" s="287"/>
      <c r="K128" s="233"/>
      <c r="L128" s="590"/>
      <c r="M128" s="590"/>
      <c r="N128" s="595"/>
      <c r="O128" s="743"/>
      <c r="P128" s="78"/>
      <c r="Q128" s="599"/>
      <c r="R128" s="78"/>
      <c r="S128" s="274"/>
      <c r="T128" s="46"/>
      <c r="U128" s="598"/>
      <c r="V128" s="273"/>
      <c r="W128" s="274"/>
      <c r="X128" s="598">
        <v>186</v>
      </c>
      <c r="Y128" s="273" t="s">
        <v>2798</v>
      </c>
      <c r="Z128" s="275">
        <v>500000</v>
      </c>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row>
    <row r="129" spans="1:131" s="50" customFormat="1" ht="15" x14ac:dyDescent="0.25">
      <c r="A129" s="693"/>
      <c r="B129" s="690"/>
      <c r="C129" s="690"/>
      <c r="D129" s="590"/>
      <c r="E129" s="591"/>
      <c r="F129" s="592"/>
      <c r="G129" s="590"/>
      <c r="H129" s="287"/>
      <c r="I129" s="287"/>
      <c r="J129" s="287"/>
      <c r="K129" s="233"/>
      <c r="L129" s="590"/>
      <c r="M129" s="590"/>
      <c r="N129" s="595"/>
      <c r="O129" s="743"/>
      <c r="P129" s="78"/>
      <c r="Q129" s="599"/>
      <c r="R129" s="78"/>
      <c r="S129" s="274"/>
      <c r="T129" s="46"/>
      <c r="U129" s="598"/>
      <c r="V129" s="273"/>
      <c r="W129" s="274"/>
      <c r="X129" s="598">
        <v>187</v>
      </c>
      <c r="Y129" s="273" t="s">
        <v>2798</v>
      </c>
      <c r="Z129" s="275">
        <v>500000</v>
      </c>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row>
    <row r="130" spans="1:131" s="50" customFormat="1" ht="15" x14ac:dyDescent="0.25">
      <c r="A130" s="693"/>
      <c r="B130" s="690"/>
      <c r="C130" s="690"/>
      <c r="D130" s="590"/>
      <c r="E130" s="591"/>
      <c r="F130" s="592"/>
      <c r="G130" s="590"/>
      <c r="H130" s="287"/>
      <c r="I130" s="287"/>
      <c r="J130" s="287"/>
      <c r="K130" s="233"/>
      <c r="L130" s="590"/>
      <c r="M130" s="590"/>
      <c r="N130" s="595"/>
      <c r="O130" s="743"/>
      <c r="P130" s="78"/>
      <c r="Q130" s="599"/>
      <c r="R130" s="78"/>
      <c r="S130" s="274"/>
      <c r="T130" s="46"/>
      <c r="U130" s="598"/>
      <c r="V130" s="273"/>
      <c r="W130" s="274"/>
      <c r="X130" s="598">
        <v>188</v>
      </c>
      <c r="Y130" s="273" t="s">
        <v>2798</v>
      </c>
      <c r="Z130" s="275">
        <v>500000</v>
      </c>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row>
    <row r="131" spans="1:131" s="50" customFormat="1" ht="15" x14ac:dyDescent="0.25">
      <c r="A131" s="693"/>
      <c r="B131" s="690"/>
      <c r="C131" s="690"/>
      <c r="D131" s="590"/>
      <c r="E131" s="591"/>
      <c r="F131" s="592"/>
      <c r="G131" s="590"/>
      <c r="H131" s="287"/>
      <c r="I131" s="287"/>
      <c r="J131" s="287"/>
      <c r="K131" s="233"/>
      <c r="L131" s="590"/>
      <c r="M131" s="590"/>
      <c r="N131" s="595"/>
      <c r="O131" s="743"/>
      <c r="P131" s="78"/>
      <c r="Q131" s="599"/>
      <c r="R131" s="78"/>
      <c r="S131" s="274"/>
      <c r="T131" s="46"/>
      <c r="U131" s="598"/>
      <c r="V131" s="273"/>
      <c r="W131" s="274"/>
      <c r="X131" s="598">
        <v>189</v>
      </c>
      <c r="Y131" s="273" t="s">
        <v>2798</v>
      </c>
      <c r="Z131" s="275">
        <v>500000</v>
      </c>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row>
    <row r="132" spans="1:131" s="50" customFormat="1" ht="15" x14ac:dyDescent="0.25">
      <c r="A132" s="693"/>
      <c r="B132" s="690"/>
      <c r="C132" s="690"/>
      <c r="D132" s="590"/>
      <c r="E132" s="591"/>
      <c r="F132" s="592"/>
      <c r="G132" s="590"/>
      <c r="H132" s="287"/>
      <c r="I132" s="287"/>
      <c r="J132" s="287"/>
      <c r="K132" s="233"/>
      <c r="L132" s="590"/>
      <c r="M132" s="590"/>
      <c r="N132" s="595"/>
      <c r="O132" s="743"/>
      <c r="P132" s="78"/>
      <c r="Q132" s="599"/>
      <c r="R132" s="78"/>
      <c r="S132" s="274"/>
      <c r="T132" s="46"/>
      <c r="U132" s="598"/>
      <c r="V132" s="273"/>
      <c r="W132" s="274"/>
      <c r="X132" s="598">
        <v>190</v>
      </c>
      <c r="Y132" s="273" t="s">
        <v>2798</v>
      </c>
      <c r="Z132" s="275">
        <v>1000000</v>
      </c>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row>
    <row r="133" spans="1:131" s="50" customFormat="1" ht="15" x14ac:dyDescent="0.25">
      <c r="A133" s="693"/>
      <c r="B133" s="690"/>
      <c r="C133" s="690"/>
      <c r="D133" s="590"/>
      <c r="E133" s="591"/>
      <c r="F133" s="592"/>
      <c r="G133" s="590"/>
      <c r="H133" s="287"/>
      <c r="I133" s="287"/>
      <c r="J133" s="287"/>
      <c r="K133" s="233"/>
      <c r="L133" s="590"/>
      <c r="M133" s="590"/>
      <c r="N133" s="595"/>
      <c r="O133" s="743"/>
      <c r="P133" s="78"/>
      <c r="Q133" s="599"/>
      <c r="R133" s="78"/>
      <c r="S133" s="274"/>
      <c r="T133" s="46"/>
      <c r="U133" s="598"/>
      <c r="V133" s="273"/>
      <c r="W133" s="274"/>
      <c r="X133" s="598">
        <v>191</v>
      </c>
      <c r="Y133" s="273" t="s">
        <v>2798</v>
      </c>
      <c r="Z133" s="275">
        <v>500000</v>
      </c>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row>
    <row r="134" spans="1:131" s="50" customFormat="1" ht="15" x14ac:dyDescent="0.25">
      <c r="A134" s="693"/>
      <c r="B134" s="690"/>
      <c r="C134" s="690"/>
      <c r="D134" s="590"/>
      <c r="E134" s="591"/>
      <c r="F134" s="592"/>
      <c r="G134" s="590"/>
      <c r="H134" s="287"/>
      <c r="I134" s="287"/>
      <c r="J134" s="287"/>
      <c r="K134" s="233"/>
      <c r="L134" s="590"/>
      <c r="M134" s="590"/>
      <c r="N134" s="595"/>
      <c r="O134" s="743"/>
      <c r="P134" s="78"/>
      <c r="Q134" s="599"/>
      <c r="R134" s="78"/>
      <c r="S134" s="274"/>
      <c r="T134" s="46"/>
      <c r="U134" s="598"/>
      <c r="V134" s="273"/>
      <c r="W134" s="274"/>
      <c r="X134" s="598">
        <v>192</v>
      </c>
      <c r="Y134" s="273" t="s">
        <v>2798</v>
      </c>
      <c r="Z134" s="275">
        <v>500000</v>
      </c>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row>
    <row r="135" spans="1:131" s="50" customFormat="1" ht="15" x14ac:dyDescent="0.25">
      <c r="A135" s="693"/>
      <c r="B135" s="690"/>
      <c r="C135" s="690"/>
      <c r="D135" s="590"/>
      <c r="E135" s="591"/>
      <c r="F135" s="592"/>
      <c r="G135" s="590"/>
      <c r="H135" s="287"/>
      <c r="I135" s="287"/>
      <c r="J135" s="287"/>
      <c r="K135" s="233"/>
      <c r="L135" s="590"/>
      <c r="M135" s="590"/>
      <c r="N135" s="595"/>
      <c r="O135" s="743"/>
      <c r="P135" s="78"/>
      <c r="Q135" s="599"/>
      <c r="R135" s="78"/>
      <c r="S135" s="274"/>
      <c r="T135" s="46"/>
      <c r="U135" s="598"/>
      <c r="V135" s="273"/>
      <c r="W135" s="274"/>
      <c r="X135" s="598">
        <v>194</v>
      </c>
      <c r="Y135" s="273" t="s">
        <v>2798</v>
      </c>
      <c r="Z135" s="275">
        <v>500000</v>
      </c>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row>
    <row r="136" spans="1:131" s="50" customFormat="1" ht="15" x14ac:dyDescent="0.25">
      <c r="A136" s="693"/>
      <c r="B136" s="690"/>
      <c r="C136" s="690"/>
      <c r="D136" s="590"/>
      <c r="E136" s="591"/>
      <c r="F136" s="592"/>
      <c r="G136" s="590"/>
      <c r="H136" s="287"/>
      <c r="I136" s="287"/>
      <c r="J136" s="287"/>
      <c r="K136" s="233"/>
      <c r="L136" s="590"/>
      <c r="M136" s="590"/>
      <c r="N136" s="595"/>
      <c r="O136" s="743"/>
      <c r="P136" s="78"/>
      <c r="Q136" s="599"/>
      <c r="R136" s="78"/>
      <c r="S136" s="274"/>
      <c r="T136" s="46"/>
      <c r="U136" s="598"/>
      <c r="V136" s="273"/>
      <c r="W136" s="274"/>
      <c r="X136" s="598">
        <v>195</v>
      </c>
      <c r="Y136" s="273" t="s">
        <v>2798</v>
      </c>
      <c r="Z136" s="275">
        <v>500000</v>
      </c>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row>
    <row r="137" spans="1:131" s="50" customFormat="1" ht="15" x14ac:dyDescent="0.25">
      <c r="A137" s="693"/>
      <c r="B137" s="690"/>
      <c r="C137" s="690"/>
      <c r="D137" s="590"/>
      <c r="E137" s="591"/>
      <c r="F137" s="592"/>
      <c r="G137" s="590"/>
      <c r="H137" s="287"/>
      <c r="I137" s="287"/>
      <c r="J137" s="287"/>
      <c r="K137" s="233"/>
      <c r="L137" s="590"/>
      <c r="M137" s="590"/>
      <c r="N137" s="595"/>
      <c r="O137" s="743"/>
      <c r="P137" s="78"/>
      <c r="Q137" s="599"/>
      <c r="R137" s="78"/>
      <c r="S137" s="274"/>
      <c r="T137" s="46"/>
      <c r="U137" s="598"/>
      <c r="V137" s="273"/>
      <c r="W137" s="274"/>
      <c r="X137" s="598">
        <v>196</v>
      </c>
      <c r="Y137" s="273" t="s">
        <v>2798</v>
      </c>
      <c r="Z137" s="275">
        <v>1000000</v>
      </c>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row>
    <row r="138" spans="1:131" s="50" customFormat="1" ht="15" x14ac:dyDescent="0.25">
      <c r="A138" s="693"/>
      <c r="B138" s="690"/>
      <c r="C138" s="690"/>
      <c r="D138" s="590"/>
      <c r="E138" s="591"/>
      <c r="F138" s="592"/>
      <c r="G138" s="590"/>
      <c r="H138" s="287"/>
      <c r="I138" s="287"/>
      <c r="J138" s="287"/>
      <c r="K138" s="233"/>
      <c r="L138" s="590"/>
      <c r="M138" s="590"/>
      <c r="N138" s="595"/>
      <c r="O138" s="743"/>
      <c r="P138" s="78"/>
      <c r="Q138" s="599"/>
      <c r="R138" s="78"/>
      <c r="S138" s="274"/>
      <c r="T138" s="46"/>
      <c r="U138" s="598"/>
      <c r="V138" s="273"/>
      <c r="W138" s="274"/>
      <c r="X138" s="598">
        <v>197</v>
      </c>
      <c r="Y138" s="273" t="s">
        <v>2798</v>
      </c>
      <c r="Z138" s="275">
        <v>1000000</v>
      </c>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row>
    <row r="139" spans="1:131" s="50" customFormat="1" ht="15" x14ac:dyDescent="0.25">
      <c r="A139" s="693"/>
      <c r="B139" s="690"/>
      <c r="C139" s="690"/>
      <c r="D139" s="590"/>
      <c r="E139" s="591"/>
      <c r="F139" s="592"/>
      <c r="G139" s="590"/>
      <c r="H139" s="287"/>
      <c r="I139" s="287"/>
      <c r="J139" s="287"/>
      <c r="K139" s="233"/>
      <c r="L139" s="590"/>
      <c r="M139" s="590"/>
      <c r="N139" s="595"/>
      <c r="O139" s="743"/>
      <c r="P139" s="78"/>
      <c r="Q139" s="599"/>
      <c r="R139" s="78"/>
      <c r="S139" s="274"/>
      <c r="T139" s="46"/>
      <c r="U139" s="598"/>
      <c r="V139" s="273"/>
      <c r="W139" s="274"/>
      <c r="X139" s="598">
        <v>198</v>
      </c>
      <c r="Y139" s="273" t="s">
        <v>2798</v>
      </c>
      <c r="Z139" s="275">
        <v>1000000</v>
      </c>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row>
    <row r="140" spans="1:131" s="50" customFormat="1" ht="15" x14ac:dyDescent="0.25">
      <c r="A140" s="693"/>
      <c r="B140" s="690"/>
      <c r="C140" s="690"/>
      <c r="D140" s="590"/>
      <c r="E140" s="591"/>
      <c r="F140" s="592"/>
      <c r="G140" s="590"/>
      <c r="H140" s="287"/>
      <c r="I140" s="287"/>
      <c r="J140" s="287"/>
      <c r="K140" s="233"/>
      <c r="L140" s="590"/>
      <c r="M140" s="590"/>
      <c r="N140" s="595"/>
      <c r="O140" s="743"/>
      <c r="P140" s="78"/>
      <c r="Q140" s="599"/>
      <c r="R140" s="78"/>
      <c r="S140" s="274"/>
      <c r="T140" s="46"/>
      <c r="U140" s="598"/>
      <c r="V140" s="273"/>
      <c r="W140" s="274"/>
      <c r="X140" s="598">
        <v>199</v>
      </c>
      <c r="Y140" s="273" t="s">
        <v>2798</v>
      </c>
      <c r="Z140" s="275">
        <v>500000</v>
      </c>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row>
    <row r="141" spans="1:131" s="50" customFormat="1" ht="15" x14ac:dyDescent="0.25">
      <c r="A141" s="693"/>
      <c r="B141" s="690"/>
      <c r="C141" s="690"/>
      <c r="D141" s="590"/>
      <c r="E141" s="591"/>
      <c r="F141" s="592"/>
      <c r="G141" s="590"/>
      <c r="H141" s="287"/>
      <c r="I141" s="287"/>
      <c r="J141" s="287"/>
      <c r="K141" s="233"/>
      <c r="L141" s="590"/>
      <c r="M141" s="590"/>
      <c r="N141" s="595"/>
      <c r="O141" s="743"/>
      <c r="P141" s="78"/>
      <c r="Q141" s="599"/>
      <c r="R141" s="78"/>
      <c r="S141" s="274"/>
      <c r="T141" s="46"/>
      <c r="U141" s="598"/>
      <c r="V141" s="273"/>
      <c r="W141" s="274"/>
      <c r="X141" s="598">
        <v>200</v>
      </c>
      <c r="Y141" s="273" t="s">
        <v>2798</v>
      </c>
      <c r="Z141" s="275">
        <v>1000000</v>
      </c>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row>
    <row r="142" spans="1:131" s="50" customFormat="1" ht="15" x14ac:dyDescent="0.25">
      <c r="A142" s="693"/>
      <c r="B142" s="690"/>
      <c r="C142" s="690"/>
      <c r="D142" s="590"/>
      <c r="E142" s="591"/>
      <c r="F142" s="592"/>
      <c r="G142" s="590"/>
      <c r="H142" s="287"/>
      <c r="I142" s="287"/>
      <c r="J142" s="287"/>
      <c r="K142" s="233"/>
      <c r="L142" s="590"/>
      <c r="M142" s="590"/>
      <c r="N142" s="595"/>
      <c r="O142" s="743"/>
      <c r="P142" s="78"/>
      <c r="Q142" s="599"/>
      <c r="R142" s="78"/>
      <c r="S142" s="274"/>
      <c r="T142" s="46"/>
      <c r="U142" s="598"/>
      <c r="V142" s="273"/>
      <c r="W142" s="274"/>
      <c r="X142" s="598">
        <v>201</v>
      </c>
      <c r="Y142" s="273" t="s">
        <v>2798</v>
      </c>
      <c r="Z142" s="275">
        <v>500000</v>
      </c>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row>
    <row r="143" spans="1:131" s="50" customFormat="1" ht="15" x14ac:dyDescent="0.25">
      <c r="A143" s="693"/>
      <c r="B143" s="690"/>
      <c r="C143" s="690"/>
      <c r="D143" s="590"/>
      <c r="E143" s="591"/>
      <c r="F143" s="592"/>
      <c r="G143" s="590"/>
      <c r="H143" s="287"/>
      <c r="I143" s="287"/>
      <c r="J143" s="287"/>
      <c r="K143" s="233"/>
      <c r="L143" s="590"/>
      <c r="M143" s="590"/>
      <c r="N143" s="595"/>
      <c r="O143" s="743"/>
      <c r="P143" s="78"/>
      <c r="Q143" s="599"/>
      <c r="R143" s="78"/>
      <c r="S143" s="274"/>
      <c r="T143" s="46"/>
      <c r="U143" s="598"/>
      <c r="V143" s="273"/>
      <c r="W143" s="274"/>
      <c r="X143" s="598">
        <v>202</v>
      </c>
      <c r="Y143" s="273" t="s">
        <v>2798</v>
      </c>
      <c r="Z143" s="275">
        <v>500000</v>
      </c>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row>
    <row r="144" spans="1:131" s="50" customFormat="1" ht="15" x14ac:dyDescent="0.25">
      <c r="A144" s="693"/>
      <c r="B144" s="690"/>
      <c r="C144" s="690"/>
      <c r="D144" s="590"/>
      <c r="E144" s="591"/>
      <c r="F144" s="592"/>
      <c r="G144" s="590"/>
      <c r="H144" s="287"/>
      <c r="I144" s="287"/>
      <c r="J144" s="287"/>
      <c r="K144" s="233"/>
      <c r="L144" s="590"/>
      <c r="M144" s="590"/>
      <c r="N144" s="595"/>
      <c r="O144" s="743"/>
      <c r="P144" s="78"/>
      <c r="Q144" s="599"/>
      <c r="R144" s="78"/>
      <c r="S144" s="274"/>
      <c r="T144" s="46"/>
      <c r="U144" s="598"/>
      <c r="V144" s="273"/>
      <c r="W144" s="274"/>
      <c r="X144" s="598">
        <v>203</v>
      </c>
      <c r="Y144" s="273" t="s">
        <v>2798</v>
      </c>
      <c r="Z144" s="275">
        <v>1000000</v>
      </c>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row>
    <row r="145" spans="1:131" s="50" customFormat="1" ht="15" x14ac:dyDescent="0.25">
      <c r="A145" s="693"/>
      <c r="B145" s="690"/>
      <c r="C145" s="690"/>
      <c r="D145" s="590"/>
      <c r="E145" s="591"/>
      <c r="F145" s="592"/>
      <c r="G145" s="590"/>
      <c r="H145" s="287"/>
      <c r="I145" s="287"/>
      <c r="J145" s="287"/>
      <c r="K145" s="233"/>
      <c r="L145" s="590"/>
      <c r="M145" s="590"/>
      <c r="N145" s="595"/>
      <c r="O145" s="743"/>
      <c r="P145" s="78"/>
      <c r="Q145" s="599"/>
      <c r="R145" s="78"/>
      <c r="S145" s="274"/>
      <c r="T145" s="46"/>
      <c r="U145" s="598"/>
      <c r="V145" s="273"/>
      <c r="W145" s="274"/>
      <c r="X145" s="598">
        <v>204</v>
      </c>
      <c r="Y145" s="273" t="s">
        <v>2798</v>
      </c>
      <c r="Z145" s="275">
        <v>500000</v>
      </c>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row>
    <row r="146" spans="1:131" s="50" customFormat="1" ht="15" x14ac:dyDescent="0.25">
      <c r="A146" s="693"/>
      <c r="B146" s="690"/>
      <c r="C146" s="690"/>
      <c r="D146" s="590"/>
      <c r="E146" s="591"/>
      <c r="F146" s="592"/>
      <c r="G146" s="590"/>
      <c r="H146" s="287"/>
      <c r="I146" s="287"/>
      <c r="J146" s="287"/>
      <c r="K146" s="233"/>
      <c r="L146" s="590"/>
      <c r="M146" s="590"/>
      <c r="N146" s="595"/>
      <c r="O146" s="743"/>
      <c r="P146" s="78"/>
      <c r="Q146" s="599"/>
      <c r="R146" s="78"/>
      <c r="S146" s="274"/>
      <c r="T146" s="46"/>
      <c r="U146" s="598"/>
      <c r="V146" s="273"/>
      <c r="W146" s="274"/>
      <c r="X146" s="598">
        <v>205</v>
      </c>
      <c r="Y146" s="273" t="s">
        <v>2798</v>
      </c>
      <c r="Z146" s="275">
        <v>500000</v>
      </c>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row>
    <row r="147" spans="1:131" s="50" customFormat="1" ht="15" x14ac:dyDescent="0.25">
      <c r="A147" s="693"/>
      <c r="B147" s="690"/>
      <c r="C147" s="690"/>
      <c r="D147" s="590"/>
      <c r="E147" s="591"/>
      <c r="F147" s="592"/>
      <c r="G147" s="590"/>
      <c r="H147" s="287"/>
      <c r="I147" s="287"/>
      <c r="J147" s="287"/>
      <c r="K147" s="233"/>
      <c r="L147" s="590"/>
      <c r="M147" s="590"/>
      <c r="N147" s="595"/>
      <c r="O147" s="743"/>
      <c r="P147" s="78"/>
      <c r="Q147" s="599"/>
      <c r="R147" s="78"/>
      <c r="S147" s="274"/>
      <c r="T147" s="46"/>
      <c r="U147" s="598"/>
      <c r="V147" s="273"/>
      <c r="W147" s="274"/>
      <c r="X147" s="598">
        <v>206</v>
      </c>
      <c r="Y147" s="273" t="s">
        <v>2798</v>
      </c>
      <c r="Z147" s="275">
        <v>1000000</v>
      </c>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row>
    <row r="148" spans="1:131" s="50" customFormat="1" ht="15" x14ac:dyDescent="0.25">
      <c r="A148" s="693"/>
      <c r="B148" s="690"/>
      <c r="C148" s="690"/>
      <c r="D148" s="590"/>
      <c r="E148" s="591"/>
      <c r="F148" s="592"/>
      <c r="G148" s="590"/>
      <c r="H148" s="287"/>
      <c r="I148" s="287"/>
      <c r="J148" s="287"/>
      <c r="K148" s="233"/>
      <c r="L148" s="590"/>
      <c r="M148" s="590"/>
      <c r="N148" s="595"/>
      <c r="O148" s="743"/>
      <c r="P148" s="78"/>
      <c r="Q148" s="599"/>
      <c r="R148" s="78"/>
      <c r="S148" s="274"/>
      <c r="T148" s="46"/>
      <c r="U148" s="598"/>
      <c r="V148" s="273"/>
      <c r="W148" s="274"/>
      <c r="X148" s="598">
        <v>207</v>
      </c>
      <c r="Y148" s="273" t="s">
        <v>2798</v>
      </c>
      <c r="Z148" s="275">
        <v>1500000</v>
      </c>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row>
    <row r="149" spans="1:131" s="50" customFormat="1" ht="15" x14ac:dyDescent="0.25">
      <c r="A149" s="693"/>
      <c r="B149" s="690"/>
      <c r="C149" s="690"/>
      <c r="D149" s="590"/>
      <c r="E149" s="591"/>
      <c r="F149" s="592"/>
      <c r="G149" s="590"/>
      <c r="H149" s="287"/>
      <c r="I149" s="287"/>
      <c r="J149" s="287"/>
      <c r="K149" s="233"/>
      <c r="L149" s="590"/>
      <c r="M149" s="590"/>
      <c r="N149" s="595"/>
      <c r="O149" s="743"/>
      <c r="P149" s="78"/>
      <c r="Q149" s="599"/>
      <c r="R149" s="78"/>
      <c r="S149" s="274"/>
      <c r="T149" s="46"/>
      <c r="U149" s="598"/>
      <c r="V149" s="273"/>
      <c r="W149" s="274"/>
      <c r="X149" s="598">
        <v>208</v>
      </c>
      <c r="Y149" s="273" t="s">
        <v>2798</v>
      </c>
      <c r="Z149" s="275">
        <v>1500000</v>
      </c>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row>
    <row r="150" spans="1:131" s="50" customFormat="1" ht="15" x14ac:dyDescent="0.25">
      <c r="A150" s="693"/>
      <c r="B150" s="690"/>
      <c r="C150" s="690"/>
      <c r="D150" s="590"/>
      <c r="E150" s="591"/>
      <c r="F150" s="592"/>
      <c r="G150" s="590"/>
      <c r="H150" s="287"/>
      <c r="I150" s="287"/>
      <c r="J150" s="287"/>
      <c r="K150" s="233"/>
      <c r="L150" s="590"/>
      <c r="M150" s="590"/>
      <c r="N150" s="595"/>
      <c r="O150" s="743"/>
      <c r="P150" s="78"/>
      <c r="Q150" s="599"/>
      <c r="R150" s="78"/>
      <c r="S150" s="274"/>
      <c r="T150" s="46"/>
      <c r="U150" s="598"/>
      <c r="V150" s="273"/>
      <c r="W150" s="274"/>
      <c r="X150" s="598">
        <v>209</v>
      </c>
      <c r="Y150" s="273" t="s">
        <v>2798</v>
      </c>
      <c r="Z150" s="275">
        <v>500000</v>
      </c>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row>
    <row r="151" spans="1:131" s="50" customFormat="1" ht="15" x14ac:dyDescent="0.25">
      <c r="A151" s="693"/>
      <c r="B151" s="690"/>
      <c r="C151" s="690"/>
      <c r="D151" s="590"/>
      <c r="E151" s="591"/>
      <c r="F151" s="592"/>
      <c r="G151" s="590"/>
      <c r="H151" s="287"/>
      <c r="I151" s="287"/>
      <c r="J151" s="287"/>
      <c r="K151" s="233"/>
      <c r="L151" s="590"/>
      <c r="M151" s="590"/>
      <c r="N151" s="595"/>
      <c r="O151" s="743"/>
      <c r="P151" s="78"/>
      <c r="Q151" s="599"/>
      <c r="R151" s="78"/>
      <c r="S151" s="274"/>
      <c r="T151" s="46"/>
      <c r="U151" s="598"/>
      <c r="V151" s="273"/>
      <c r="W151" s="274"/>
      <c r="X151" s="598">
        <v>210</v>
      </c>
      <c r="Y151" s="273" t="s">
        <v>2798</v>
      </c>
      <c r="Z151" s="275">
        <v>1000000</v>
      </c>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row>
    <row r="152" spans="1:131" s="50" customFormat="1" ht="15" x14ac:dyDescent="0.25">
      <c r="A152" s="693"/>
      <c r="B152" s="690"/>
      <c r="C152" s="690"/>
      <c r="D152" s="590"/>
      <c r="E152" s="591"/>
      <c r="F152" s="592"/>
      <c r="G152" s="590"/>
      <c r="H152" s="287"/>
      <c r="I152" s="287"/>
      <c r="J152" s="287"/>
      <c r="K152" s="233"/>
      <c r="L152" s="590"/>
      <c r="M152" s="590"/>
      <c r="N152" s="595"/>
      <c r="O152" s="743"/>
      <c r="P152" s="78"/>
      <c r="Q152" s="599"/>
      <c r="R152" s="78"/>
      <c r="S152" s="274"/>
      <c r="T152" s="46"/>
      <c r="U152" s="598"/>
      <c r="V152" s="273"/>
      <c r="W152" s="274"/>
      <c r="X152" s="598">
        <v>211</v>
      </c>
      <c r="Y152" s="273" t="s">
        <v>2798</v>
      </c>
      <c r="Z152" s="275">
        <v>1000000</v>
      </c>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row>
    <row r="153" spans="1:131" s="50" customFormat="1" ht="15" x14ac:dyDescent="0.25">
      <c r="A153" s="693"/>
      <c r="B153" s="690"/>
      <c r="C153" s="690"/>
      <c r="D153" s="590"/>
      <c r="E153" s="591"/>
      <c r="F153" s="592"/>
      <c r="G153" s="590"/>
      <c r="H153" s="287"/>
      <c r="I153" s="287"/>
      <c r="J153" s="287"/>
      <c r="K153" s="233"/>
      <c r="L153" s="590"/>
      <c r="M153" s="590"/>
      <c r="N153" s="595"/>
      <c r="O153" s="743"/>
      <c r="P153" s="78"/>
      <c r="Q153" s="599"/>
      <c r="R153" s="78"/>
      <c r="S153" s="274"/>
      <c r="T153" s="46"/>
      <c r="U153" s="598"/>
      <c r="V153" s="273"/>
      <c r="W153" s="274"/>
      <c r="X153" s="598">
        <v>212</v>
      </c>
      <c r="Y153" s="273" t="s">
        <v>2798</v>
      </c>
      <c r="Z153" s="275">
        <v>1000000</v>
      </c>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row>
    <row r="154" spans="1:131" s="50" customFormat="1" ht="15" x14ac:dyDescent="0.25">
      <c r="A154" s="693"/>
      <c r="B154" s="690"/>
      <c r="C154" s="690"/>
      <c r="D154" s="590"/>
      <c r="E154" s="591"/>
      <c r="F154" s="592"/>
      <c r="G154" s="590"/>
      <c r="H154" s="287"/>
      <c r="I154" s="287"/>
      <c r="J154" s="287"/>
      <c r="K154" s="233"/>
      <c r="L154" s="590"/>
      <c r="M154" s="590"/>
      <c r="N154" s="595"/>
      <c r="O154" s="743"/>
      <c r="P154" s="78"/>
      <c r="Q154" s="599"/>
      <c r="R154" s="78"/>
      <c r="S154" s="274"/>
      <c r="T154" s="46"/>
      <c r="U154" s="598"/>
      <c r="V154" s="273"/>
      <c r="W154" s="274"/>
      <c r="X154" s="598">
        <v>213</v>
      </c>
      <c r="Y154" s="273" t="s">
        <v>2798</v>
      </c>
      <c r="Z154" s="275">
        <v>500000</v>
      </c>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row>
    <row r="155" spans="1:131" s="50" customFormat="1" ht="15" x14ac:dyDescent="0.25">
      <c r="A155" s="693"/>
      <c r="B155" s="690"/>
      <c r="C155" s="690"/>
      <c r="D155" s="590"/>
      <c r="E155" s="591"/>
      <c r="F155" s="592"/>
      <c r="G155" s="590"/>
      <c r="H155" s="287"/>
      <c r="I155" s="287"/>
      <c r="J155" s="287"/>
      <c r="K155" s="233"/>
      <c r="L155" s="590"/>
      <c r="M155" s="590"/>
      <c r="N155" s="595"/>
      <c r="O155" s="743"/>
      <c r="P155" s="78"/>
      <c r="Q155" s="599"/>
      <c r="R155" s="78"/>
      <c r="S155" s="274"/>
      <c r="T155" s="46"/>
      <c r="U155" s="598"/>
      <c r="V155" s="273"/>
      <c r="W155" s="274"/>
      <c r="X155" s="598">
        <v>214</v>
      </c>
      <c r="Y155" s="273" t="s">
        <v>2798</v>
      </c>
      <c r="Z155" s="275">
        <v>1000000</v>
      </c>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row>
    <row r="156" spans="1:131" s="50" customFormat="1" ht="15" x14ac:dyDescent="0.25">
      <c r="A156" s="693"/>
      <c r="B156" s="690"/>
      <c r="C156" s="690"/>
      <c r="D156" s="590"/>
      <c r="E156" s="591"/>
      <c r="F156" s="592"/>
      <c r="G156" s="590"/>
      <c r="H156" s="287"/>
      <c r="I156" s="287"/>
      <c r="J156" s="287"/>
      <c r="K156" s="233"/>
      <c r="L156" s="590"/>
      <c r="M156" s="590"/>
      <c r="N156" s="595"/>
      <c r="O156" s="743"/>
      <c r="P156" s="78"/>
      <c r="Q156" s="599"/>
      <c r="R156" s="78"/>
      <c r="S156" s="274"/>
      <c r="T156" s="46"/>
      <c r="U156" s="598"/>
      <c r="V156" s="273"/>
      <c r="W156" s="274"/>
      <c r="X156" s="598">
        <v>215</v>
      </c>
      <c r="Y156" s="273" t="s">
        <v>2798</v>
      </c>
      <c r="Z156" s="275">
        <v>500000</v>
      </c>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row>
    <row r="157" spans="1:131" s="50" customFormat="1" ht="15" x14ac:dyDescent="0.25">
      <c r="A157" s="693"/>
      <c r="B157" s="690"/>
      <c r="C157" s="690"/>
      <c r="D157" s="590"/>
      <c r="E157" s="591"/>
      <c r="F157" s="592"/>
      <c r="G157" s="590"/>
      <c r="H157" s="287"/>
      <c r="I157" s="287"/>
      <c r="J157" s="287"/>
      <c r="K157" s="233"/>
      <c r="L157" s="590"/>
      <c r="M157" s="590"/>
      <c r="N157" s="595"/>
      <c r="O157" s="743"/>
      <c r="P157" s="78"/>
      <c r="Q157" s="599"/>
      <c r="R157" s="78"/>
      <c r="S157" s="274"/>
      <c r="T157" s="46"/>
      <c r="U157" s="598"/>
      <c r="V157" s="273"/>
      <c r="W157" s="274"/>
      <c r="X157" s="598">
        <v>216</v>
      </c>
      <c r="Y157" s="273" t="s">
        <v>2798</v>
      </c>
      <c r="Z157" s="275">
        <v>1500000</v>
      </c>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row>
    <row r="158" spans="1:131" s="50" customFormat="1" ht="15" x14ac:dyDescent="0.25">
      <c r="A158" s="693"/>
      <c r="B158" s="690"/>
      <c r="C158" s="690"/>
      <c r="D158" s="590"/>
      <c r="E158" s="591"/>
      <c r="F158" s="592"/>
      <c r="G158" s="590"/>
      <c r="H158" s="287"/>
      <c r="I158" s="287"/>
      <c r="J158" s="287"/>
      <c r="K158" s="233"/>
      <c r="L158" s="590"/>
      <c r="M158" s="590"/>
      <c r="N158" s="595"/>
      <c r="O158" s="743"/>
      <c r="P158" s="78"/>
      <c r="Q158" s="599"/>
      <c r="R158" s="78"/>
      <c r="S158" s="274"/>
      <c r="T158" s="46"/>
      <c r="U158" s="598"/>
      <c r="V158" s="273"/>
      <c r="W158" s="274"/>
      <c r="X158" s="598">
        <v>217</v>
      </c>
      <c r="Y158" s="273" t="s">
        <v>2798</v>
      </c>
      <c r="Z158" s="275">
        <v>500000</v>
      </c>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row>
    <row r="159" spans="1:131" s="50" customFormat="1" ht="15" x14ac:dyDescent="0.25">
      <c r="A159" s="693"/>
      <c r="B159" s="690"/>
      <c r="C159" s="690"/>
      <c r="D159" s="590"/>
      <c r="E159" s="591"/>
      <c r="F159" s="592"/>
      <c r="G159" s="590"/>
      <c r="H159" s="287"/>
      <c r="I159" s="287"/>
      <c r="J159" s="287"/>
      <c r="K159" s="233"/>
      <c r="L159" s="590"/>
      <c r="M159" s="590"/>
      <c r="N159" s="595"/>
      <c r="O159" s="743"/>
      <c r="P159" s="78"/>
      <c r="Q159" s="599"/>
      <c r="R159" s="78"/>
      <c r="S159" s="274"/>
      <c r="T159" s="46"/>
      <c r="U159" s="598"/>
      <c r="V159" s="273"/>
      <c r="W159" s="274"/>
      <c r="X159" s="598">
        <v>218</v>
      </c>
      <c r="Y159" s="273" t="s">
        <v>2798</v>
      </c>
      <c r="Z159" s="275">
        <v>500000</v>
      </c>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row>
    <row r="160" spans="1:131" s="50" customFormat="1" ht="15" x14ac:dyDescent="0.25">
      <c r="A160" s="693"/>
      <c r="B160" s="690"/>
      <c r="C160" s="690"/>
      <c r="D160" s="590"/>
      <c r="E160" s="591"/>
      <c r="F160" s="592"/>
      <c r="G160" s="590"/>
      <c r="H160" s="287"/>
      <c r="I160" s="287"/>
      <c r="J160" s="287"/>
      <c r="K160" s="233"/>
      <c r="L160" s="590"/>
      <c r="M160" s="590"/>
      <c r="N160" s="595"/>
      <c r="O160" s="743"/>
      <c r="P160" s="78"/>
      <c r="Q160" s="599"/>
      <c r="R160" s="78"/>
      <c r="S160" s="274"/>
      <c r="T160" s="46"/>
      <c r="U160" s="598"/>
      <c r="V160" s="273"/>
      <c r="W160" s="274"/>
      <c r="X160" s="598">
        <v>219</v>
      </c>
      <c r="Y160" s="273" t="s">
        <v>2798</v>
      </c>
      <c r="Z160" s="275">
        <v>500000</v>
      </c>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row>
    <row r="161" spans="1:131" s="50" customFormat="1" ht="15" x14ac:dyDescent="0.25">
      <c r="A161" s="693"/>
      <c r="B161" s="690"/>
      <c r="C161" s="690"/>
      <c r="D161" s="590"/>
      <c r="E161" s="591"/>
      <c r="F161" s="592"/>
      <c r="G161" s="590"/>
      <c r="H161" s="287"/>
      <c r="I161" s="287"/>
      <c r="J161" s="287"/>
      <c r="K161" s="233"/>
      <c r="L161" s="590"/>
      <c r="M161" s="590"/>
      <c r="N161" s="595"/>
      <c r="O161" s="743"/>
      <c r="P161" s="78"/>
      <c r="Q161" s="599"/>
      <c r="R161" s="78"/>
      <c r="S161" s="274"/>
      <c r="T161" s="46"/>
      <c r="U161" s="598"/>
      <c r="V161" s="273"/>
      <c r="W161" s="274"/>
      <c r="X161" s="598">
        <v>220</v>
      </c>
      <c r="Y161" s="273" t="s">
        <v>2798</v>
      </c>
      <c r="Z161" s="275">
        <v>500000</v>
      </c>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row>
    <row r="162" spans="1:131" s="50" customFormat="1" ht="15" x14ac:dyDescent="0.25">
      <c r="A162" s="693"/>
      <c r="B162" s="690"/>
      <c r="C162" s="690"/>
      <c r="D162" s="590"/>
      <c r="E162" s="591"/>
      <c r="F162" s="592"/>
      <c r="G162" s="590"/>
      <c r="H162" s="287"/>
      <c r="I162" s="287"/>
      <c r="J162" s="287"/>
      <c r="K162" s="233"/>
      <c r="L162" s="590"/>
      <c r="M162" s="590"/>
      <c r="N162" s="595"/>
      <c r="O162" s="743"/>
      <c r="P162" s="78"/>
      <c r="Q162" s="599"/>
      <c r="R162" s="78"/>
      <c r="S162" s="274"/>
      <c r="T162" s="46"/>
      <c r="U162" s="598"/>
      <c r="V162" s="273"/>
      <c r="W162" s="274"/>
      <c r="X162" s="598">
        <v>221</v>
      </c>
      <c r="Y162" s="273" t="s">
        <v>2798</v>
      </c>
      <c r="Z162" s="275">
        <v>1000000</v>
      </c>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row>
    <row r="163" spans="1:131" s="50" customFormat="1" ht="15" x14ac:dyDescent="0.25">
      <c r="A163" s="693"/>
      <c r="B163" s="690"/>
      <c r="C163" s="690"/>
      <c r="D163" s="590"/>
      <c r="E163" s="591"/>
      <c r="F163" s="592"/>
      <c r="G163" s="590"/>
      <c r="H163" s="287"/>
      <c r="I163" s="287"/>
      <c r="J163" s="287"/>
      <c r="K163" s="233"/>
      <c r="L163" s="590"/>
      <c r="M163" s="590"/>
      <c r="N163" s="595"/>
      <c r="O163" s="743"/>
      <c r="P163" s="78"/>
      <c r="Q163" s="599"/>
      <c r="R163" s="78"/>
      <c r="S163" s="274"/>
      <c r="T163" s="46"/>
      <c r="U163" s="598"/>
      <c r="V163" s="273"/>
      <c r="W163" s="274"/>
      <c r="X163" s="598">
        <v>222</v>
      </c>
      <c r="Y163" s="273" t="s">
        <v>2798</v>
      </c>
      <c r="Z163" s="275">
        <v>500000</v>
      </c>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row>
    <row r="164" spans="1:131" s="50" customFormat="1" ht="15" x14ac:dyDescent="0.25">
      <c r="A164" s="693"/>
      <c r="B164" s="690"/>
      <c r="C164" s="690"/>
      <c r="D164" s="590"/>
      <c r="E164" s="591"/>
      <c r="F164" s="592"/>
      <c r="G164" s="590"/>
      <c r="H164" s="287"/>
      <c r="I164" s="287"/>
      <c r="J164" s="287"/>
      <c r="K164" s="233"/>
      <c r="L164" s="590"/>
      <c r="M164" s="590"/>
      <c r="N164" s="595"/>
      <c r="O164" s="743"/>
      <c r="P164" s="78"/>
      <c r="Q164" s="599"/>
      <c r="R164" s="78"/>
      <c r="S164" s="274"/>
      <c r="T164" s="46"/>
      <c r="U164" s="598"/>
      <c r="V164" s="273"/>
      <c r="W164" s="274"/>
      <c r="X164" s="598">
        <v>223</v>
      </c>
      <c r="Y164" s="273" t="s">
        <v>2798</v>
      </c>
      <c r="Z164" s="275">
        <v>500000</v>
      </c>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row>
    <row r="165" spans="1:131" s="50" customFormat="1" ht="15" x14ac:dyDescent="0.25">
      <c r="A165" s="693"/>
      <c r="B165" s="690"/>
      <c r="C165" s="690"/>
      <c r="D165" s="590"/>
      <c r="E165" s="591"/>
      <c r="F165" s="592"/>
      <c r="G165" s="590"/>
      <c r="H165" s="287"/>
      <c r="I165" s="287"/>
      <c r="J165" s="287"/>
      <c r="K165" s="233"/>
      <c r="L165" s="590"/>
      <c r="M165" s="590"/>
      <c r="N165" s="595"/>
      <c r="O165" s="743"/>
      <c r="P165" s="78"/>
      <c r="Q165" s="599"/>
      <c r="R165" s="78"/>
      <c r="S165" s="274"/>
      <c r="T165" s="46"/>
      <c r="U165" s="598"/>
      <c r="V165" s="273"/>
      <c r="W165" s="274"/>
      <c r="X165" s="598">
        <v>224</v>
      </c>
      <c r="Y165" s="273" t="s">
        <v>2798</v>
      </c>
      <c r="Z165" s="275">
        <v>500000</v>
      </c>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row>
    <row r="166" spans="1:131" s="50" customFormat="1" ht="15" x14ac:dyDescent="0.25">
      <c r="A166" s="693"/>
      <c r="B166" s="690"/>
      <c r="C166" s="690"/>
      <c r="D166" s="590"/>
      <c r="E166" s="591"/>
      <c r="F166" s="592"/>
      <c r="G166" s="590"/>
      <c r="H166" s="287"/>
      <c r="I166" s="287"/>
      <c r="J166" s="287"/>
      <c r="K166" s="233"/>
      <c r="L166" s="590"/>
      <c r="M166" s="590"/>
      <c r="N166" s="595"/>
      <c r="O166" s="743"/>
      <c r="P166" s="78"/>
      <c r="Q166" s="599"/>
      <c r="R166" s="78"/>
      <c r="S166" s="274"/>
      <c r="T166" s="46"/>
      <c r="U166" s="598"/>
      <c r="V166" s="273"/>
      <c r="W166" s="274"/>
      <c r="X166" s="598">
        <v>225</v>
      </c>
      <c r="Y166" s="273" t="s">
        <v>2798</v>
      </c>
      <c r="Z166" s="275">
        <v>1500000</v>
      </c>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row>
    <row r="167" spans="1:131" s="50" customFormat="1" ht="15" x14ac:dyDescent="0.25">
      <c r="A167" s="693"/>
      <c r="B167" s="690"/>
      <c r="C167" s="690"/>
      <c r="D167" s="590"/>
      <c r="E167" s="591"/>
      <c r="F167" s="592"/>
      <c r="G167" s="590"/>
      <c r="H167" s="287"/>
      <c r="I167" s="287"/>
      <c r="J167" s="287"/>
      <c r="K167" s="233"/>
      <c r="L167" s="590"/>
      <c r="M167" s="590"/>
      <c r="N167" s="595"/>
      <c r="O167" s="743"/>
      <c r="P167" s="78"/>
      <c r="Q167" s="599"/>
      <c r="R167" s="78"/>
      <c r="S167" s="274"/>
      <c r="T167" s="46"/>
      <c r="U167" s="598"/>
      <c r="V167" s="273"/>
      <c r="W167" s="274"/>
      <c r="X167" s="598">
        <v>226</v>
      </c>
      <c r="Y167" s="273" t="s">
        <v>2798</v>
      </c>
      <c r="Z167" s="275">
        <v>500000</v>
      </c>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row>
    <row r="168" spans="1:131" s="50" customFormat="1" ht="15" x14ac:dyDescent="0.25">
      <c r="A168" s="693"/>
      <c r="B168" s="690"/>
      <c r="C168" s="690"/>
      <c r="D168" s="590"/>
      <c r="E168" s="591"/>
      <c r="F168" s="592"/>
      <c r="G168" s="590"/>
      <c r="H168" s="287"/>
      <c r="I168" s="287"/>
      <c r="J168" s="287"/>
      <c r="K168" s="233"/>
      <c r="L168" s="590"/>
      <c r="M168" s="590"/>
      <c r="N168" s="595"/>
      <c r="O168" s="743"/>
      <c r="P168" s="78"/>
      <c r="Q168" s="599"/>
      <c r="R168" s="78"/>
      <c r="S168" s="274"/>
      <c r="T168" s="46"/>
      <c r="U168" s="598"/>
      <c r="V168" s="273"/>
      <c r="W168" s="274"/>
      <c r="X168" s="598">
        <v>227</v>
      </c>
      <c r="Y168" s="273" t="s">
        <v>2798</v>
      </c>
      <c r="Z168" s="275">
        <v>1000000</v>
      </c>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row>
    <row r="169" spans="1:131" s="50" customFormat="1" ht="15" x14ac:dyDescent="0.25">
      <c r="A169" s="693"/>
      <c r="B169" s="690"/>
      <c r="C169" s="690"/>
      <c r="D169" s="590"/>
      <c r="E169" s="591"/>
      <c r="F169" s="592"/>
      <c r="G169" s="590"/>
      <c r="H169" s="287"/>
      <c r="I169" s="287"/>
      <c r="J169" s="287"/>
      <c r="K169" s="233"/>
      <c r="L169" s="590"/>
      <c r="M169" s="590"/>
      <c r="N169" s="595"/>
      <c r="O169" s="743"/>
      <c r="P169" s="78"/>
      <c r="Q169" s="599"/>
      <c r="R169" s="78"/>
      <c r="S169" s="274"/>
      <c r="T169" s="46"/>
      <c r="U169" s="598"/>
      <c r="V169" s="273"/>
      <c r="W169" s="274"/>
      <c r="X169" s="598">
        <v>228</v>
      </c>
      <c r="Y169" s="273" t="s">
        <v>2798</v>
      </c>
      <c r="Z169" s="275">
        <v>500000</v>
      </c>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row>
    <row r="170" spans="1:131" s="50" customFormat="1" ht="15" x14ac:dyDescent="0.25">
      <c r="A170" s="693"/>
      <c r="B170" s="690"/>
      <c r="C170" s="690"/>
      <c r="D170" s="590"/>
      <c r="E170" s="591"/>
      <c r="F170" s="592"/>
      <c r="G170" s="590"/>
      <c r="H170" s="287"/>
      <c r="I170" s="287"/>
      <c r="J170" s="287"/>
      <c r="K170" s="233"/>
      <c r="L170" s="590"/>
      <c r="M170" s="590"/>
      <c r="N170" s="595"/>
      <c r="O170" s="743"/>
      <c r="P170" s="78"/>
      <c r="Q170" s="599"/>
      <c r="R170" s="78"/>
      <c r="S170" s="274"/>
      <c r="T170" s="46"/>
      <c r="U170" s="598"/>
      <c r="V170" s="273"/>
      <c r="W170" s="274"/>
      <c r="X170" s="598">
        <v>229</v>
      </c>
      <c r="Y170" s="273" t="s">
        <v>2798</v>
      </c>
      <c r="Z170" s="275">
        <v>1000000</v>
      </c>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row>
    <row r="171" spans="1:131" s="50" customFormat="1" ht="15" x14ac:dyDescent="0.25">
      <c r="A171" s="693"/>
      <c r="B171" s="690"/>
      <c r="C171" s="690"/>
      <c r="D171" s="590"/>
      <c r="E171" s="591"/>
      <c r="F171" s="592"/>
      <c r="G171" s="590"/>
      <c r="H171" s="287"/>
      <c r="I171" s="287"/>
      <c r="J171" s="287"/>
      <c r="K171" s="233"/>
      <c r="L171" s="590"/>
      <c r="M171" s="590"/>
      <c r="N171" s="595"/>
      <c r="O171" s="743"/>
      <c r="P171" s="78"/>
      <c r="Q171" s="599"/>
      <c r="R171" s="78"/>
      <c r="S171" s="274"/>
      <c r="T171" s="46"/>
      <c r="U171" s="598"/>
      <c r="V171" s="273"/>
      <c r="W171" s="274"/>
      <c r="X171" s="598">
        <v>230</v>
      </c>
      <c r="Y171" s="273" t="s">
        <v>2798</v>
      </c>
      <c r="Z171" s="275">
        <v>500000</v>
      </c>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row>
    <row r="172" spans="1:131" s="50" customFormat="1" ht="15" x14ac:dyDescent="0.25">
      <c r="A172" s="693"/>
      <c r="B172" s="690"/>
      <c r="C172" s="690"/>
      <c r="D172" s="590"/>
      <c r="E172" s="591"/>
      <c r="F172" s="592"/>
      <c r="G172" s="590"/>
      <c r="H172" s="287"/>
      <c r="I172" s="287"/>
      <c r="J172" s="287"/>
      <c r="K172" s="233"/>
      <c r="L172" s="590"/>
      <c r="M172" s="590"/>
      <c r="N172" s="595"/>
      <c r="O172" s="743"/>
      <c r="P172" s="78"/>
      <c r="Q172" s="599"/>
      <c r="R172" s="78"/>
      <c r="S172" s="274"/>
      <c r="T172" s="46"/>
      <c r="U172" s="598"/>
      <c r="V172" s="273"/>
      <c r="W172" s="274"/>
      <c r="X172" s="598">
        <v>231</v>
      </c>
      <c r="Y172" s="273" t="s">
        <v>2798</v>
      </c>
      <c r="Z172" s="275">
        <v>1000000</v>
      </c>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row>
    <row r="173" spans="1:131" s="50" customFormat="1" ht="15" x14ac:dyDescent="0.25">
      <c r="A173" s="693"/>
      <c r="B173" s="690"/>
      <c r="C173" s="690"/>
      <c r="D173" s="590"/>
      <c r="E173" s="591"/>
      <c r="F173" s="592"/>
      <c r="G173" s="590"/>
      <c r="H173" s="287"/>
      <c r="I173" s="287"/>
      <c r="J173" s="287"/>
      <c r="K173" s="233"/>
      <c r="L173" s="590"/>
      <c r="M173" s="590"/>
      <c r="N173" s="595"/>
      <c r="O173" s="743"/>
      <c r="P173" s="78"/>
      <c r="Q173" s="599"/>
      <c r="R173" s="78"/>
      <c r="S173" s="274"/>
      <c r="T173" s="46"/>
      <c r="U173" s="598"/>
      <c r="V173" s="273"/>
      <c r="W173" s="274"/>
      <c r="X173" s="598">
        <v>232</v>
      </c>
      <c r="Y173" s="273" t="s">
        <v>2798</v>
      </c>
      <c r="Z173" s="275">
        <v>500000</v>
      </c>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row>
    <row r="174" spans="1:131" s="50" customFormat="1" ht="15" x14ac:dyDescent="0.25">
      <c r="A174" s="693"/>
      <c r="B174" s="690"/>
      <c r="C174" s="690"/>
      <c r="D174" s="590"/>
      <c r="E174" s="591"/>
      <c r="F174" s="592"/>
      <c r="G174" s="590"/>
      <c r="H174" s="287"/>
      <c r="I174" s="287"/>
      <c r="J174" s="287"/>
      <c r="K174" s="233"/>
      <c r="L174" s="590"/>
      <c r="M174" s="590"/>
      <c r="N174" s="595"/>
      <c r="O174" s="743"/>
      <c r="P174" s="78"/>
      <c r="Q174" s="599"/>
      <c r="R174" s="78"/>
      <c r="S174" s="274"/>
      <c r="T174" s="46"/>
      <c r="U174" s="598"/>
      <c r="V174" s="273"/>
      <c r="W174" s="274"/>
      <c r="X174" s="598">
        <v>233</v>
      </c>
      <c r="Y174" s="273" t="s">
        <v>2798</v>
      </c>
      <c r="Z174" s="275">
        <v>1000000</v>
      </c>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row>
    <row r="175" spans="1:131" s="50" customFormat="1" ht="15" x14ac:dyDescent="0.25">
      <c r="A175" s="693"/>
      <c r="B175" s="690"/>
      <c r="C175" s="690"/>
      <c r="D175" s="590"/>
      <c r="E175" s="591"/>
      <c r="F175" s="592"/>
      <c r="G175" s="590"/>
      <c r="H175" s="287"/>
      <c r="I175" s="287"/>
      <c r="J175" s="287"/>
      <c r="K175" s="233"/>
      <c r="L175" s="590"/>
      <c r="M175" s="590"/>
      <c r="N175" s="595"/>
      <c r="O175" s="743"/>
      <c r="P175" s="78"/>
      <c r="Q175" s="599"/>
      <c r="R175" s="78"/>
      <c r="S175" s="274"/>
      <c r="T175" s="46"/>
      <c r="U175" s="598"/>
      <c r="V175" s="273"/>
      <c r="W175" s="274"/>
      <c r="X175" s="598">
        <v>234</v>
      </c>
      <c r="Y175" s="273" t="s">
        <v>2798</v>
      </c>
      <c r="Z175" s="275">
        <v>500000</v>
      </c>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row>
    <row r="176" spans="1:131" s="50" customFormat="1" ht="15" x14ac:dyDescent="0.25">
      <c r="A176" s="693"/>
      <c r="B176" s="690"/>
      <c r="C176" s="690"/>
      <c r="D176" s="590"/>
      <c r="E176" s="591"/>
      <c r="F176" s="592"/>
      <c r="G176" s="590"/>
      <c r="H176" s="287"/>
      <c r="I176" s="287"/>
      <c r="J176" s="287"/>
      <c r="K176" s="233"/>
      <c r="L176" s="590"/>
      <c r="M176" s="590"/>
      <c r="N176" s="595"/>
      <c r="O176" s="743"/>
      <c r="P176" s="78"/>
      <c r="Q176" s="599"/>
      <c r="R176" s="78"/>
      <c r="S176" s="274"/>
      <c r="T176" s="46"/>
      <c r="U176" s="598"/>
      <c r="V176" s="273"/>
      <c r="W176" s="274"/>
      <c r="X176" s="598">
        <v>235</v>
      </c>
      <c r="Y176" s="273" t="s">
        <v>2798</v>
      </c>
      <c r="Z176" s="275">
        <v>1000000</v>
      </c>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row>
    <row r="177" spans="1:131" s="50" customFormat="1" ht="15" x14ac:dyDescent="0.25">
      <c r="A177" s="693"/>
      <c r="B177" s="690"/>
      <c r="C177" s="690"/>
      <c r="D177" s="590"/>
      <c r="E177" s="591"/>
      <c r="F177" s="592"/>
      <c r="G177" s="590"/>
      <c r="H177" s="287"/>
      <c r="I177" s="287"/>
      <c r="J177" s="287"/>
      <c r="K177" s="233"/>
      <c r="L177" s="590"/>
      <c r="M177" s="590"/>
      <c r="N177" s="595"/>
      <c r="O177" s="743"/>
      <c r="P177" s="78"/>
      <c r="Q177" s="599"/>
      <c r="R177" s="78"/>
      <c r="S177" s="274"/>
      <c r="T177" s="46"/>
      <c r="U177" s="598"/>
      <c r="V177" s="273"/>
      <c r="W177" s="274"/>
      <c r="X177" s="598">
        <v>236</v>
      </c>
      <c r="Y177" s="273" t="s">
        <v>2798</v>
      </c>
      <c r="Z177" s="275">
        <v>500000</v>
      </c>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row>
    <row r="178" spans="1:131" s="50" customFormat="1" ht="15" x14ac:dyDescent="0.25">
      <c r="A178" s="693"/>
      <c r="B178" s="690"/>
      <c r="C178" s="690"/>
      <c r="D178" s="590"/>
      <c r="E178" s="591"/>
      <c r="F178" s="592"/>
      <c r="G178" s="590"/>
      <c r="H178" s="287"/>
      <c r="I178" s="287"/>
      <c r="J178" s="287"/>
      <c r="K178" s="233"/>
      <c r="L178" s="590"/>
      <c r="M178" s="590"/>
      <c r="N178" s="595"/>
      <c r="O178" s="743"/>
      <c r="P178" s="78"/>
      <c r="Q178" s="599"/>
      <c r="R178" s="78"/>
      <c r="S178" s="274"/>
      <c r="T178" s="46"/>
      <c r="U178" s="598"/>
      <c r="V178" s="273"/>
      <c r="W178" s="274"/>
      <c r="X178" s="598">
        <v>237</v>
      </c>
      <c r="Y178" s="273" t="s">
        <v>2798</v>
      </c>
      <c r="Z178" s="275">
        <v>1000000</v>
      </c>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row>
    <row r="179" spans="1:131" s="50" customFormat="1" ht="15" x14ac:dyDescent="0.25">
      <c r="A179" s="693"/>
      <c r="B179" s="690"/>
      <c r="C179" s="690"/>
      <c r="D179" s="590"/>
      <c r="E179" s="591"/>
      <c r="F179" s="592"/>
      <c r="G179" s="590"/>
      <c r="H179" s="287"/>
      <c r="I179" s="287"/>
      <c r="J179" s="287"/>
      <c r="K179" s="233"/>
      <c r="L179" s="590"/>
      <c r="M179" s="590"/>
      <c r="N179" s="595"/>
      <c r="O179" s="743"/>
      <c r="P179" s="78"/>
      <c r="Q179" s="599"/>
      <c r="R179" s="78"/>
      <c r="S179" s="274"/>
      <c r="T179" s="46"/>
      <c r="U179" s="598"/>
      <c r="V179" s="273"/>
      <c r="W179" s="274"/>
      <c r="X179" s="598">
        <v>238</v>
      </c>
      <c r="Y179" s="273" t="s">
        <v>2798</v>
      </c>
      <c r="Z179" s="275">
        <v>1000000</v>
      </c>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row>
    <row r="180" spans="1:131" s="50" customFormat="1" ht="15" x14ac:dyDescent="0.25">
      <c r="A180" s="693"/>
      <c r="B180" s="690"/>
      <c r="C180" s="690"/>
      <c r="D180" s="590"/>
      <c r="E180" s="591"/>
      <c r="F180" s="592"/>
      <c r="G180" s="590"/>
      <c r="H180" s="287"/>
      <c r="I180" s="287"/>
      <c r="J180" s="287"/>
      <c r="K180" s="233"/>
      <c r="L180" s="590"/>
      <c r="M180" s="590"/>
      <c r="N180" s="595"/>
      <c r="O180" s="743"/>
      <c r="P180" s="78"/>
      <c r="Q180" s="599"/>
      <c r="R180" s="78"/>
      <c r="S180" s="274"/>
      <c r="T180" s="46"/>
      <c r="U180" s="598"/>
      <c r="V180" s="273"/>
      <c r="W180" s="274"/>
      <c r="X180" s="598">
        <v>239</v>
      </c>
      <c r="Y180" s="273" t="s">
        <v>2798</v>
      </c>
      <c r="Z180" s="275">
        <v>500000</v>
      </c>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row>
    <row r="181" spans="1:131" s="50" customFormat="1" ht="15" x14ac:dyDescent="0.25">
      <c r="A181" s="693"/>
      <c r="B181" s="690"/>
      <c r="C181" s="690"/>
      <c r="D181" s="590"/>
      <c r="E181" s="591"/>
      <c r="F181" s="592"/>
      <c r="G181" s="590"/>
      <c r="H181" s="287"/>
      <c r="I181" s="287"/>
      <c r="J181" s="287"/>
      <c r="K181" s="233"/>
      <c r="L181" s="590"/>
      <c r="M181" s="590"/>
      <c r="N181" s="595"/>
      <c r="O181" s="743"/>
      <c r="P181" s="78"/>
      <c r="Q181" s="599"/>
      <c r="R181" s="78"/>
      <c r="S181" s="274"/>
      <c r="T181" s="46"/>
      <c r="U181" s="598"/>
      <c r="V181" s="273"/>
      <c r="W181" s="274"/>
      <c r="X181" s="598">
        <v>240</v>
      </c>
      <c r="Y181" s="273" t="s">
        <v>2798</v>
      </c>
      <c r="Z181" s="275">
        <v>500000</v>
      </c>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row>
    <row r="182" spans="1:131" s="50" customFormat="1" ht="15" x14ac:dyDescent="0.25">
      <c r="A182" s="693"/>
      <c r="B182" s="690"/>
      <c r="C182" s="690"/>
      <c r="D182" s="590"/>
      <c r="E182" s="591"/>
      <c r="F182" s="592"/>
      <c r="G182" s="590"/>
      <c r="H182" s="287"/>
      <c r="I182" s="287"/>
      <c r="J182" s="287"/>
      <c r="K182" s="233"/>
      <c r="L182" s="590"/>
      <c r="M182" s="590"/>
      <c r="N182" s="595"/>
      <c r="O182" s="743"/>
      <c r="P182" s="78"/>
      <c r="Q182" s="599"/>
      <c r="R182" s="78"/>
      <c r="S182" s="274"/>
      <c r="T182" s="46"/>
      <c r="U182" s="598"/>
      <c r="V182" s="273"/>
      <c r="W182" s="274"/>
      <c r="X182" s="598">
        <v>241</v>
      </c>
      <c r="Y182" s="273" t="s">
        <v>2798</v>
      </c>
      <c r="Z182" s="275">
        <v>500000</v>
      </c>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row>
    <row r="183" spans="1:131" s="50" customFormat="1" ht="15" x14ac:dyDescent="0.25">
      <c r="A183" s="693"/>
      <c r="B183" s="690"/>
      <c r="C183" s="690"/>
      <c r="D183" s="590"/>
      <c r="E183" s="591"/>
      <c r="F183" s="592"/>
      <c r="G183" s="590"/>
      <c r="H183" s="287"/>
      <c r="I183" s="287"/>
      <c r="J183" s="287"/>
      <c r="K183" s="233"/>
      <c r="L183" s="590"/>
      <c r="M183" s="590"/>
      <c r="N183" s="595"/>
      <c r="O183" s="743"/>
      <c r="P183" s="78"/>
      <c r="Q183" s="599"/>
      <c r="R183" s="78"/>
      <c r="S183" s="274"/>
      <c r="T183" s="46"/>
      <c r="U183" s="598"/>
      <c r="V183" s="273"/>
      <c r="W183" s="274"/>
      <c r="X183" s="598">
        <v>242</v>
      </c>
      <c r="Y183" s="273" t="s">
        <v>2798</v>
      </c>
      <c r="Z183" s="275">
        <v>1000000</v>
      </c>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row>
    <row r="184" spans="1:131" s="50" customFormat="1" ht="15" x14ac:dyDescent="0.25">
      <c r="A184" s="693"/>
      <c r="B184" s="690"/>
      <c r="C184" s="690"/>
      <c r="D184" s="590"/>
      <c r="E184" s="591"/>
      <c r="F184" s="592"/>
      <c r="G184" s="590"/>
      <c r="H184" s="287"/>
      <c r="I184" s="287"/>
      <c r="J184" s="287"/>
      <c r="K184" s="233"/>
      <c r="L184" s="590"/>
      <c r="M184" s="590"/>
      <c r="N184" s="595"/>
      <c r="O184" s="743"/>
      <c r="P184" s="78"/>
      <c r="Q184" s="599"/>
      <c r="R184" s="78"/>
      <c r="S184" s="274"/>
      <c r="T184" s="46"/>
      <c r="U184" s="598"/>
      <c r="V184" s="273"/>
      <c r="W184" s="274"/>
      <c r="X184" s="598">
        <v>243</v>
      </c>
      <c r="Y184" s="273" t="s">
        <v>2798</v>
      </c>
      <c r="Z184" s="275">
        <v>500000</v>
      </c>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row>
    <row r="185" spans="1:131" s="50" customFormat="1" ht="15" x14ac:dyDescent="0.25">
      <c r="A185" s="693"/>
      <c r="B185" s="690"/>
      <c r="C185" s="690"/>
      <c r="D185" s="590"/>
      <c r="E185" s="591"/>
      <c r="F185" s="592"/>
      <c r="G185" s="590"/>
      <c r="H185" s="287"/>
      <c r="I185" s="287"/>
      <c r="J185" s="287"/>
      <c r="K185" s="233"/>
      <c r="L185" s="590"/>
      <c r="M185" s="590"/>
      <c r="N185" s="595"/>
      <c r="O185" s="743"/>
      <c r="P185" s="78"/>
      <c r="Q185" s="599"/>
      <c r="R185" s="78"/>
      <c r="S185" s="274"/>
      <c r="T185" s="46"/>
      <c r="U185" s="598"/>
      <c r="V185" s="273"/>
      <c r="W185" s="274"/>
      <c r="X185" s="598">
        <v>244</v>
      </c>
      <c r="Y185" s="273" t="s">
        <v>2798</v>
      </c>
      <c r="Z185" s="275">
        <v>1000000</v>
      </c>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row>
    <row r="186" spans="1:131" s="50" customFormat="1" ht="15" x14ac:dyDescent="0.25">
      <c r="A186" s="693"/>
      <c r="B186" s="690"/>
      <c r="C186" s="690"/>
      <c r="D186" s="590"/>
      <c r="E186" s="591"/>
      <c r="F186" s="592"/>
      <c r="G186" s="590"/>
      <c r="H186" s="287"/>
      <c r="I186" s="287"/>
      <c r="J186" s="287"/>
      <c r="K186" s="233"/>
      <c r="L186" s="590"/>
      <c r="M186" s="590"/>
      <c r="N186" s="595"/>
      <c r="O186" s="743"/>
      <c r="P186" s="78"/>
      <c r="Q186" s="599"/>
      <c r="R186" s="78"/>
      <c r="S186" s="274"/>
      <c r="T186" s="46"/>
      <c r="U186" s="598"/>
      <c r="V186" s="273"/>
      <c r="W186" s="274"/>
      <c r="X186" s="598">
        <v>245</v>
      </c>
      <c r="Y186" s="273" t="s">
        <v>2798</v>
      </c>
      <c r="Z186" s="275">
        <v>500000</v>
      </c>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row>
    <row r="187" spans="1:131" s="50" customFormat="1" ht="15" x14ac:dyDescent="0.25">
      <c r="A187" s="693"/>
      <c r="B187" s="690"/>
      <c r="C187" s="690"/>
      <c r="D187" s="590"/>
      <c r="E187" s="591"/>
      <c r="F187" s="592"/>
      <c r="G187" s="590"/>
      <c r="H187" s="287"/>
      <c r="I187" s="287"/>
      <c r="J187" s="287"/>
      <c r="K187" s="233"/>
      <c r="L187" s="590"/>
      <c r="M187" s="590"/>
      <c r="N187" s="595"/>
      <c r="O187" s="743"/>
      <c r="P187" s="78"/>
      <c r="Q187" s="599"/>
      <c r="R187" s="78"/>
      <c r="S187" s="274"/>
      <c r="T187" s="46"/>
      <c r="U187" s="598"/>
      <c r="V187" s="273"/>
      <c r="W187" s="274"/>
      <c r="X187" s="598">
        <v>246</v>
      </c>
      <c r="Y187" s="273" t="s">
        <v>2798</v>
      </c>
      <c r="Z187" s="275">
        <v>1500000</v>
      </c>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row>
    <row r="188" spans="1:131" s="50" customFormat="1" ht="15" x14ac:dyDescent="0.25">
      <c r="A188" s="693"/>
      <c r="B188" s="690"/>
      <c r="C188" s="690"/>
      <c r="D188" s="590"/>
      <c r="E188" s="591"/>
      <c r="F188" s="592"/>
      <c r="G188" s="590"/>
      <c r="H188" s="287"/>
      <c r="I188" s="287"/>
      <c r="J188" s="287"/>
      <c r="K188" s="233"/>
      <c r="L188" s="590"/>
      <c r="M188" s="590"/>
      <c r="N188" s="595"/>
      <c r="O188" s="743"/>
      <c r="P188" s="78"/>
      <c r="Q188" s="599"/>
      <c r="R188" s="78"/>
      <c r="S188" s="274"/>
      <c r="T188" s="46"/>
      <c r="U188" s="598"/>
      <c r="V188" s="273"/>
      <c r="W188" s="274"/>
      <c r="X188" s="598">
        <v>247</v>
      </c>
      <c r="Y188" s="273" t="s">
        <v>2798</v>
      </c>
      <c r="Z188" s="275">
        <v>500000</v>
      </c>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row>
    <row r="189" spans="1:131" s="50" customFormat="1" ht="15" x14ac:dyDescent="0.25">
      <c r="A189" s="693"/>
      <c r="B189" s="690"/>
      <c r="C189" s="690"/>
      <c r="D189" s="590"/>
      <c r="E189" s="591"/>
      <c r="F189" s="592"/>
      <c r="G189" s="590"/>
      <c r="H189" s="287"/>
      <c r="I189" s="287"/>
      <c r="J189" s="287"/>
      <c r="K189" s="233"/>
      <c r="L189" s="590"/>
      <c r="M189" s="590"/>
      <c r="N189" s="595"/>
      <c r="O189" s="743"/>
      <c r="P189" s="78"/>
      <c r="Q189" s="599"/>
      <c r="R189" s="78"/>
      <c r="S189" s="274"/>
      <c r="T189" s="46"/>
      <c r="U189" s="598"/>
      <c r="V189" s="273"/>
      <c r="W189" s="274"/>
      <c r="X189" s="598">
        <v>248</v>
      </c>
      <c r="Y189" s="273" t="s">
        <v>2798</v>
      </c>
      <c r="Z189" s="275">
        <v>1000000</v>
      </c>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row>
    <row r="190" spans="1:131" s="50" customFormat="1" ht="15" x14ac:dyDescent="0.25">
      <c r="A190" s="693"/>
      <c r="B190" s="690"/>
      <c r="C190" s="690"/>
      <c r="D190" s="590"/>
      <c r="E190" s="591"/>
      <c r="F190" s="592"/>
      <c r="G190" s="590"/>
      <c r="H190" s="287"/>
      <c r="I190" s="287"/>
      <c r="J190" s="287"/>
      <c r="K190" s="233"/>
      <c r="L190" s="590"/>
      <c r="M190" s="590"/>
      <c r="N190" s="595"/>
      <c r="O190" s="743"/>
      <c r="P190" s="78"/>
      <c r="Q190" s="599"/>
      <c r="R190" s="78"/>
      <c r="S190" s="274"/>
      <c r="T190" s="46"/>
      <c r="U190" s="598"/>
      <c r="V190" s="273"/>
      <c r="W190" s="274"/>
      <c r="X190" s="598">
        <v>249</v>
      </c>
      <c r="Y190" s="273" t="s">
        <v>2798</v>
      </c>
      <c r="Z190" s="275">
        <v>1000000</v>
      </c>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row>
    <row r="191" spans="1:131" s="50" customFormat="1" ht="15" x14ac:dyDescent="0.25">
      <c r="A191" s="693"/>
      <c r="B191" s="690"/>
      <c r="C191" s="690"/>
      <c r="D191" s="590"/>
      <c r="E191" s="591"/>
      <c r="F191" s="592"/>
      <c r="G191" s="590"/>
      <c r="H191" s="287"/>
      <c r="I191" s="287"/>
      <c r="J191" s="287"/>
      <c r="K191" s="233"/>
      <c r="L191" s="590"/>
      <c r="M191" s="590"/>
      <c r="N191" s="595"/>
      <c r="O191" s="743"/>
      <c r="P191" s="78"/>
      <c r="Q191" s="599"/>
      <c r="R191" s="78"/>
      <c r="S191" s="274"/>
      <c r="T191" s="46"/>
      <c r="U191" s="598"/>
      <c r="V191" s="273"/>
      <c r="W191" s="274"/>
      <c r="X191" s="598">
        <v>250</v>
      </c>
      <c r="Y191" s="273" t="s">
        <v>2798</v>
      </c>
      <c r="Z191" s="275">
        <v>500000</v>
      </c>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row>
    <row r="192" spans="1:131" s="50" customFormat="1" ht="15" x14ac:dyDescent="0.25">
      <c r="A192" s="693"/>
      <c r="B192" s="690"/>
      <c r="C192" s="690"/>
      <c r="D192" s="590"/>
      <c r="E192" s="591"/>
      <c r="F192" s="592"/>
      <c r="G192" s="590"/>
      <c r="H192" s="287"/>
      <c r="I192" s="287"/>
      <c r="J192" s="287"/>
      <c r="K192" s="233"/>
      <c r="L192" s="590"/>
      <c r="M192" s="590"/>
      <c r="N192" s="595"/>
      <c r="O192" s="743"/>
      <c r="P192" s="78"/>
      <c r="Q192" s="599"/>
      <c r="R192" s="78"/>
      <c r="S192" s="274"/>
      <c r="T192" s="46"/>
      <c r="U192" s="598"/>
      <c r="V192" s="273"/>
      <c r="W192" s="274"/>
      <c r="X192" s="598">
        <v>251</v>
      </c>
      <c r="Y192" s="273" t="s">
        <v>2798</v>
      </c>
      <c r="Z192" s="275">
        <v>1000000</v>
      </c>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row>
    <row r="193" spans="1:131" s="50" customFormat="1" ht="15" x14ac:dyDescent="0.25">
      <c r="A193" s="693"/>
      <c r="B193" s="690"/>
      <c r="C193" s="690"/>
      <c r="D193" s="590"/>
      <c r="E193" s="591"/>
      <c r="F193" s="592"/>
      <c r="G193" s="590"/>
      <c r="H193" s="287"/>
      <c r="I193" s="287"/>
      <c r="J193" s="287"/>
      <c r="K193" s="233"/>
      <c r="L193" s="590"/>
      <c r="M193" s="590"/>
      <c r="N193" s="595"/>
      <c r="O193" s="743"/>
      <c r="P193" s="78"/>
      <c r="Q193" s="599"/>
      <c r="R193" s="78"/>
      <c r="S193" s="274"/>
      <c r="T193" s="46"/>
      <c r="U193" s="598"/>
      <c r="V193" s="273"/>
      <c r="W193" s="274"/>
      <c r="X193" s="598">
        <v>252</v>
      </c>
      <c r="Y193" s="273" t="s">
        <v>2798</v>
      </c>
      <c r="Z193" s="275">
        <v>1000000</v>
      </c>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row>
    <row r="194" spans="1:131" s="50" customFormat="1" ht="15" x14ac:dyDescent="0.25">
      <c r="A194" s="693"/>
      <c r="B194" s="690"/>
      <c r="C194" s="690"/>
      <c r="D194" s="590"/>
      <c r="E194" s="591"/>
      <c r="F194" s="592"/>
      <c r="G194" s="590"/>
      <c r="H194" s="287"/>
      <c r="I194" s="287"/>
      <c r="J194" s="287"/>
      <c r="K194" s="233"/>
      <c r="L194" s="590"/>
      <c r="M194" s="590"/>
      <c r="N194" s="595"/>
      <c r="O194" s="743"/>
      <c r="P194" s="78"/>
      <c r="Q194" s="599"/>
      <c r="R194" s="78"/>
      <c r="S194" s="274"/>
      <c r="T194" s="46"/>
      <c r="U194" s="598"/>
      <c r="V194" s="273"/>
      <c r="W194" s="274"/>
      <c r="X194" s="598">
        <v>253</v>
      </c>
      <c r="Y194" s="273" t="s">
        <v>2798</v>
      </c>
      <c r="Z194" s="275">
        <v>1000000</v>
      </c>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row>
    <row r="195" spans="1:131" s="50" customFormat="1" ht="15" x14ac:dyDescent="0.25">
      <c r="A195" s="693"/>
      <c r="B195" s="690"/>
      <c r="C195" s="690"/>
      <c r="D195" s="590"/>
      <c r="E195" s="591"/>
      <c r="F195" s="592"/>
      <c r="G195" s="590"/>
      <c r="H195" s="287"/>
      <c r="I195" s="287"/>
      <c r="J195" s="287"/>
      <c r="K195" s="233"/>
      <c r="L195" s="590"/>
      <c r="M195" s="590"/>
      <c r="N195" s="595"/>
      <c r="O195" s="743"/>
      <c r="P195" s="78"/>
      <c r="Q195" s="599"/>
      <c r="R195" s="78"/>
      <c r="S195" s="274"/>
      <c r="T195" s="46"/>
      <c r="U195" s="598"/>
      <c r="V195" s="273"/>
      <c r="W195" s="274"/>
      <c r="X195" s="598">
        <v>254</v>
      </c>
      <c r="Y195" s="273" t="s">
        <v>2798</v>
      </c>
      <c r="Z195" s="275">
        <v>500000</v>
      </c>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row>
    <row r="196" spans="1:131" s="50" customFormat="1" ht="15" x14ac:dyDescent="0.25">
      <c r="A196" s="693"/>
      <c r="B196" s="690"/>
      <c r="C196" s="690"/>
      <c r="D196" s="590"/>
      <c r="E196" s="591"/>
      <c r="F196" s="592"/>
      <c r="G196" s="590"/>
      <c r="H196" s="287"/>
      <c r="I196" s="287"/>
      <c r="J196" s="287"/>
      <c r="K196" s="233"/>
      <c r="L196" s="590"/>
      <c r="M196" s="590"/>
      <c r="N196" s="595"/>
      <c r="O196" s="743"/>
      <c r="P196" s="78"/>
      <c r="Q196" s="599"/>
      <c r="R196" s="78"/>
      <c r="S196" s="274"/>
      <c r="T196" s="46"/>
      <c r="U196" s="598"/>
      <c r="V196" s="273"/>
      <c r="W196" s="274"/>
      <c r="X196" s="598">
        <v>255</v>
      </c>
      <c r="Y196" s="273" t="s">
        <v>2798</v>
      </c>
      <c r="Z196" s="275">
        <v>500000</v>
      </c>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row>
    <row r="197" spans="1:131" s="50" customFormat="1" ht="15" x14ac:dyDescent="0.25">
      <c r="A197" s="693"/>
      <c r="B197" s="690"/>
      <c r="C197" s="690"/>
      <c r="D197" s="590"/>
      <c r="E197" s="591"/>
      <c r="F197" s="592"/>
      <c r="G197" s="590"/>
      <c r="H197" s="287"/>
      <c r="I197" s="287"/>
      <c r="J197" s="287"/>
      <c r="K197" s="233"/>
      <c r="L197" s="590"/>
      <c r="M197" s="590"/>
      <c r="N197" s="595"/>
      <c r="O197" s="743"/>
      <c r="P197" s="78"/>
      <c r="Q197" s="599"/>
      <c r="R197" s="78"/>
      <c r="S197" s="274"/>
      <c r="T197" s="46"/>
      <c r="U197" s="598"/>
      <c r="V197" s="273"/>
      <c r="W197" s="274"/>
      <c r="X197" s="598">
        <v>256</v>
      </c>
      <c r="Y197" s="273" t="s">
        <v>2798</v>
      </c>
      <c r="Z197" s="275">
        <v>1500000</v>
      </c>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row>
    <row r="198" spans="1:131" s="50" customFormat="1" ht="15" x14ac:dyDescent="0.25">
      <c r="A198" s="693"/>
      <c r="B198" s="690"/>
      <c r="C198" s="690"/>
      <c r="D198" s="590"/>
      <c r="E198" s="591"/>
      <c r="F198" s="592"/>
      <c r="G198" s="590"/>
      <c r="H198" s="287"/>
      <c r="I198" s="287"/>
      <c r="J198" s="287"/>
      <c r="K198" s="233"/>
      <c r="L198" s="590"/>
      <c r="M198" s="590"/>
      <c r="N198" s="595"/>
      <c r="O198" s="743"/>
      <c r="P198" s="78"/>
      <c r="Q198" s="599"/>
      <c r="R198" s="78"/>
      <c r="S198" s="274"/>
      <c r="T198" s="46"/>
      <c r="U198" s="598"/>
      <c r="V198" s="273"/>
      <c r="W198" s="274"/>
      <c r="X198" s="598">
        <v>257</v>
      </c>
      <c r="Y198" s="273" t="s">
        <v>2798</v>
      </c>
      <c r="Z198" s="275">
        <v>500000</v>
      </c>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row>
    <row r="199" spans="1:131" s="50" customFormat="1" ht="15" x14ac:dyDescent="0.25">
      <c r="A199" s="693"/>
      <c r="B199" s="690"/>
      <c r="C199" s="690"/>
      <c r="D199" s="590"/>
      <c r="E199" s="591"/>
      <c r="F199" s="592"/>
      <c r="G199" s="590"/>
      <c r="H199" s="287"/>
      <c r="I199" s="287"/>
      <c r="J199" s="287"/>
      <c r="K199" s="233"/>
      <c r="L199" s="590"/>
      <c r="M199" s="590"/>
      <c r="N199" s="595"/>
      <c r="O199" s="743"/>
      <c r="P199" s="78"/>
      <c r="Q199" s="599"/>
      <c r="R199" s="78"/>
      <c r="S199" s="274"/>
      <c r="T199" s="46"/>
      <c r="U199" s="598"/>
      <c r="V199" s="273"/>
      <c r="W199" s="274"/>
      <c r="X199" s="598">
        <v>258</v>
      </c>
      <c r="Y199" s="273" t="s">
        <v>2798</v>
      </c>
      <c r="Z199" s="275">
        <v>500000</v>
      </c>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row>
    <row r="200" spans="1:131" s="50" customFormat="1" ht="15" x14ac:dyDescent="0.25">
      <c r="A200" s="693"/>
      <c r="B200" s="690"/>
      <c r="C200" s="690"/>
      <c r="D200" s="590"/>
      <c r="E200" s="591"/>
      <c r="F200" s="592"/>
      <c r="G200" s="590"/>
      <c r="H200" s="287"/>
      <c r="I200" s="287"/>
      <c r="J200" s="287"/>
      <c r="K200" s="233"/>
      <c r="L200" s="590"/>
      <c r="M200" s="590"/>
      <c r="N200" s="595"/>
      <c r="O200" s="743"/>
      <c r="P200" s="78"/>
      <c r="Q200" s="599"/>
      <c r="R200" s="78"/>
      <c r="S200" s="274"/>
      <c r="T200" s="46"/>
      <c r="U200" s="598"/>
      <c r="V200" s="273"/>
      <c r="W200" s="274"/>
      <c r="X200" s="598">
        <v>259</v>
      </c>
      <c r="Y200" s="273" t="s">
        <v>2798</v>
      </c>
      <c r="Z200" s="275">
        <v>500000</v>
      </c>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row>
    <row r="201" spans="1:131" s="50" customFormat="1" ht="15" x14ac:dyDescent="0.25">
      <c r="A201" s="693"/>
      <c r="B201" s="690"/>
      <c r="C201" s="690"/>
      <c r="D201" s="590"/>
      <c r="E201" s="591"/>
      <c r="F201" s="592"/>
      <c r="G201" s="590"/>
      <c r="H201" s="287"/>
      <c r="I201" s="287"/>
      <c r="J201" s="287"/>
      <c r="K201" s="233"/>
      <c r="L201" s="590"/>
      <c r="M201" s="590"/>
      <c r="N201" s="595"/>
      <c r="O201" s="743"/>
      <c r="P201" s="78"/>
      <c r="Q201" s="599"/>
      <c r="R201" s="78"/>
      <c r="S201" s="274"/>
      <c r="T201" s="46"/>
      <c r="U201" s="598"/>
      <c r="V201" s="273"/>
      <c r="W201" s="274"/>
      <c r="X201" s="598">
        <v>260</v>
      </c>
      <c r="Y201" s="273" t="s">
        <v>2798</v>
      </c>
      <c r="Z201" s="275">
        <v>500000</v>
      </c>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row>
    <row r="202" spans="1:131" s="50" customFormat="1" ht="15" x14ac:dyDescent="0.25">
      <c r="A202" s="693"/>
      <c r="B202" s="690"/>
      <c r="C202" s="690"/>
      <c r="D202" s="590"/>
      <c r="E202" s="591"/>
      <c r="F202" s="592"/>
      <c r="G202" s="590"/>
      <c r="H202" s="287"/>
      <c r="I202" s="287"/>
      <c r="J202" s="287"/>
      <c r="K202" s="233"/>
      <c r="L202" s="590"/>
      <c r="M202" s="590"/>
      <c r="N202" s="595"/>
      <c r="O202" s="743"/>
      <c r="P202" s="78"/>
      <c r="Q202" s="599"/>
      <c r="R202" s="78"/>
      <c r="S202" s="274"/>
      <c r="T202" s="46"/>
      <c r="U202" s="598"/>
      <c r="V202" s="273"/>
      <c r="W202" s="274"/>
      <c r="X202" s="598">
        <v>261</v>
      </c>
      <c r="Y202" s="273" t="s">
        <v>2798</v>
      </c>
      <c r="Z202" s="275">
        <v>500000</v>
      </c>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row>
    <row r="203" spans="1:131" s="50" customFormat="1" ht="15" x14ac:dyDescent="0.25">
      <c r="A203" s="693"/>
      <c r="B203" s="690"/>
      <c r="C203" s="690"/>
      <c r="D203" s="590"/>
      <c r="E203" s="591"/>
      <c r="F203" s="592"/>
      <c r="G203" s="590"/>
      <c r="H203" s="287"/>
      <c r="I203" s="287"/>
      <c r="J203" s="287"/>
      <c r="K203" s="233"/>
      <c r="L203" s="590"/>
      <c r="M203" s="590"/>
      <c r="N203" s="595"/>
      <c r="O203" s="743"/>
      <c r="P203" s="78"/>
      <c r="Q203" s="599"/>
      <c r="R203" s="78"/>
      <c r="S203" s="274"/>
      <c r="T203" s="46"/>
      <c r="U203" s="598"/>
      <c r="V203" s="273"/>
      <c r="W203" s="274"/>
      <c r="X203" s="598">
        <v>262</v>
      </c>
      <c r="Y203" s="273" t="s">
        <v>2798</v>
      </c>
      <c r="Z203" s="275">
        <v>500000</v>
      </c>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row>
    <row r="204" spans="1:131" s="50" customFormat="1" ht="15" x14ac:dyDescent="0.25">
      <c r="A204" s="693"/>
      <c r="B204" s="690"/>
      <c r="C204" s="690"/>
      <c r="D204" s="590"/>
      <c r="E204" s="591"/>
      <c r="F204" s="592"/>
      <c r="G204" s="590"/>
      <c r="H204" s="287"/>
      <c r="I204" s="287"/>
      <c r="J204" s="287"/>
      <c r="K204" s="233"/>
      <c r="L204" s="590"/>
      <c r="M204" s="590"/>
      <c r="N204" s="595"/>
      <c r="O204" s="743"/>
      <c r="P204" s="78"/>
      <c r="Q204" s="599"/>
      <c r="R204" s="78"/>
      <c r="S204" s="274"/>
      <c r="T204" s="46"/>
      <c r="U204" s="598"/>
      <c r="V204" s="273"/>
      <c r="W204" s="274"/>
      <c r="X204" s="598">
        <v>263</v>
      </c>
      <c r="Y204" s="273" t="s">
        <v>2798</v>
      </c>
      <c r="Z204" s="275">
        <v>1500000</v>
      </c>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row>
    <row r="205" spans="1:131" s="50" customFormat="1" ht="15" x14ac:dyDescent="0.25">
      <c r="A205" s="693"/>
      <c r="B205" s="690"/>
      <c r="C205" s="690"/>
      <c r="D205" s="590"/>
      <c r="E205" s="591"/>
      <c r="F205" s="592"/>
      <c r="G205" s="590"/>
      <c r="H205" s="287"/>
      <c r="I205" s="287"/>
      <c r="J205" s="287"/>
      <c r="K205" s="233"/>
      <c r="L205" s="590"/>
      <c r="M205" s="590"/>
      <c r="N205" s="595"/>
      <c r="O205" s="743"/>
      <c r="P205" s="78"/>
      <c r="Q205" s="599"/>
      <c r="R205" s="78"/>
      <c r="S205" s="274"/>
      <c r="T205" s="46"/>
      <c r="U205" s="598"/>
      <c r="V205" s="273"/>
      <c r="W205" s="274"/>
      <c r="X205" s="598">
        <v>264</v>
      </c>
      <c r="Y205" s="273" t="s">
        <v>2798</v>
      </c>
      <c r="Z205" s="275">
        <v>1000000</v>
      </c>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row>
    <row r="206" spans="1:131" s="50" customFormat="1" ht="15" x14ac:dyDescent="0.25">
      <c r="A206" s="693"/>
      <c r="B206" s="690"/>
      <c r="C206" s="690"/>
      <c r="D206" s="590"/>
      <c r="E206" s="591"/>
      <c r="F206" s="592"/>
      <c r="G206" s="590"/>
      <c r="H206" s="287"/>
      <c r="I206" s="287"/>
      <c r="J206" s="287"/>
      <c r="K206" s="233"/>
      <c r="L206" s="590"/>
      <c r="M206" s="590"/>
      <c r="N206" s="595"/>
      <c r="O206" s="743"/>
      <c r="P206" s="78"/>
      <c r="Q206" s="599"/>
      <c r="R206" s="78"/>
      <c r="S206" s="274"/>
      <c r="T206" s="46"/>
      <c r="U206" s="598"/>
      <c r="V206" s="273"/>
      <c r="W206" s="274"/>
      <c r="X206" s="598">
        <v>265</v>
      </c>
      <c r="Y206" s="273" t="s">
        <v>2798</v>
      </c>
      <c r="Z206" s="275">
        <v>500000</v>
      </c>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row>
    <row r="207" spans="1:131" s="50" customFormat="1" ht="15" x14ac:dyDescent="0.25">
      <c r="A207" s="693"/>
      <c r="B207" s="690"/>
      <c r="C207" s="690"/>
      <c r="D207" s="590"/>
      <c r="E207" s="591"/>
      <c r="F207" s="592"/>
      <c r="G207" s="590"/>
      <c r="H207" s="287"/>
      <c r="I207" s="287"/>
      <c r="J207" s="287"/>
      <c r="K207" s="233"/>
      <c r="L207" s="590"/>
      <c r="M207" s="590"/>
      <c r="N207" s="595"/>
      <c r="O207" s="743"/>
      <c r="P207" s="78"/>
      <c r="Q207" s="599"/>
      <c r="R207" s="78"/>
      <c r="S207" s="274"/>
      <c r="T207" s="46"/>
      <c r="U207" s="598"/>
      <c r="V207" s="273"/>
      <c r="W207" s="274"/>
      <c r="X207" s="598">
        <v>266</v>
      </c>
      <c r="Y207" s="273" t="s">
        <v>2798</v>
      </c>
      <c r="Z207" s="275">
        <v>500000</v>
      </c>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row>
    <row r="208" spans="1:131" s="50" customFormat="1" ht="15" x14ac:dyDescent="0.25">
      <c r="A208" s="693"/>
      <c r="B208" s="690"/>
      <c r="C208" s="690"/>
      <c r="D208" s="590"/>
      <c r="E208" s="591"/>
      <c r="F208" s="592"/>
      <c r="G208" s="590"/>
      <c r="H208" s="287"/>
      <c r="I208" s="287"/>
      <c r="J208" s="287"/>
      <c r="K208" s="233"/>
      <c r="L208" s="590"/>
      <c r="M208" s="590"/>
      <c r="N208" s="595"/>
      <c r="O208" s="743"/>
      <c r="P208" s="78"/>
      <c r="Q208" s="599"/>
      <c r="R208" s="78"/>
      <c r="S208" s="274"/>
      <c r="T208" s="46"/>
      <c r="U208" s="598"/>
      <c r="V208" s="273"/>
      <c r="W208" s="274"/>
      <c r="X208" s="598">
        <v>267</v>
      </c>
      <c r="Y208" s="273" t="s">
        <v>2798</v>
      </c>
      <c r="Z208" s="275">
        <v>500000</v>
      </c>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row>
    <row r="209" spans="1:131" s="50" customFormat="1" ht="15" x14ac:dyDescent="0.25">
      <c r="A209" s="693"/>
      <c r="B209" s="690"/>
      <c r="C209" s="690"/>
      <c r="D209" s="590"/>
      <c r="E209" s="591"/>
      <c r="F209" s="592"/>
      <c r="G209" s="590"/>
      <c r="H209" s="287"/>
      <c r="I209" s="287"/>
      <c r="J209" s="287"/>
      <c r="K209" s="233"/>
      <c r="L209" s="590"/>
      <c r="M209" s="590"/>
      <c r="N209" s="595"/>
      <c r="O209" s="743"/>
      <c r="P209" s="78"/>
      <c r="Q209" s="599"/>
      <c r="R209" s="78"/>
      <c r="S209" s="274"/>
      <c r="T209" s="46"/>
      <c r="U209" s="598"/>
      <c r="V209" s="273"/>
      <c r="W209" s="274"/>
      <c r="X209" s="598">
        <v>268</v>
      </c>
      <c r="Y209" s="273" t="s">
        <v>2798</v>
      </c>
      <c r="Z209" s="275">
        <v>1000000</v>
      </c>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row>
    <row r="210" spans="1:131" s="50" customFormat="1" ht="15" x14ac:dyDescent="0.25">
      <c r="A210" s="693"/>
      <c r="B210" s="690"/>
      <c r="C210" s="690"/>
      <c r="D210" s="590"/>
      <c r="E210" s="591"/>
      <c r="F210" s="592"/>
      <c r="G210" s="590"/>
      <c r="H210" s="287"/>
      <c r="I210" s="287"/>
      <c r="J210" s="287"/>
      <c r="K210" s="233"/>
      <c r="L210" s="590"/>
      <c r="M210" s="590"/>
      <c r="N210" s="595"/>
      <c r="O210" s="743"/>
      <c r="P210" s="78"/>
      <c r="Q210" s="599"/>
      <c r="R210" s="78"/>
      <c r="S210" s="274"/>
      <c r="T210" s="46"/>
      <c r="U210" s="598"/>
      <c r="V210" s="273"/>
      <c r="W210" s="274"/>
      <c r="X210" s="598">
        <v>269</v>
      </c>
      <c r="Y210" s="273" t="s">
        <v>2798</v>
      </c>
      <c r="Z210" s="275">
        <v>500000</v>
      </c>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row>
    <row r="211" spans="1:131" s="50" customFormat="1" ht="15" x14ac:dyDescent="0.25">
      <c r="A211" s="693"/>
      <c r="B211" s="690"/>
      <c r="C211" s="690"/>
      <c r="D211" s="590"/>
      <c r="E211" s="591"/>
      <c r="F211" s="592"/>
      <c r="G211" s="590"/>
      <c r="H211" s="287"/>
      <c r="I211" s="287"/>
      <c r="J211" s="287"/>
      <c r="K211" s="233"/>
      <c r="L211" s="590"/>
      <c r="M211" s="590"/>
      <c r="N211" s="595"/>
      <c r="O211" s="743"/>
      <c r="P211" s="78"/>
      <c r="Q211" s="599"/>
      <c r="R211" s="78"/>
      <c r="S211" s="274"/>
      <c r="T211" s="46"/>
      <c r="U211" s="598"/>
      <c r="V211" s="273"/>
      <c r="W211" s="274"/>
      <c r="X211" s="598">
        <v>270</v>
      </c>
      <c r="Y211" s="273" t="s">
        <v>2798</v>
      </c>
      <c r="Z211" s="275">
        <v>2000000</v>
      </c>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row>
    <row r="212" spans="1:131" s="50" customFormat="1" ht="15" x14ac:dyDescent="0.25">
      <c r="A212" s="693"/>
      <c r="B212" s="690"/>
      <c r="C212" s="690"/>
      <c r="D212" s="590"/>
      <c r="E212" s="591"/>
      <c r="F212" s="592"/>
      <c r="G212" s="590"/>
      <c r="H212" s="287"/>
      <c r="I212" s="287"/>
      <c r="J212" s="287"/>
      <c r="K212" s="233"/>
      <c r="L212" s="590"/>
      <c r="M212" s="590"/>
      <c r="N212" s="595"/>
      <c r="O212" s="743"/>
      <c r="P212" s="78"/>
      <c r="Q212" s="599"/>
      <c r="R212" s="78"/>
      <c r="S212" s="274"/>
      <c r="T212" s="46"/>
      <c r="U212" s="598"/>
      <c r="V212" s="273"/>
      <c r="W212" s="274"/>
      <c r="X212" s="598">
        <v>271</v>
      </c>
      <c r="Y212" s="273" t="s">
        <v>2798</v>
      </c>
      <c r="Z212" s="275">
        <v>500000</v>
      </c>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row>
    <row r="213" spans="1:131" s="50" customFormat="1" ht="15" x14ac:dyDescent="0.25">
      <c r="A213" s="693"/>
      <c r="B213" s="690"/>
      <c r="C213" s="690"/>
      <c r="D213" s="590"/>
      <c r="E213" s="591"/>
      <c r="F213" s="592"/>
      <c r="G213" s="590"/>
      <c r="H213" s="287"/>
      <c r="I213" s="287"/>
      <c r="J213" s="287"/>
      <c r="K213" s="233"/>
      <c r="L213" s="590"/>
      <c r="M213" s="590"/>
      <c r="N213" s="595"/>
      <c r="O213" s="743"/>
      <c r="P213" s="78"/>
      <c r="Q213" s="599"/>
      <c r="R213" s="78"/>
      <c r="S213" s="274"/>
      <c r="T213" s="46"/>
      <c r="U213" s="598"/>
      <c r="V213" s="273"/>
      <c r="W213" s="274"/>
      <c r="X213" s="598">
        <v>272</v>
      </c>
      <c r="Y213" s="273" t="s">
        <v>2798</v>
      </c>
      <c r="Z213" s="275">
        <v>1000000</v>
      </c>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row>
    <row r="214" spans="1:131" s="50" customFormat="1" ht="15" x14ac:dyDescent="0.25">
      <c r="A214" s="693"/>
      <c r="B214" s="690"/>
      <c r="C214" s="690"/>
      <c r="D214" s="590"/>
      <c r="E214" s="591"/>
      <c r="F214" s="592"/>
      <c r="G214" s="590"/>
      <c r="H214" s="287"/>
      <c r="I214" s="287"/>
      <c r="J214" s="287"/>
      <c r="K214" s="233"/>
      <c r="L214" s="590"/>
      <c r="M214" s="590"/>
      <c r="N214" s="595"/>
      <c r="O214" s="743"/>
      <c r="P214" s="78"/>
      <c r="Q214" s="599"/>
      <c r="R214" s="78"/>
      <c r="S214" s="274"/>
      <c r="T214" s="46"/>
      <c r="U214" s="598"/>
      <c r="V214" s="273"/>
      <c r="W214" s="274"/>
      <c r="X214" s="598">
        <v>273</v>
      </c>
      <c r="Y214" s="273" t="s">
        <v>2798</v>
      </c>
      <c r="Z214" s="275">
        <v>500000</v>
      </c>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row>
    <row r="215" spans="1:131" s="50" customFormat="1" ht="15" x14ac:dyDescent="0.25">
      <c r="A215" s="693"/>
      <c r="B215" s="690"/>
      <c r="C215" s="690"/>
      <c r="D215" s="590"/>
      <c r="E215" s="591"/>
      <c r="F215" s="592"/>
      <c r="G215" s="590"/>
      <c r="H215" s="287"/>
      <c r="I215" s="287"/>
      <c r="J215" s="287"/>
      <c r="K215" s="233"/>
      <c r="L215" s="590"/>
      <c r="M215" s="590"/>
      <c r="N215" s="595"/>
      <c r="O215" s="743"/>
      <c r="P215" s="78"/>
      <c r="Q215" s="599"/>
      <c r="R215" s="78"/>
      <c r="S215" s="274"/>
      <c r="T215" s="46"/>
      <c r="U215" s="598"/>
      <c r="V215" s="273"/>
      <c r="W215" s="274"/>
      <c r="X215" s="598">
        <v>274</v>
      </c>
      <c r="Y215" s="273" t="s">
        <v>2798</v>
      </c>
      <c r="Z215" s="275">
        <v>1500000</v>
      </c>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row>
    <row r="216" spans="1:131" s="50" customFormat="1" ht="15" x14ac:dyDescent="0.25">
      <c r="A216" s="693"/>
      <c r="B216" s="690"/>
      <c r="C216" s="690"/>
      <c r="D216" s="590"/>
      <c r="E216" s="591"/>
      <c r="F216" s="592"/>
      <c r="G216" s="590"/>
      <c r="H216" s="287"/>
      <c r="I216" s="287"/>
      <c r="J216" s="287"/>
      <c r="K216" s="233"/>
      <c r="L216" s="590"/>
      <c r="M216" s="590"/>
      <c r="N216" s="595"/>
      <c r="O216" s="743"/>
      <c r="P216" s="78"/>
      <c r="Q216" s="599"/>
      <c r="R216" s="78"/>
      <c r="S216" s="274"/>
      <c r="T216" s="46"/>
      <c r="U216" s="598"/>
      <c r="V216" s="273"/>
      <c r="W216" s="274"/>
      <c r="X216" s="598">
        <v>275</v>
      </c>
      <c r="Y216" s="273" t="s">
        <v>2798</v>
      </c>
      <c r="Z216" s="275">
        <v>500000</v>
      </c>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row>
    <row r="217" spans="1:131" s="50" customFormat="1" ht="15" x14ac:dyDescent="0.25">
      <c r="A217" s="693"/>
      <c r="B217" s="690"/>
      <c r="C217" s="690"/>
      <c r="D217" s="590"/>
      <c r="E217" s="591"/>
      <c r="F217" s="592"/>
      <c r="G217" s="590"/>
      <c r="H217" s="287"/>
      <c r="I217" s="287"/>
      <c r="J217" s="287"/>
      <c r="K217" s="233"/>
      <c r="L217" s="590"/>
      <c r="M217" s="590"/>
      <c r="N217" s="595"/>
      <c r="O217" s="743"/>
      <c r="P217" s="78"/>
      <c r="Q217" s="599"/>
      <c r="R217" s="78"/>
      <c r="S217" s="274"/>
      <c r="T217" s="46"/>
      <c r="U217" s="598"/>
      <c r="V217" s="273"/>
      <c r="W217" s="274"/>
      <c r="X217" s="598">
        <v>276</v>
      </c>
      <c r="Y217" s="273" t="s">
        <v>2798</v>
      </c>
      <c r="Z217" s="275">
        <v>500000</v>
      </c>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row>
    <row r="218" spans="1:131" s="50" customFormat="1" ht="15" x14ac:dyDescent="0.25">
      <c r="A218" s="693"/>
      <c r="B218" s="690"/>
      <c r="C218" s="690"/>
      <c r="D218" s="590"/>
      <c r="E218" s="591"/>
      <c r="F218" s="592"/>
      <c r="G218" s="590"/>
      <c r="H218" s="287"/>
      <c r="I218" s="287"/>
      <c r="J218" s="287"/>
      <c r="K218" s="233"/>
      <c r="L218" s="590"/>
      <c r="M218" s="590"/>
      <c r="N218" s="595"/>
      <c r="O218" s="743"/>
      <c r="P218" s="78"/>
      <c r="Q218" s="599"/>
      <c r="R218" s="78"/>
      <c r="S218" s="274"/>
      <c r="T218" s="46"/>
      <c r="U218" s="598"/>
      <c r="V218" s="273"/>
      <c r="W218" s="274"/>
      <c r="X218" s="598">
        <v>277</v>
      </c>
      <c r="Y218" s="273" t="s">
        <v>2798</v>
      </c>
      <c r="Z218" s="275">
        <v>2000000</v>
      </c>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row>
    <row r="219" spans="1:131" s="50" customFormat="1" ht="15" x14ac:dyDescent="0.25">
      <c r="A219" s="693"/>
      <c r="B219" s="690"/>
      <c r="C219" s="690"/>
      <c r="D219" s="590"/>
      <c r="E219" s="591"/>
      <c r="F219" s="592"/>
      <c r="G219" s="590"/>
      <c r="H219" s="287"/>
      <c r="I219" s="287"/>
      <c r="J219" s="287"/>
      <c r="K219" s="233"/>
      <c r="L219" s="590"/>
      <c r="M219" s="590"/>
      <c r="N219" s="595"/>
      <c r="O219" s="743"/>
      <c r="P219" s="78"/>
      <c r="Q219" s="599"/>
      <c r="R219" s="78"/>
      <c r="S219" s="274"/>
      <c r="T219" s="46"/>
      <c r="U219" s="598"/>
      <c r="V219" s="273"/>
      <c r="W219" s="274"/>
      <c r="X219" s="598">
        <v>278</v>
      </c>
      <c r="Y219" s="273" t="s">
        <v>2798</v>
      </c>
      <c r="Z219" s="275">
        <v>500000</v>
      </c>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row>
    <row r="220" spans="1:131" s="50" customFormat="1" ht="15" x14ac:dyDescent="0.25">
      <c r="A220" s="693"/>
      <c r="B220" s="690"/>
      <c r="C220" s="690"/>
      <c r="D220" s="590"/>
      <c r="E220" s="591"/>
      <c r="F220" s="592"/>
      <c r="G220" s="590"/>
      <c r="H220" s="287"/>
      <c r="I220" s="287"/>
      <c r="J220" s="287"/>
      <c r="K220" s="233"/>
      <c r="L220" s="590"/>
      <c r="M220" s="590"/>
      <c r="N220" s="595"/>
      <c r="O220" s="743"/>
      <c r="P220" s="78"/>
      <c r="Q220" s="599"/>
      <c r="R220" s="78"/>
      <c r="S220" s="274"/>
      <c r="T220" s="46"/>
      <c r="U220" s="598"/>
      <c r="V220" s="273"/>
      <c r="W220" s="274"/>
      <c r="X220" s="598">
        <v>279</v>
      </c>
      <c r="Y220" s="273" t="s">
        <v>2798</v>
      </c>
      <c r="Z220" s="275">
        <v>1000000</v>
      </c>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row>
    <row r="221" spans="1:131" s="50" customFormat="1" ht="15" x14ac:dyDescent="0.25">
      <c r="A221" s="693"/>
      <c r="B221" s="690"/>
      <c r="C221" s="690"/>
      <c r="D221" s="590"/>
      <c r="E221" s="591"/>
      <c r="F221" s="592"/>
      <c r="G221" s="590"/>
      <c r="H221" s="287"/>
      <c r="I221" s="287"/>
      <c r="J221" s="287"/>
      <c r="K221" s="233"/>
      <c r="L221" s="590"/>
      <c r="M221" s="590"/>
      <c r="N221" s="595"/>
      <c r="O221" s="743"/>
      <c r="P221" s="78"/>
      <c r="Q221" s="599"/>
      <c r="R221" s="78"/>
      <c r="S221" s="274"/>
      <c r="T221" s="46"/>
      <c r="U221" s="598"/>
      <c r="V221" s="273"/>
      <c r="W221" s="274"/>
      <c r="X221" s="598">
        <v>280</v>
      </c>
      <c r="Y221" s="273" t="s">
        <v>2798</v>
      </c>
      <c r="Z221" s="275">
        <v>1000000</v>
      </c>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row>
    <row r="222" spans="1:131" s="50" customFormat="1" ht="15" x14ac:dyDescent="0.25">
      <c r="A222" s="693"/>
      <c r="B222" s="690"/>
      <c r="C222" s="690"/>
      <c r="D222" s="590"/>
      <c r="E222" s="591"/>
      <c r="F222" s="592"/>
      <c r="G222" s="590"/>
      <c r="H222" s="287"/>
      <c r="I222" s="287"/>
      <c r="J222" s="287"/>
      <c r="K222" s="233"/>
      <c r="L222" s="590"/>
      <c r="M222" s="590"/>
      <c r="N222" s="595"/>
      <c r="O222" s="743"/>
      <c r="P222" s="78"/>
      <c r="Q222" s="599"/>
      <c r="R222" s="78"/>
      <c r="S222" s="274"/>
      <c r="T222" s="46"/>
      <c r="U222" s="598"/>
      <c r="V222" s="273"/>
      <c r="W222" s="274"/>
      <c r="X222" s="598">
        <v>281</v>
      </c>
      <c r="Y222" s="273" t="s">
        <v>2798</v>
      </c>
      <c r="Z222" s="275">
        <v>1000000</v>
      </c>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row>
    <row r="223" spans="1:131" s="50" customFormat="1" ht="15" x14ac:dyDescent="0.25">
      <c r="A223" s="693"/>
      <c r="B223" s="690"/>
      <c r="C223" s="690"/>
      <c r="D223" s="590"/>
      <c r="E223" s="591"/>
      <c r="F223" s="592"/>
      <c r="G223" s="590"/>
      <c r="H223" s="287"/>
      <c r="I223" s="287"/>
      <c r="J223" s="287"/>
      <c r="K223" s="233"/>
      <c r="L223" s="590"/>
      <c r="M223" s="590"/>
      <c r="N223" s="595"/>
      <c r="O223" s="743"/>
      <c r="P223" s="78"/>
      <c r="Q223" s="599"/>
      <c r="R223" s="78"/>
      <c r="S223" s="274"/>
      <c r="T223" s="46"/>
      <c r="U223" s="598"/>
      <c r="V223" s="273"/>
      <c r="W223" s="274"/>
      <c r="X223" s="598">
        <v>282</v>
      </c>
      <c r="Y223" s="273" t="s">
        <v>2798</v>
      </c>
      <c r="Z223" s="275">
        <v>500000</v>
      </c>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row>
    <row r="224" spans="1:131" s="50" customFormat="1" ht="15" x14ac:dyDescent="0.25">
      <c r="A224" s="693"/>
      <c r="B224" s="690"/>
      <c r="C224" s="690"/>
      <c r="D224" s="590"/>
      <c r="E224" s="591"/>
      <c r="F224" s="592"/>
      <c r="G224" s="590"/>
      <c r="H224" s="287"/>
      <c r="I224" s="287"/>
      <c r="J224" s="287"/>
      <c r="K224" s="233"/>
      <c r="L224" s="590"/>
      <c r="M224" s="590"/>
      <c r="N224" s="595"/>
      <c r="O224" s="743"/>
      <c r="P224" s="78"/>
      <c r="Q224" s="599"/>
      <c r="R224" s="78"/>
      <c r="S224" s="274"/>
      <c r="T224" s="46"/>
      <c r="U224" s="598"/>
      <c r="V224" s="273"/>
      <c r="W224" s="274"/>
      <c r="X224" s="598">
        <v>283</v>
      </c>
      <c r="Y224" s="273" t="s">
        <v>2798</v>
      </c>
      <c r="Z224" s="275">
        <v>500000</v>
      </c>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row>
    <row r="225" spans="1:131" s="50" customFormat="1" ht="15" x14ac:dyDescent="0.25">
      <c r="A225" s="693"/>
      <c r="B225" s="690"/>
      <c r="C225" s="690"/>
      <c r="D225" s="410"/>
      <c r="E225" s="415"/>
      <c r="F225" s="423"/>
      <c r="G225" s="410"/>
      <c r="H225" s="287"/>
      <c r="I225" s="287"/>
      <c r="J225" s="287"/>
      <c r="K225" s="233"/>
      <c r="L225" s="410"/>
      <c r="M225" s="410"/>
      <c r="N225" s="427"/>
      <c r="O225" s="743"/>
      <c r="P225" s="78" t="s">
        <v>2552</v>
      </c>
      <c r="Q225" s="457" t="s">
        <v>2553</v>
      </c>
      <c r="R225" s="78" t="s">
        <v>2554</v>
      </c>
      <c r="S225" s="274">
        <v>7773333</v>
      </c>
      <c r="T225" s="46"/>
      <c r="U225" s="598">
        <v>63</v>
      </c>
      <c r="V225" s="273" t="s">
        <v>2786</v>
      </c>
      <c r="W225" s="274">
        <v>7773333</v>
      </c>
      <c r="X225" s="598">
        <v>155</v>
      </c>
      <c r="Y225" s="273" t="s">
        <v>2781</v>
      </c>
      <c r="Z225" s="274">
        <v>7773333</v>
      </c>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row>
    <row r="226" spans="1:131" s="50" customFormat="1" ht="15" x14ac:dyDescent="0.25">
      <c r="A226" s="693"/>
      <c r="B226" s="690"/>
      <c r="C226" s="690"/>
      <c r="D226" s="410"/>
      <c r="E226" s="415"/>
      <c r="F226" s="423"/>
      <c r="G226" s="410"/>
      <c r="H226" s="287"/>
      <c r="I226" s="287"/>
      <c r="J226" s="287"/>
      <c r="K226" s="233"/>
      <c r="L226" s="410"/>
      <c r="M226" s="410"/>
      <c r="N226" s="427"/>
      <c r="O226" s="743"/>
      <c r="P226" s="78" t="s">
        <v>2543</v>
      </c>
      <c r="Q226" s="457" t="s">
        <v>2555</v>
      </c>
      <c r="R226" s="78" t="s">
        <v>2556</v>
      </c>
      <c r="S226" s="274">
        <v>4760000</v>
      </c>
      <c r="T226" s="46"/>
      <c r="U226" s="598">
        <v>68</v>
      </c>
      <c r="V226" s="273" t="s">
        <v>2803</v>
      </c>
      <c r="W226" s="274">
        <v>4760000</v>
      </c>
      <c r="X226" s="598">
        <v>167</v>
      </c>
      <c r="Y226" s="273" t="s">
        <v>2791</v>
      </c>
      <c r="Z226" s="274">
        <v>4760000</v>
      </c>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row>
    <row r="227" spans="1:131" s="50" customFormat="1" ht="15" x14ac:dyDescent="0.25">
      <c r="A227" s="693"/>
      <c r="B227" s="690"/>
      <c r="C227" s="690"/>
      <c r="D227" s="410"/>
      <c r="E227" s="415"/>
      <c r="F227" s="423"/>
      <c r="G227" s="410"/>
      <c r="H227" s="287"/>
      <c r="I227" s="287"/>
      <c r="J227" s="287"/>
      <c r="K227" s="233"/>
      <c r="L227" s="410"/>
      <c r="M227" s="410"/>
      <c r="N227" s="427"/>
      <c r="O227" s="743"/>
      <c r="P227" s="78" t="s">
        <v>2535</v>
      </c>
      <c r="Q227" s="457" t="s">
        <v>2557</v>
      </c>
      <c r="R227" s="78" t="s">
        <v>2558</v>
      </c>
      <c r="S227" s="289">
        <v>12550000</v>
      </c>
      <c r="T227" s="46"/>
      <c r="U227" s="598"/>
      <c r="V227" s="273"/>
      <c r="W227" s="598"/>
      <c r="X227" s="598"/>
      <c r="Y227" s="273"/>
      <c r="Z227" s="151"/>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row>
    <row r="228" spans="1:131" s="50" customFormat="1" ht="15" x14ac:dyDescent="0.25">
      <c r="A228" s="693"/>
      <c r="B228" s="690"/>
      <c r="C228" s="690"/>
      <c r="D228" s="410"/>
      <c r="E228" s="415"/>
      <c r="F228" s="423"/>
      <c r="G228" s="410"/>
      <c r="H228" s="287"/>
      <c r="I228" s="287"/>
      <c r="J228" s="287"/>
      <c r="K228" s="233"/>
      <c r="L228" s="410"/>
      <c r="M228" s="410"/>
      <c r="N228" s="427"/>
      <c r="O228" s="743"/>
      <c r="P228" s="78" t="s">
        <v>2559</v>
      </c>
      <c r="Q228" s="457" t="s">
        <v>2560</v>
      </c>
      <c r="R228" s="78" t="s">
        <v>2561</v>
      </c>
      <c r="S228" s="274">
        <v>4000000</v>
      </c>
      <c r="T228" s="46"/>
      <c r="U228" s="598">
        <v>70</v>
      </c>
      <c r="V228" s="273" t="s">
        <v>2793</v>
      </c>
      <c r="W228" s="274">
        <v>4000000</v>
      </c>
      <c r="X228" s="598">
        <v>184</v>
      </c>
      <c r="Y228" s="273" t="s">
        <v>2829</v>
      </c>
      <c r="Z228" s="274">
        <v>4000000</v>
      </c>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row>
    <row r="229" spans="1:131" s="50" customFormat="1" ht="15" x14ac:dyDescent="0.25">
      <c r="A229" s="693"/>
      <c r="B229" s="690"/>
      <c r="C229" s="690"/>
      <c r="D229" s="410"/>
      <c r="E229" s="415"/>
      <c r="F229" s="423"/>
      <c r="G229" s="410"/>
      <c r="H229" s="287"/>
      <c r="I229" s="287"/>
      <c r="J229" s="287"/>
      <c r="K229" s="233"/>
      <c r="L229" s="410"/>
      <c r="M229" s="410"/>
      <c r="N229" s="427"/>
      <c r="O229" s="743"/>
      <c r="P229" s="78" t="s">
        <v>2562</v>
      </c>
      <c r="Q229" s="457" t="s">
        <v>2563</v>
      </c>
      <c r="R229" s="78" t="s">
        <v>2564</v>
      </c>
      <c r="S229" s="274">
        <v>85956000</v>
      </c>
      <c r="T229" s="46"/>
      <c r="U229" s="598">
        <v>71</v>
      </c>
      <c r="V229" s="273" t="s">
        <v>2790</v>
      </c>
      <c r="W229" s="274">
        <v>85956000</v>
      </c>
      <c r="X229" s="598">
        <v>286</v>
      </c>
      <c r="Y229" s="273" t="s">
        <v>2807</v>
      </c>
      <c r="Z229" s="274">
        <v>85956000</v>
      </c>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row>
    <row r="230" spans="1:131" s="50" customFormat="1" ht="54" x14ac:dyDescent="0.25">
      <c r="A230" s="693"/>
      <c r="B230" s="690"/>
      <c r="C230" s="690"/>
      <c r="D230" s="44" t="s">
        <v>795</v>
      </c>
      <c r="E230" s="8" t="s">
        <v>229</v>
      </c>
      <c r="F230" s="289">
        <v>3000000</v>
      </c>
      <c r="G230" s="44"/>
      <c r="H230" s="45"/>
      <c r="I230" s="232"/>
      <c r="J230" s="232"/>
      <c r="K230" s="232"/>
      <c r="L230" s="44"/>
      <c r="M230" s="44"/>
      <c r="N230" s="507">
        <f t="shared" si="0"/>
        <v>3000000</v>
      </c>
      <c r="O230" s="743"/>
      <c r="P230" s="44"/>
      <c r="Q230" s="44"/>
      <c r="R230" s="44"/>
      <c r="S230" s="44"/>
      <c r="T230" s="46"/>
      <c r="U230" s="598"/>
      <c r="V230" s="273"/>
      <c r="W230" s="598"/>
      <c r="X230" s="598"/>
      <c r="Y230" s="273"/>
      <c r="Z230" s="151"/>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row>
    <row r="231" spans="1:131" s="50" customFormat="1" ht="40.5" x14ac:dyDescent="0.25">
      <c r="A231" s="693"/>
      <c r="B231" s="690"/>
      <c r="C231" s="690"/>
      <c r="D231" s="44" t="s">
        <v>796</v>
      </c>
      <c r="E231" s="8" t="s">
        <v>106</v>
      </c>
      <c r="F231" s="289">
        <v>2355000</v>
      </c>
      <c r="G231" s="44"/>
      <c r="H231" s="45"/>
      <c r="I231" s="232"/>
      <c r="J231" s="232"/>
      <c r="K231" s="290">
        <v>15641647</v>
      </c>
      <c r="L231" s="44"/>
      <c r="M231" s="44"/>
      <c r="N231" s="507">
        <f t="shared" si="0"/>
        <v>17996647</v>
      </c>
      <c r="O231" s="743"/>
      <c r="P231" s="78"/>
      <c r="Q231" s="44"/>
      <c r="R231" s="78"/>
      <c r="S231" s="66"/>
      <c r="T231" s="46"/>
      <c r="U231" s="598"/>
      <c r="V231" s="273"/>
      <c r="W231" s="274"/>
      <c r="X231" s="598"/>
      <c r="Y231" s="273"/>
      <c r="Z231" s="275"/>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row>
    <row r="232" spans="1:131" s="50" customFormat="1" ht="54" x14ac:dyDescent="0.25">
      <c r="A232" s="693"/>
      <c r="B232" s="690"/>
      <c r="C232" s="690"/>
      <c r="D232" s="44" t="s">
        <v>798</v>
      </c>
      <c r="E232" s="8" t="s">
        <v>230</v>
      </c>
      <c r="F232" s="289">
        <v>2805000</v>
      </c>
      <c r="G232" s="44"/>
      <c r="H232" s="45"/>
      <c r="I232" s="232"/>
      <c r="J232" s="290">
        <v>10000000</v>
      </c>
      <c r="K232" s="290">
        <v>20613538</v>
      </c>
      <c r="L232" s="274">
        <v>160000000</v>
      </c>
      <c r="M232" s="44"/>
      <c r="N232" s="507">
        <f t="shared" si="0"/>
        <v>193418538</v>
      </c>
      <c r="O232" s="743"/>
      <c r="P232" s="80" t="s">
        <v>2540</v>
      </c>
      <c r="Q232" s="459" t="s">
        <v>2541</v>
      </c>
      <c r="R232" s="80" t="s">
        <v>2542</v>
      </c>
      <c r="S232" s="274">
        <v>9304610</v>
      </c>
      <c r="T232" s="46"/>
      <c r="U232" s="598">
        <v>65</v>
      </c>
      <c r="V232" s="273" t="s">
        <v>2781</v>
      </c>
      <c r="W232" s="274">
        <v>9304610</v>
      </c>
      <c r="X232" s="598">
        <v>164</v>
      </c>
      <c r="Y232" s="273" t="s">
        <v>2780</v>
      </c>
      <c r="Z232" s="274">
        <v>9304610</v>
      </c>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row>
    <row r="233" spans="1:131" s="50" customFormat="1" ht="15" x14ac:dyDescent="0.25">
      <c r="A233" s="693"/>
      <c r="B233" s="690"/>
      <c r="C233" s="690"/>
      <c r="D233" s="330"/>
      <c r="E233" s="8"/>
      <c r="F233" s="289"/>
      <c r="G233" s="330"/>
      <c r="H233" s="45"/>
      <c r="I233" s="232"/>
      <c r="J233" s="290"/>
      <c r="K233" s="290"/>
      <c r="L233" s="274"/>
      <c r="M233" s="330"/>
      <c r="N233" s="65"/>
      <c r="O233" s="743"/>
      <c r="P233" s="80" t="s">
        <v>2543</v>
      </c>
      <c r="Q233" s="459" t="s">
        <v>2544</v>
      </c>
      <c r="R233" s="80" t="s">
        <v>2545</v>
      </c>
      <c r="S233" s="274">
        <v>20154435</v>
      </c>
      <c r="T233" s="46"/>
      <c r="U233" s="598">
        <v>68</v>
      </c>
      <c r="V233" s="273" t="s">
        <v>2803</v>
      </c>
      <c r="W233" s="274">
        <v>20154435</v>
      </c>
      <c r="X233" s="598">
        <v>167</v>
      </c>
      <c r="Y233" s="273" t="s">
        <v>2791</v>
      </c>
      <c r="Z233" s="274">
        <v>20154435</v>
      </c>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row>
    <row r="234" spans="1:131" s="50" customFormat="1" ht="27" x14ac:dyDescent="0.25">
      <c r="A234" s="693"/>
      <c r="B234" s="690"/>
      <c r="C234" s="690"/>
      <c r="D234" s="44" t="s">
        <v>800</v>
      </c>
      <c r="E234" s="8" t="s">
        <v>120</v>
      </c>
      <c r="F234" s="289">
        <v>7521680</v>
      </c>
      <c r="G234" s="44"/>
      <c r="H234" s="45"/>
      <c r="I234" s="232"/>
      <c r="J234" s="232"/>
      <c r="K234" s="232"/>
      <c r="L234" s="274">
        <v>8000000</v>
      </c>
      <c r="M234" s="44"/>
      <c r="N234" s="507">
        <f t="shared" si="0"/>
        <v>15521680</v>
      </c>
      <c r="O234" s="743"/>
      <c r="P234" s="44"/>
      <c r="Q234" s="44"/>
      <c r="R234" s="44"/>
      <c r="S234" s="44"/>
      <c r="T234" s="46"/>
      <c r="U234" s="598"/>
      <c r="V234" s="273"/>
      <c r="W234" s="598"/>
      <c r="X234" s="598"/>
      <c r="Y234" s="273"/>
      <c r="Z234" s="151"/>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row>
    <row r="235" spans="1:131" s="50" customFormat="1" ht="27" x14ac:dyDescent="0.25">
      <c r="A235" s="693"/>
      <c r="B235" s="690"/>
      <c r="C235" s="690"/>
      <c r="D235" s="44" t="s">
        <v>1034</v>
      </c>
      <c r="E235" s="8" t="s">
        <v>978</v>
      </c>
      <c r="F235" s="66"/>
      <c r="G235" s="44"/>
      <c r="H235" s="289">
        <v>1762000</v>
      </c>
      <c r="I235" s="66"/>
      <c r="J235" s="66"/>
      <c r="K235" s="289">
        <v>1862000</v>
      </c>
      <c r="L235" s="274">
        <v>2000000</v>
      </c>
      <c r="M235" s="44"/>
      <c r="N235" s="507">
        <f t="shared" si="0"/>
        <v>5624000</v>
      </c>
      <c r="O235" s="743"/>
      <c r="P235" s="80" t="s">
        <v>1649</v>
      </c>
      <c r="Q235" s="457">
        <v>636</v>
      </c>
      <c r="R235" s="80" t="s">
        <v>1650</v>
      </c>
      <c r="S235" s="528">
        <v>495647</v>
      </c>
      <c r="T235" s="46"/>
      <c r="U235" s="598"/>
      <c r="V235" s="273"/>
      <c r="W235" s="598"/>
      <c r="X235" s="598"/>
      <c r="Y235" s="273"/>
      <c r="Z235" s="151"/>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row>
    <row r="236" spans="1:131" s="50" customFormat="1" ht="27" x14ac:dyDescent="0.25">
      <c r="A236" s="693"/>
      <c r="B236" s="690"/>
      <c r="C236" s="690"/>
      <c r="D236" s="44" t="s">
        <v>1035</v>
      </c>
      <c r="E236" s="8" t="s">
        <v>979</v>
      </c>
      <c r="F236" s="66"/>
      <c r="G236" s="44"/>
      <c r="H236" s="289">
        <v>260000</v>
      </c>
      <c r="I236" s="66"/>
      <c r="J236" s="289">
        <v>1260000</v>
      </c>
      <c r="K236" s="289">
        <v>6253000</v>
      </c>
      <c r="L236" s="274">
        <v>2000000</v>
      </c>
      <c r="M236" s="44"/>
      <c r="N236" s="507">
        <f t="shared" si="0"/>
        <v>9773000</v>
      </c>
      <c r="O236" s="743"/>
      <c r="P236" s="80" t="s">
        <v>1649</v>
      </c>
      <c r="Q236" s="457">
        <v>635</v>
      </c>
      <c r="R236" s="80" t="s">
        <v>2190</v>
      </c>
      <c r="S236" s="528">
        <v>177786</v>
      </c>
      <c r="T236" s="46"/>
      <c r="U236" s="598"/>
      <c r="V236" s="273"/>
      <c r="W236" s="598"/>
      <c r="X236" s="598"/>
      <c r="Y236" s="273"/>
      <c r="Z236" s="151"/>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row>
    <row r="237" spans="1:131" s="50" customFormat="1" ht="40.5" x14ac:dyDescent="0.25">
      <c r="A237" s="693"/>
      <c r="B237" s="690"/>
      <c r="C237" s="690"/>
      <c r="D237" s="44" t="s">
        <v>1036</v>
      </c>
      <c r="E237" s="8" t="s">
        <v>138</v>
      </c>
      <c r="F237" s="66"/>
      <c r="G237" s="44"/>
      <c r="H237" s="289">
        <v>128000</v>
      </c>
      <c r="I237" s="66"/>
      <c r="J237" s="66"/>
      <c r="K237" s="289">
        <v>8338029</v>
      </c>
      <c r="L237" s="274"/>
      <c r="M237" s="44"/>
      <c r="N237" s="507">
        <f t="shared" si="0"/>
        <v>8466029</v>
      </c>
      <c r="O237" s="743"/>
      <c r="P237" s="78" t="s">
        <v>1764</v>
      </c>
      <c r="Q237" s="457">
        <v>641</v>
      </c>
      <c r="R237" s="80" t="s">
        <v>1960</v>
      </c>
      <c r="S237" s="528">
        <v>2333493</v>
      </c>
      <c r="T237" s="46"/>
      <c r="U237" s="598"/>
      <c r="V237" s="273"/>
      <c r="W237" s="598"/>
      <c r="X237" s="598"/>
      <c r="Y237" s="273"/>
      <c r="Z237" s="151"/>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row>
    <row r="238" spans="1:131" s="50" customFormat="1" ht="15" x14ac:dyDescent="0.25">
      <c r="A238" s="693"/>
      <c r="B238" s="690"/>
      <c r="C238" s="690"/>
      <c r="D238" s="408"/>
      <c r="E238" s="438"/>
      <c r="F238" s="416"/>
      <c r="G238" s="408"/>
      <c r="H238" s="421"/>
      <c r="I238" s="416"/>
      <c r="J238" s="416"/>
      <c r="K238" s="421"/>
      <c r="L238" s="416"/>
      <c r="M238" s="408"/>
      <c r="N238" s="425"/>
      <c r="O238" s="743"/>
      <c r="P238" s="78" t="s">
        <v>2565</v>
      </c>
      <c r="Q238" s="457" t="s">
        <v>2566</v>
      </c>
      <c r="R238" s="80" t="s">
        <v>2567</v>
      </c>
      <c r="S238" s="345">
        <v>714000</v>
      </c>
      <c r="T238" s="46"/>
      <c r="U238" s="598">
        <v>72</v>
      </c>
      <c r="V238" s="273" t="s">
        <v>2790</v>
      </c>
      <c r="W238" s="274">
        <v>714000</v>
      </c>
      <c r="X238" s="598">
        <v>285</v>
      </c>
      <c r="Y238" s="273" t="s">
        <v>2789</v>
      </c>
      <c r="Z238" s="601">
        <v>714000</v>
      </c>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row>
    <row r="239" spans="1:131" s="50" customFormat="1" ht="25.5" customHeight="1" x14ac:dyDescent="0.25">
      <c r="A239" s="693"/>
      <c r="B239" s="690"/>
      <c r="C239" s="690"/>
      <c r="D239" s="692" t="s">
        <v>1037</v>
      </c>
      <c r="E239" s="705" t="s">
        <v>980</v>
      </c>
      <c r="F239" s="728"/>
      <c r="G239" s="692"/>
      <c r="H239" s="710">
        <v>160000</v>
      </c>
      <c r="I239" s="728"/>
      <c r="J239" s="728"/>
      <c r="K239" s="710">
        <v>5443570</v>
      </c>
      <c r="L239" s="728">
        <v>8000000</v>
      </c>
      <c r="M239" s="692"/>
      <c r="N239" s="810">
        <f t="shared" si="0"/>
        <v>13603570</v>
      </c>
      <c r="O239" s="743"/>
      <c r="P239" s="78" t="s">
        <v>1964</v>
      </c>
      <c r="Q239" s="457" t="s">
        <v>1965</v>
      </c>
      <c r="R239" s="80" t="s">
        <v>1962</v>
      </c>
      <c r="S239" s="528">
        <v>134866</v>
      </c>
      <c r="T239" s="46"/>
      <c r="U239" s="598"/>
      <c r="V239" s="273"/>
      <c r="W239" s="598"/>
      <c r="X239" s="598"/>
      <c r="Y239" s="273"/>
      <c r="Z239" s="151"/>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row>
    <row r="240" spans="1:131" s="50" customFormat="1" ht="15" x14ac:dyDescent="0.25">
      <c r="A240" s="693"/>
      <c r="B240" s="690"/>
      <c r="C240" s="690"/>
      <c r="D240" s="694"/>
      <c r="E240" s="707"/>
      <c r="F240" s="729"/>
      <c r="G240" s="694"/>
      <c r="H240" s="712"/>
      <c r="I240" s="729"/>
      <c r="J240" s="729"/>
      <c r="K240" s="712"/>
      <c r="L240" s="729"/>
      <c r="M240" s="694"/>
      <c r="N240" s="811"/>
      <c r="O240" s="743"/>
      <c r="P240" s="78" t="s">
        <v>1764</v>
      </c>
      <c r="Q240" s="457" t="s">
        <v>1966</v>
      </c>
      <c r="R240" s="80" t="s">
        <v>1963</v>
      </c>
      <c r="S240" s="528">
        <v>676425</v>
      </c>
      <c r="T240" s="46"/>
      <c r="U240" s="598"/>
      <c r="V240" s="273"/>
      <c r="W240" s="598"/>
      <c r="X240" s="598"/>
      <c r="Y240" s="273"/>
      <c r="Z240" s="151"/>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row>
    <row r="241" spans="1:131" s="50" customFormat="1" ht="27" customHeight="1" x14ac:dyDescent="0.25">
      <c r="A241" s="693"/>
      <c r="B241" s="690"/>
      <c r="C241" s="690"/>
      <c r="D241" s="692" t="s">
        <v>1038</v>
      </c>
      <c r="E241" s="705" t="s">
        <v>981</v>
      </c>
      <c r="F241" s="728"/>
      <c r="G241" s="692"/>
      <c r="H241" s="710">
        <v>90000</v>
      </c>
      <c r="I241" s="728"/>
      <c r="J241" s="710">
        <v>11090000</v>
      </c>
      <c r="K241" s="710">
        <v>13108200</v>
      </c>
      <c r="L241" s="728">
        <v>2000000</v>
      </c>
      <c r="M241" s="692"/>
      <c r="N241" s="810">
        <f t="shared" si="0"/>
        <v>26288200</v>
      </c>
      <c r="O241" s="743"/>
      <c r="P241" s="78" t="s">
        <v>1790</v>
      </c>
      <c r="Q241" s="457" t="s">
        <v>1791</v>
      </c>
      <c r="R241" s="80" t="s">
        <v>1793</v>
      </c>
      <c r="S241" s="345">
        <v>9044000</v>
      </c>
      <c r="T241" s="46"/>
      <c r="U241" s="598">
        <v>54</v>
      </c>
      <c r="V241" s="273">
        <v>44831</v>
      </c>
      <c r="W241" s="345">
        <v>9044000</v>
      </c>
      <c r="X241" s="598">
        <v>157</v>
      </c>
      <c r="Y241" s="273" t="s">
        <v>2770</v>
      </c>
      <c r="Z241" s="345">
        <v>9044000</v>
      </c>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row>
    <row r="242" spans="1:131" s="50" customFormat="1" ht="15" x14ac:dyDescent="0.25">
      <c r="A242" s="693"/>
      <c r="B242" s="690"/>
      <c r="C242" s="690"/>
      <c r="D242" s="694"/>
      <c r="E242" s="707"/>
      <c r="F242" s="729"/>
      <c r="G242" s="694"/>
      <c r="H242" s="712"/>
      <c r="I242" s="729"/>
      <c r="J242" s="712"/>
      <c r="K242" s="712"/>
      <c r="L242" s="729"/>
      <c r="M242" s="694"/>
      <c r="N242" s="811"/>
      <c r="O242" s="743"/>
      <c r="P242" s="78" t="s">
        <v>1764</v>
      </c>
      <c r="Q242" s="457" t="s">
        <v>1792</v>
      </c>
      <c r="R242" s="80" t="s">
        <v>1794</v>
      </c>
      <c r="S242" s="528">
        <v>1068786</v>
      </c>
      <c r="T242" s="46"/>
      <c r="U242" s="598"/>
      <c r="V242" s="273"/>
      <c r="W242" s="598"/>
      <c r="X242" s="598"/>
      <c r="Y242" s="273"/>
      <c r="Z242" s="151"/>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row>
    <row r="243" spans="1:131" s="50" customFormat="1" ht="27" x14ac:dyDescent="0.25">
      <c r="A243" s="693"/>
      <c r="B243" s="690"/>
      <c r="C243" s="690"/>
      <c r="D243" s="44" t="s">
        <v>1039</v>
      </c>
      <c r="E243" s="8" t="s">
        <v>165</v>
      </c>
      <c r="F243" s="66"/>
      <c r="G243" s="44"/>
      <c r="H243" s="289">
        <v>1628000</v>
      </c>
      <c r="I243" s="66"/>
      <c r="J243" s="289">
        <v>5193200</v>
      </c>
      <c r="K243" s="66"/>
      <c r="L243" s="274">
        <v>10000000</v>
      </c>
      <c r="M243" s="44"/>
      <c r="N243" s="507">
        <f t="shared" si="0"/>
        <v>16821200</v>
      </c>
      <c r="O243" s="743"/>
      <c r="P243" s="78" t="s">
        <v>1764</v>
      </c>
      <c r="Q243" s="457">
        <v>640</v>
      </c>
      <c r="R243" s="80" t="s">
        <v>1765</v>
      </c>
      <c r="S243" s="289">
        <v>4400739</v>
      </c>
      <c r="T243" s="46"/>
      <c r="U243" s="598"/>
      <c r="V243" s="273"/>
      <c r="W243" s="598"/>
      <c r="X243" s="598"/>
      <c r="Y243" s="273"/>
      <c r="Z243" s="151"/>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row>
    <row r="244" spans="1:131" s="50" customFormat="1" ht="25.5" customHeight="1" x14ac:dyDescent="0.25">
      <c r="A244" s="693"/>
      <c r="B244" s="690"/>
      <c r="C244" s="690"/>
      <c r="D244" s="692" t="s">
        <v>1040</v>
      </c>
      <c r="E244" s="705" t="s">
        <v>140</v>
      </c>
      <c r="F244" s="728"/>
      <c r="G244" s="692"/>
      <c r="H244" s="710">
        <v>7220000</v>
      </c>
      <c r="I244" s="728"/>
      <c r="J244" s="710">
        <v>29554000</v>
      </c>
      <c r="K244" s="710">
        <v>108725469</v>
      </c>
      <c r="L244" s="692"/>
      <c r="M244" s="692"/>
      <c r="N244" s="810">
        <f t="shared" si="0"/>
        <v>145499469</v>
      </c>
      <c r="O244" s="743"/>
      <c r="P244" s="80" t="s">
        <v>1575</v>
      </c>
      <c r="Q244" s="457" t="s">
        <v>2179</v>
      </c>
      <c r="R244" s="80" t="s">
        <v>2173</v>
      </c>
      <c r="S244" s="345">
        <v>16100000</v>
      </c>
      <c r="T244" s="46"/>
      <c r="U244" s="598">
        <v>39</v>
      </c>
      <c r="V244" s="273">
        <v>44774</v>
      </c>
      <c r="W244" s="345">
        <v>16100000</v>
      </c>
      <c r="X244" s="598">
        <v>103</v>
      </c>
      <c r="Y244" s="273">
        <v>44775</v>
      </c>
      <c r="Z244" s="349">
        <v>16100000</v>
      </c>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row>
    <row r="245" spans="1:131" s="50" customFormat="1" ht="15" x14ac:dyDescent="0.25">
      <c r="A245" s="693"/>
      <c r="B245" s="690"/>
      <c r="C245" s="690"/>
      <c r="D245" s="693"/>
      <c r="E245" s="706"/>
      <c r="F245" s="735"/>
      <c r="G245" s="693"/>
      <c r="H245" s="711"/>
      <c r="I245" s="735"/>
      <c r="J245" s="711"/>
      <c r="K245" s="711"/>
      <c r="L245" s="693"/>
      <c r="M245" s="693"/>
      <c r="N245" s="812"/>
      <c r="O245" s="743"/>
      <c r="P245" s="80" t="s">
        <v>2177</v>
      </c>
      <c r="Q245" s="457" t="s">
        <v>2180</v>
      </c>
      <c r="R245" s="80" t="s">
        <v>2174</v>
      </c>
      <c r="S245" s="528">
        <v>3916180</v>
      </c>
      <c r="T245" s="46"/>
      <c r="U245" s="598"/>
      <c r="V245" s="273"/>
      <c r="W245" s="598"/>
      <c r="X245" s="598"/>
      <c r="Y245" s="273"/>
      <c r="Z245" s="151"/>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row>
    <row r="246" spans="1:131" s="50" customFormat="1" ht="15" x14ac:dyDescent="0.25">
      <c r="A246" s="693"/>
      <c r="B246" s="690"/>
      <c r="C246" s="690"/>
      <c r="D246" s="693"/>
      <c r="E246" s="706"/>
      <c r="F246" s="735"/>
      <c r="G246" s="693"/>
      <c r="H246" s="711"/>
      <c r="I246" s="735"/>
      <c r="J246" s="711"/>
      <c r="K246" s="711"/>
      <c r="L246" s="693"/>
      <c r="M246" s="693"/>
      <c r="N246" s="812"/>
      <c r="O246" s="743"/>
      <c r="P246" s="80" t="s">
        <v>2178</v>
      </c>
      <c r="Q246" s="457" t="s">
        <v>2181</v>
      </c>
      <c r="R246" s="80" t="s">
        <v>2175</v>
      </c>
      <c r="S246" s="528">
        <v>810739</v>
      </c>
      <c r="T246" s="46"/>
      <c r="U246" s="598"/>
      <c r="V246" s="273"/>
      <c r="W246" s="598"/>
      <c r="X246" s="598"/>
      <c r="Y246" s="273"/>
      <c r="Z246" s="151"/>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row>
    <row r="247" spans="1:131" s="50" customFormat="1" ht="15" x14ac:dyDescent="0.25">
      <c r="A247" s="693"/>
      <c r="B247" s="690"/>
      <c r="C247" s="690"/>
      <c r="D247" s="694"/>
      <c r="E247" s="707"/>
      <c r="F247" s="729"/>
      <c r="G247" s="694"/>
      <c r="H247" s="712"/>
      <c r="I247" s="729"/>
      <c r="J247" s="712"/>
      <c r="K247" s="712"/>
      <c r="L247" s="694"/>
      <c r="M247" s="694"/>
      <c r="N247" s="811"/>
      <c r="O247" s="743"/>
      <c r="P247" s="80" t="s">
        <v>1578</v>
      </c>
      <c r="Q247" s="457" t="s">
        <v>2182</v>
      </c>
      <c r="R247" s="80" t="s">
        <v>2176</v>
      </c>
      <c r="S247" s="345">
        <v>2248750</v>
      </c>
      <c r="T247" s="46"/>
      <c r="U247" s="598">
        <v>52</v>
      </c>
      <c r="V247" s="273">
        <v>44819</v>
      </c>
      <c r="W247" s="345">
        <v>2248750</v>
      </c>
      <c r="X247" s="598">
        <v>133</v>
      </c>
      <c r="Y247" s="273">
        <v>44823</v>
      </c>
      <c r="Z247" s="349">
        <v>2248750</v>
      </c>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row>
    <row r="248" spans="1:131" s="50" customFormat="1" ht="15" x14ac:dyDescent="0.25">
      <c r="A248" s="693"/>
      <c r="B248" s="690"/>
      <c r="C248" s="690"/>
      <c r="D248" s="410"/>
      <c r="E248" s="415"/>
      <c r="F248" s="418"/>
      <c r="G248" s="410"/>
      <c r="H248" s="423"/>
      <c r="I248" s="418"/>
      <c r="J248" s="423"/>
      <c r="K248" s="423"/>
      <c r="L248" s="410"/>
      <c r="M248" s="410"/>
      <c r="N248" s="427"/>
      <c r="O248" s="743"/>
      <c r="P248" s="80" t="s">
        <v>2571</v>
      </c>
      <c r="Q248" s="457" t="s">
        <v>2572</v>
      </c>
      <c r="R248" s="80" t="s">
        <v>2573</v>
      </c>
      <c r="S248" s="345">
        <v>2915000</v>
      </c>
      <c r="T248" s="46"/>
      <c r="U248" s="598">
        <v>59</v>
      </c>
      <c r="V248" s="273" t="s">
        <v>2811</v>
      </c>
      <c r="W248" s="345">
        <v>2915000</v>
      </c>
      <c r="X248" s="598">
        <v>151</v>
      </c>
      <c r="Y248" s="273" t="s">
        <v>2769</v>
      </c>
      <c r="Z248" s="345">
        <v>2915000</v>
      </c>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row>
    <row r="249" spans="1:131" s="50" customFormat="1" ht="15" x14ac:dyDescent="0.25">
      <c r="A249" s="693"/>
      <c r="B249" s="690"/>
      <c r="C249" s="690"/>
      <c r="D249" s="410"/>
      <c r="E249" s="415"/>
      <c r="F249" s="418"/>
      <c r="G249" s="410"/>
      <c r="H249" s="423"/>
      <c r="I249" s="418"/>
      <c r="J249" s="423"/>
      <c r="K249" s="423"/>
      <c r="L249" s="410"/>
      <c r="M249" s="410"/>
      <c r="N249" s="427"/>
      <c r="O249" s="743"/>
      <c r="P249" s="80" t="s">
        <v>2574</v>
      </c>
      <c r="Q249" s="457" t="s">
        <v>2575</v>
      </c>
      <c r="R249" s="80" t="s">
        <v>2576</v>
      </c>
      <c r="S249" s="528">
        <v>3803350</v>
      </c>
      <c r="T249" s="46"/>
      <c r="U249" s="598"/>
      <c r="V249" s="273"/>
      <c r="W249" s="345"/>
      <c r="X249" s="598"/>
      <c r="Y249" s="273"/>
      <c r="Z249" s="3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row>
    <row r="250" spans="1:131" s="50" customFormat="1" ht="15" x14ac:dyDescent="0.25">
      <c r="A250" s="693"/>
      <c r="B250" s="690"/>
      <c r="C250" s="690"/>
      <c r="D250" s="410"/>
      <c r="E250" s="415"/>
      <c r="F250" s="418"/>
      <c r="G250" s="410"/>
      <c r="H250" s="423"/>
      <c r="I250" s="418"/>
      <c r="J250" s="423"/>
      <c r="K250" s="423"/>
      <c r="L250" s="410"/>
      <c r="M250" s="410"/>
      <c r="N250" s="427"/>
      <c r="O250" s="743"/>
      <c r="P250" s="80" t="s">
        <v>2577</v>
      </c>
      <c r="Q250" s="457" t="s">
        <v>2578</v>
      </c>
      <c r="R250" s="80" t="s">
        <v>2579</v>
      </c>
      <c r="S250" s="345">
        <v>2055810</v>
      </c>
      <c r="T250" s="46"/>
      <c r="U250" s="598">
        <v>58</v>
      </c>
      <c r="V250" s="273" t="s">
        <v>2811</v>
      </c>
      <c r="W250" s="345">
        <v>2055810</v>
      </c>
      <c r="X250" s="598">
        <v>150</v>
      </c>
      <c r="Y250" s="273" t="s">
        <v>2769</v>
      </c>
      <c r="Z250" s="345">
        <v>2055810</v>
      </c>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row>
    <row r="251" spans="1:131" s="50" customFormat="1" ht="15" x14ac:dyDescent="0.25">
      <c r="A251" s="693"/>
      <c r="B251" s="690"/>
      <c r="C251" s="690"/>
      <c r="D251" s="410"/>
      <c r="E251" s="415"/>
      <c r="F251" s="418"/>
      <c r="G251" s="410"/>
      <c r="H251" s="423"/>
      <c r="I251" s="418"/>
      <c r="J251" s="423"/>
      <c r="K251" s="423"/>
      <c r="L251" s="410"/>
      <c r="M251" s="410"/>
      <c r="N251" s="427"/>
      <c r="O251" s="743"/>
      <c r="P251" s="80" t="s">
        <v>2535</v>
      </c>
      <c r="Q251" s="457" t="s">
        <v>2580</v>
      </c>
      <c r="R251" s="80" t="s">
        <v>2581</v>
      </c>
      <c r="S251" s="528">
        <v>30000000</v>
      </c>
      <c r="T251" s="46"/>
      <c r="U251" s="598"/>
      <c r="V251" s="273"/>
      <c r="W251" s="345"/>
      <c r="X251" s="598"/>
      <c r="Y251" s="273"/>
      <c r="Z251" s="3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row>
    <row r="252" spans="1:131" s="50" customFormat="1" ht="27" x14ac:dyDescent="0.25">
      <c r="A252" s="693"/>
      <c r="B252" s="690"/>
      <c r="C252" s="690"/>
      <c r="D252" s="44" t="s">
        <v>1041</v>
      </c>
      <c r="E252" s="8" t="s">
        <v>143</v>
      </c>
      <c r="F252" s="66"/>
      <c r="G252" s="44"/>
      <c r="H252" s="289">
        <v>1000000</v>
      </c>
      <c r="I252" s="66"/>
      <c r="J252" s="66"/>
      <c r="K252" s="289">
        <v>2355000</v>
      </c>
      <c r="L252" s="274">
        <v>73000000</v>
      </c>
      <c r="M252" s="44"/>
      <c r="N252" s="507">
        <f t="shared" si="0"/>
        <v>76355000</v>
      </c>
      <c r="O252" s="743"/>
      <c r="P252" s="80" t="s">
        <v>1969</v>
      </c>
      <c r="Q252" s="457">
        <v>385</v>
      </c>
      <c r="R252" s="80" t="s">
        <v>1968</v>
      </c>
      <c r="S252" s="345">
        <v>2400000</v>
      </c>
      <c r="T252" s="46"/>
      <c r="U252" s="598">
        <v>39</v>
      </c>
      <c r="V252" s="273">
        <v>44774</v>
      </c>
      <c r="W252" s="345">
        <v>2400000</v>
      </c>
      <c r="X252" s="598">
        <v>103</v>
      </c>
      <c r="Y252" s="273">
        <v>44775</v>
      </c>
      <c r="Z252" s="349">
        <v>2400000</v>
      </c>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row>
    <row r="253" spans="1:131" s="50" customFormat="1" ht="15" x14ac:dyDescent="0.25">
      <c r="A253" s="693"/>
      <c r="B253" s="690"/>
      <c r="C253" s="690"/>
      <c r="D253" s="408"/>
      <c r="E253" s="438"/>
      <c r="F253" s="416"/>
      <c r="G253" s="408"/>
      <c r="H253" s="421"/>
      <c r="I253" s="416"/>
      <c r="J253" s="416"/>
      <c r="K253" s="421"/>
      <c r="L253" s="416"/>
      <c r="M253" s="408"/>
      <c r="N253" s="425"/>
      <c r="O253" s="743"/>
      <c r="P253" s="80" t="s">
        <v>2568</v>
      </c>
      <c r="Q253" s="457" t="s">
        <v>2569</v>
      </c>
      <c r="R253" s="80" t="s">
        <v>2570</v>
      </c>
      <c r="S253" s="345">
        <v>73955000</v>
      </c>
      <c r="T253" s="46"/>
      <c r="U253" s="598">
        <v>61</v>
      </c>
      <c r="V253" s="273" t="s">
        <v>2769</v>
      </c>
      <c r="W253" s="345">
        <v>73955000</v>
      </c>
      <c r="X253" s="598">
        <v>163</v>
      </c>
      <c r="Y253" s="273" t="s">
        <v>2772</v>
      </c>
      <c r="Z253" s="345">
        <v>73955000</v>
      </c>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row>
    <row r="254" spans="1:131" s="50" customFormat="1" ht="25.5" customHeight="1" x14ac:dyDescent="0.25">
      <c r="A254" s="693"/>
      <c r="B254" s="690"/>
      <c r="C254" s="690"/>
      <c r="D254" s="692" t="s">
        <v>1033</v>
      </c>
      <c r="E254" s="689" t="s">
        <v>982</v>
      </c>
      <c r="F254" s="728"/>
      <c r="G254" s="692"/>
      <c r="H254" s="710">
        <v>500000000</v>
      </c>
      <c r="I254" s="728"/>
      <c r="J254" s="710">
        <v>357500000</v>
      </c>
      <c r="K254" s="728"/>
      <c r="L254" s="692"/>
      <c r="M254" s="728">
        <v>500000000</v>
      </c>
      <c r="N254" s="810">
        <f t="shared" si="0"/>
        <v>357500000</v>
      </c>
      <c r="O254" s="743"/>
      <c r="P254" s="78" t="s">
        <v>984</v>
      </c>
      <c r="Q254" s="154" t="s">
        <v>885</v>
      </c>
      <c r="R254" s="159">
        <v>44656</v>
      </c>
      <c r="S254" s="66"/>
      <c r="T254" s="46"/>
      <c r="U254" s="598"/>
      <c r="V254" s="273"/>
      <c r="W254" s="274"/>
      <c r="X254" s="598"/>
      <c r="Y254" s="273"/>
      <c r="Z254" s="151"/>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row>
    <row r="255" spans="1:131" s="50" customFormat="1" ht="15" x14ac:dyDescent="0.25">
      <c r="A255" s="693"/>
      <c r="B255" s="690"/>
      <c r="C255" s="690"/>
      <c r="D255" s="694"/>
      <c r="E255" s="691"/>
      <c r="F255" s="729"/>
      <c r="G255" s="694"/>
      <c r="H255" s="712"/>
      <c r="I255" s="729"/>
      <c r="J255" s="712"/>
      <c r="K255" s="729"/>
      <c r="L255" s="694"/>
      <c r="M255" s="729"/>
      <c r="N255" s="811"/>
      <c r="O255" s="743"/>
      <c r="P255" s="78" t="s">
        <v>2095</v>
      </c>
      <c r="Q255" s="457">
        <v>547</v>
      </c>
      <c r="R255" s="159" t="s">
        <v>2094</v>
      </c>
      <c r="S255" s="289">
        <v>357500000</v>
      </c>
      <c r="T255" s="46"/>
      <c r="U255" s="598"/>
      <c r="V255" s="273"/>
      <c r="W255" s="274"/>
      <c r="X255" s="598"/>
      <c r="Y255" s="273"/>
      <c r="Z255" s="151"/>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row>
    <row r="256" spans="1:131" s="50" customFormat="1" ht="54" x14ac:dyDescent="0.25">
      <c r="A256" s="693"/>
      <c r="B256" s="690"/>
      <c r="C256" s="690"/>
      <c r="D256" s="165" t="s">
        <v>1042</v>
      </c>
      <c r="E256" s="8" t="s">
        <v>983</v>
      </c>
      <c r="F256" s="66"/>
      <c r="G256" s="44"/>
      <c r="H256" s="289">
        <v>1200000</v>
      </c>
      <c r="I256" s="66"/>
      <c r="J256" s="66"/>
      <c r="K256" s="289">
        <v>11350000</v>
      </c>
      <c r="L256" s="44"/>
      <c r="M256" s="44"/>
      <c r="N256" s="507">
        <f t="shared" si="0"/>
        <v>12550000</v>
      </c>
      <c r="O256" s="743"/>
      <c r="P256" s="44"/>
      <c r="Q256" s="44"/>
      <c r="R256" s="44"/>
      <c r="S256" s="44"/>
      <c r="T256" s="46"/>
      <c r="U256" s="598"/>
      <c r="V256" s="273"/>
      <c r="W256" s="598"/>
      <c r="X256" s="598"/>
      <c r="Y256" s="273"/>
      <c r="Z256" s="151"/>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row>
    <row r="257" spans="1:131" s="50" customFormat="1" ht="54" x14ac:dyDescent="0.25">
      <c r="A257" s="224"/>
      <c r="B257" s="226"/>
      <c r="C257" s="226"/>
      <c r="D257" s="225" t="s">
        <v>790</v>
      </c>
      <c r="E257" s="227" t="s">
        <v>235</v>
      </c>
      <c r="F257" s="222"/>
      <c r="G257" s="225"/>
      <c r="H257" s="233"/>
      <c r="I257" s="287">
        <v>41654510</v>
      </c>
      <c r="J257" s="233"/>
      <c r="K257" s="287">
        <v>960000</v>
      </c>
      <c r="L257" s="225"/>
      <c r="M257" s="225"/>
      <c r="N257" s="507">
        <f t="shared" si="0"/>
        <v>42614510</v>
      </c>
      <c r="O257" s="743"/>
      <c r="P257" s="228"/>
      <c r="Q257" s="228"/>
      <c r="R257" s="228"/>
      <c r="S257" s="228"/>
      <c r="T257" s="46"/>
      <c r="U257" s="598"/>
      <c r="V257" s="273"/>
      <c r="W257" s="598"/>
      <c r="X257" s="598"/>
      <c r="Y257" s="273"/>
      <c r="Z257" s="151"/>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row>
    <row r="258" spans="1:131" s="50" customFormat="1" ht="27" x14ac:dyDescent="0.25">
      <c r="A258" s="224"/>
      <c r="B258" s="226"/>
      <c r="C258" s="226"/>
      <c r="D258" s="225" t="s">
        <v>1278</v>
      </c>
      <c r="E258" s="227" t="s">
        <v>165</v>
      </c>
      <c r="F258" s="222"/>
      <c r="G258" s="225"/>
      <c r="H258" s="233"/>
      <c r="I258" s="233"/>
      <c r="J258" s="287">
        <v>64593310</v>
      </c>
      <c r="K258" s="287">
        <v>10221290</v>
      </c>
      <c r="L258" s="334"/>
      <c r="M258" s="225"/>
      <c r="N258" s="507">
        <f t="shared" si="0"/>
        <v>74814600</v>
      </c>
      <c r="O258" s="743"/>
      <c r="P258" s="80" t="s">
        <v>2535</v>
      </c>
      <c r="Q258" s="459" t="s">
        <v>2536</v>
      </c>
      <c r="R258" s="80" t="s">
        <v>2537</v>
      </c>
      <c r="S258" s="528">
        <v>12000000</v>
      </c>
      <c r="T258" s="46"/>
      <c r="U258" s="598"/>
      <c r="V258" s="273"/>
      <c r="W258" s="598"/>
      <c r="X258" s="598"/>
      <c r="Y258" s="273"/>
      <c r="Z258" s="151"/>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row>
    <row r="259" spans="1:131" s="50" customFormat="1" ht="27" x14ac:dyDescent="0.25">
      <c r="A259" s="224"/>
      <c r="B259" s="226"/>
      <c r="C259" s="226"/>
      <c r="D259" s="225" t="s">
        <v>1279</v>
      </c>
      <c r="E259" s="227" t="s">
        <v>1174</v>
      </c>
      <c r="F259" s="222"/>
      <c r="G259" s="225"/>
      <c r="H259" s="233"/>
      <c r="I259" s="233"/>
      <c r="J259" s="287">
        <v>11000000</v>
      </c>
      <c r="K259" s="287">
        <v>12371000</v>
      </c>
      <c r="L259" s="225"/>
      <c r="M259" s="225"/>
      <c r="N259" s="507">
        <f t="shared" si="0"/>
        <v>23371000</v>
      </c>
      <c r="O259" s="743"/>
      <c r="P259" s="228"/>
      <c r="Q259" s="228"/>
      <c r="R259" s="228"/>
      <c r="S259" s="228"/>
      <c r="T259" s="46"/>
      <c r="U259" s="598"/>
      <c r="V259" s="273"/>
      <c r="W259" s="598"/>
      <c r="X259" s="598"/>
      <c r="Y259" s="273"/>
      <c r="Z259" s="151"/>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row>
    <row r="260" spans="1:131" s="50" customFormat="1" ht="25.5" x14ac:dyDescent="0.25">
      <c r="A260" s="224"/>
      <c r="B260" s="226"/>
      <c r="C260" s="226"/>
      <c r="D260" s="225" t="s">
        <v>793</v>
      </c>
      <c r="E260" s="227" t="s">
        <v>239</v>
      </c>
      <c r="F260" s="222"/>
      <c r="G260" s="225"/>
      <c r="H260" s="233"/>
      <c r="I260" s="233"/>
      <c r="J260" s="287">
        <v>10000000</v>
      </c>
      <c r="K260" s="287">
        <v>4487725</v>
      </c>
      <c r="L260" s="334"/>
      <c r="M260" s="225"/>
      <c r="N260" s="507">
        <f t="shared" si="0"/>
        <v>14487725</v>
      </c>
      <c r="O260" s="743"/>
      <c r="P260" s="228"/>
      <c r="Q260" s="228"/>
      <c r="R260" s="228"/>
      <c r="S260" s="228"/>
      <c r="T260" s="46"/>
      <c r="U260" s="598"/>
      <c r="V260" s="273"/>
      <c r="W260" s="598"/>
      <c r="X260" s="598"/>
      <c r="Y260" s="273"/>
      <c r="Z260" s="151"/>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row>
    <row r="261" spans="1:131" s="50" customFormat="1" ht="25.5" x14ac:dyDescent="0.25">
      <c r="A261" s="224"/>
      <c r="B261" s="226"/>
      <c r="C261" s="226"/>
      <c r="D261" s="225" t="s">
        <v>1280</v>
      </c>
      <c r="E261" s="227" t="s">
        <v>1137</v>
      </c>
      <c r="F261" s="222"/>
      <c r="G261" s="225"/>
      <c r="H261" s="233"/>
      <c r="I261" s="233"/>
      <c r="J261" s="287">
        <v>21100000</v>
      </c>
      <c r="K261" s="287">
        <v>21100000</v>
      </c>
      <c r="L261" s="334">
        <v>12000000</v>
      </c>
      <c r="M261" s="225"/>
      <c r="N261" s="507">
        <f t="shared" si="0"/>
        <v>54200000</v>
      </c>
      <c r="O261" s="743"/>
      <c r="P261" s="78" t="s">
        <v>1764</v>
      </c>
      <c r="Q261" s="457">
        <v>638</v>
      </c>
      <c r="R261" s="80" t="s">
        <v>1778</v>
      </c>
      <c r="S261" s="528">
        <v>178857</v>
      </c>
      <c r="T261" s="46"/>
      <c r="U261" s="598"/>
      <c r="V261" s="273"/>
      <c r="W261" s="598"/>
      <c r="X261" s="598"/>
      <c r="Y261" s="273"/>
      <c r="Z261" s="151"/>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row>
    <row r="262" spans="1:131" s="50" customFormat="1" ht="15" x14ac:dyDescent="0.25">
      <c r="A262" s="447"/>
      <c r="B262" s="449"/>
      <c r="C262" s="449"/>
      <c r="D262" s="448"/>
      <c r="E262" s="453"/>
      <c r="F262" s="450"/>
      <c r="G262" s="448"/>
      <c r="H262" s="233"/>
      <c r="I262" s="233"/>
      <c r="J262" s="287"/>
      <c r="K262" s="287"/>
      <c r="L262" s="450"/>
      <c r="M262" s="448"/>
      <c r="N262" s="65"/>
      <c r="O262" s="743"/>
      <c r="P262" s="78" t="s">
        <v>2535</v>
      </c>
      <c r="Q262" s="489" t="s">
        <v>2759</v>
      </c>
      <c r="R262" s="80" t="s">
        <v>2760</v>
      </c>
      <c r="S262" s="528">
        <v>54021143</v>
      </c>
      <c r="T262" s="46"/>
      <c r="U262" s="598"/>
      <c r="V262" s="273"/>
      <c r="W262" s="598"/>
      <c r="X262" s="598"/>
      <c r="Y262" s="273"/>
      <c r="Z262" s="151"/>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row>
    <row r="263" spans="1:131" s="50" customFormat="1" ht="27" x14ac:dyDescent="0.25">
      <c r="A263" s="224"/>
      <c r="B263" s="226"/>
      <c r="C263" s="226"/>
      <c r="D263" s="225" t="s">
        <v>1281</v>
      </c>
      <c r="E263" s="227" t="s">
        <v>246</v>
      </c>
      <c r="F263" s="222"/>
      <c r="G263" s="225"/>
      <c r="H263" s="233"/>
      <c r="I263" s="233"/>
      <c r="J263" s="287">
        <v>82800000</v>
      </c>
      <c r="K263" s="287">
        <v>84427840</v>
      </c>
      <c r="L263" s="225"/>
      <c r="M263" s="225"/>
      <c r="N263" s="507">
        <f t="shared" si="0"/>
        <v>167227840</v>
      </c>
      <c r="O263" s="743"/>
      <c r="P263" s="80" t="s">
        <v>2535</v>
      </c>
      <c r="Q263" s="459" t="s">
        <v>2761</v>
      </c>
      <c r="R263" s="80" t="s">
        <v>2762</v>
      </c>
      <c r="S263" s="528">
        <v>67227840</v>
      </c>
      <c r="T263" s="46"/>
      <c r="U263" s="598"/>
      <c r="V263" s="273"/>
      <c r="W263" s="598"/>
      <c r="X263" s="598"/>
      <c r="Y263" s="273"/>
      <c r="Z263" s="151"/>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row>
    <row r="264" spans="1:131" s="50" customFormat="1" ht="25.5" x14ac:dyDescent="0.25">
      <c r="A264" s="224"/>
      <c r="B264" s="226"/>
      <c r="C264" s="226"/>
      <c r="D264" s="225" t="s">
        <v>1282</v>
      </c>
      <c r="E264" s="227" t="s">
        <v>146</v>
      </c>
      <c r="F264" s="222"/>
      <c r="G264" s="225"/>
      <c r="H264" s="233"/>
      <c r="I264" s="233"/>
      <c r="J264" s="287">
        <v>6100000</v>
      </c>
      <c r="K264" s="287">
        <v>6100000</v>
      </c>
      <c r="L264" s="225"/>
      <c r="M264" s="225"/>
      <c r="N264" s="507">
        <f t="shared" si="0"/>
        <v>12200000</v>
      </c>
      <c r="O264" s="743"/>
      <c r="P264" s="228"/>
      <c r="Q264" s="228"/>
      <c r="R264" s="228"/>
      <c r="S264" s="228"/>
      <c r="T264" s="46"/>
      <c r="U264" s="598"/>
      <c r="V264" s="273"/>
      <c r="W264" s="598"/>
      <c r="X264" s="598"/>
      <c r="Y264" s="273"/>
      <c r="Z264" s="151"/>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row>
    <row r="265" spans="1:131" s="50" customFormat="1" ht="27" x14ac:dyDescent="0.25">
      <c r="A265" s="224"/>
      <c r="B265" s="226"/>
      <c r="C265" s="226"/>
      <c r="D265" s="225" t="s">
        <v>794</v>
      </c>
      <c r="E265" s="227" t="s">
        <v>117</v>
      </c>
      <c r="F265" s="222"/>
      <c r="G265" s="225"/>
      <c r="H265" s="233"/>
      <c r="I265" s="233"/>
      <c r="J265" s="287">
        <v>12666000</v>
      </c>
      <c r="K265" s="287">
        <v>24500000</v>
      </c>
      <c r="L265" s="225"/>
      <c r="M265" s="225"/>
      <c r="N265" s="507">
        <f t="shared" si="0"/>
        <v>37166000</v>
      </c>
      <c r="O265" s="743"/>
      <c r="P265" s="228"/>
      <c r="Q265" s="228"/>
      <c r="R265" s="228"/>
      <c r="S265" s="228"/>
      <c r="T265" s="46"/>
      <c r="U265" s="598"/>
      <c r="V265" s="273"/>
      <c r="W265" s="598"/>
      <c r="X265" s="598"/>
      <c r="Y265" s="273"/>
      <c r="Z265" s="151"/>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row>
    <row r="266" spans="1:131" s="50" customFormat="1" ht="25.5" x14ac:dyDescent="0.25">
      <c r="A266" s="224"/>
      <c r="B266" s="226"/>
      <c r="C266" s="226"/>
      <c r="D266" s="225" t="s">
        <v>799</v>
      </c>
      <c r="E266" s="227" t="s">
        <v>144</v>
      </c>
      <c r="F266" s="222"/>
      <c r="G266" s="225"/>
      <c r="H266" s="233"/>
      <c r="I266" s="233"/>
      <c r="J266" s="287">
        <v>16000000</v>
      </c>
      <c r="K266" s="233"/>
      <c r="L266" s="225"/>
      <c r="M266" s="225"/>
      <c r="N266" s="507">
        <f t="shared" si="0"/>
        <v>16000000</v>
      </c>
      <c r="O266" s="743"/>
      <c r="P266" s="228"/>
      <c r="Q266" s="228"/>
      <c r="R266" s="228"/>
      <c r="S266" s="228"/>
      <c r="T266" s="46"/>
      <c r="U266" s="598"/>
      <c r="V266" s="273"/>
      <c r="W266" s="598"/>
      <c r="X266" s="598"/>
      <c r="Y266" s="273"/>
      <c r="Z266" s="151"/>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row>
    <row r="267" spans="1:131" s="50" customFormat="1" ht="25.5" x14ac:dyDescent="0.25">
      <c r="A267" s="224"/>
      <c r="B267" s="226"/>
      <c r="C267" s="226"/>
      <c r="D267" s="225" t="s">
        <v>1284</v>
      </c>
      <c r="E267" s="227" t="s">
        <v>1149</v>
      </c>
      <c r="F267" s="222"/>
      <c r="G267" s="225"/>
      <c r="H267" s="233"/>
      <c r="I267" s="233"/>
      <c r="J267" s="233"/>
      <c r="K267" s="287">
        <v>200000</v>
      </c>
      <c r="L267" s="334">
        <v>1000000</v>
      </c>
      <c r="M267" s="225"/>
      <c r="N267" s="507">
        <f t="shared" si="0"/>
        <v>1200000</v>
      </c>
      <c r="O267" s="743"/>
      <c r="P267" s="228"/>
      <c r="Q267" s="228"/>
      <c r="R267" s="228"/>
      <c r="S267" s="228"/>
      <c r="T267" s="46"/>
      <c r="U267" s="598"/>
      <c r="V267" s="273"/>
      <c r="W267" s="598"/>
      <c r="X267" s="598"/>
      <c r="Y267" s="273"/>
      <c r="Z267" s="151"/>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row>
    <row r="268" spans="1:131" s="50" customFormat="1" ht="40.5" x14ac:dyDescent="0.25">
      <c r="A268" s="224"/>
      <c r="B268" s="226"/>
      <c r="C268" s="226"/>
      <c r="D268" s="225" t="s">
        <v>1285</v>
      </c>
      <c r="E268" s="227" t="s">
        <v>139</v>
      </c>
      <c r="F268" s="222"/>
      <c r="G268" s="225"/>
      <c r="H268" s="233"/>
      <c r="I268" s="233"/>
      <c r="J268" s="233"/>
      <c r="K268" s="287">
        <v>220000</v>
      </c>
      <c r="L268" s="334">
        <v>2000000</v>
      </c>
      <c r="M268" s="225"/>
      <c r="N268" s="507">
        <f t="shared" si="0"/>
        <v>2220000</v>
      </c>
      <c r="O268" s="743"/>
      <c r="P268" s="228"/>
      <c r="Q268" s="228"/>
      <c r="R268" s="228"/>
      <c r="S268" s="228"/>
      <c r="T268" s="46"/>
      <c r="U268" s="598"/>
      <c r="V268" s="273"/>
      <c r="W268" s="598"/>
      <c r="X268" s="598"/>
      <c r="Y268" s="273"/>
      <c r="Z268" s="151"/>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row>
    <row r="269" spans="1:131" s="50" customFormat="1" ht="27" x14ac:dyDescent="0.25">
      <c r="A269" s="224"/>
      <c r="B269" s="226"/>
      <c r="C269" s="226"/>
      <c r="D269" s="225" t="s">
        <v>1286</v>
      </c>
      <c r="E269" s="227" t="s">
        <v>247</v>
      </c>
      <c r="F269" s="222"/>
      <c r="G269" s="225"/>
      <c r="H269" s="233"/>
      <c r="I269" s="233"/>
      <c r="J269" s="233"/>
      <c r="K269" s="287">
        <v>296000</v>
      </c>
      <c r="L269" s="334">
        <v>3000000</v>
      </c>
      <c r="M269" s="225"/>
      <c r="N269" s="507">
        <f t="shared" si="0"/>
        <v>3296000</v>
      </c>
      <c r="O269" s="743"/>
      <c r="P269" s="228"/>
      <c r="Q269" s="228"/>
      <c r="R269" s="228"/>
      <c r="S269" s="228"/>
      <c r="T269" s="46"/>
      <c r="U269" s="598"/>
      <c r="V269" s="273"/>
      <c r="W269" s="598"/>
      <c r="X269" s="598"/>
      <c r="Y269" s="273"/>
      <c r="Z269" s="151"/>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row>
    <row r="270" spans="1:131" s="50" customFormat="1" ht="25.5" x14ac:dyDescent="0.25">
      <c r="A270" s="224"/>
      <c r="B270" s="226"/>
      <c r="C270" s="226"/>
      <c r="D270" s="225" t="s">
        <v>1287</v>
      </c>
      <c r="E270" s="227" t="s">
        <v>1283</v>
      </c>
      <c r="F270" s="222"/>
      <c r="G270" s="225"/>
      <c r="H270" s="233"/>
      <c r="I270" s="233"/>
      <c r="J270" s="233"/>
      <c r="K270" s="287">
        <v>624400</v>
      </c>
      <c r="L270" s="334">
        <v>2000000</v>
      </c>
      <c r="M270" s="225"/>
      <c r="N270" s="507">
        <f t="shared" si="0"/>
        <v>2624400</v>
      </c>
      <c r="O270" s="743"/>
      <c r="P270" s="228"/>
      <c r="Q270" s="228"/>
      <c r="R270" s="228"/>
      <c r="S270" s="228"/>
      <c r="T270" s="46"/>
      <c r="U270" s="598"/>
      <c r="V270" s="273"/>
      <c r="W270" s="598"/>
      <c r="X270" s="598"/>
      <c r="Y270" s="273"/>
      <c r="Z270" s="151"/>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row>
    <row r="271" spans="1:131" s="50" customFormat="1" ht="27" x14ac:dyDescent="0.25">
      <c r="A271" s="224"/>
      <c r="B271" s="226"/>
      <c r="C271" s="226"/>
      <c r="D271" s="225" t="s">
        <v>1288</v>
      </c>
      <c r="E271" s="227" t="s">
        <v>20</v>
      </c>
      <c r="F271" s="222"/>
      <c r="G271" s="225"/>
      <c r="H271" s="233"/>
      <c r="I271" s="233"/>
      <c r="J271" s="233"/>
      <c r="K271" s="287">
        <v>1168000</v>
      </c>
      <c r="L271" s="334">
        <v>8000000</v>
      </c>
      <c r="M271" s="225"/>
      <c r="N271" s="507">
        <f t="shared" si="0"/>
        <v>9168000</v>
      </c>
      <c r="O271" s="743"/>
      <c r="P271" s="78" t="s">
        <v>1764</v>
      </c>
      <c r="Q271" s="457">
        <v>643</v>
      </c>
      <c r="R271" s="80" t="s">
        <v>1967</v>
      </c>
      <c r="S271" s="528">
        <v>22111</v>
      </c>
      <c r="T271" s="46"/>
      <c r="U271" s="598"/>
      <c r="V271" s="273"/>
      <c r="W271" s="598"/>
      <c r="X271" s="598"/>
      <c r="Y271" s="273"/>
      <c r="Z271" s="151"/>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row>
    <row r="272" spans="1:131" s="50" customFormat="1" ht="25.5" x14ac:dyDescent="0.25">
      <c r="A272" s="224"/>
      <c r="B272" s="226"/>
      <c r="C272" s="226"/>
      <c r="D272" s="225" t="s">
        <v>1289</v>
      </c>
      <c r="E272" s="227" t="s">
        <v>245</v>
      </c>
      <c r="F272" s="222"/>
      <c r="G272" s="225"/>
      <c r="H272" s="233"/>
      <c r="I272" s="233"/>
      <c r="J272" s="233"/>
      <c r="K272" s="287">
        <v>122000</v>
      </c>
      <c r="L272" s="334">
        <v>1000000</v>
      </c>
      <c r="M272" s="225"/>
      <c r="N272" s="507">
        <f t="shared" si="0"/>
        <v>1122000</v>
      </c>
      <c r="O272" s="743"/>
      <c r="P272" s="228"/>
      <c r="Q272" s="228"/>
      <c r="R272" s="228"/>
      <c r="S272" s="228"/>
      <c r="T272" s="46"/>
      <c r="U272" s="598"/>
      <c r="V272" s="273"/>
      <c r="W272" s="598"/>
      <c r="X272" s="598"/>
      <c r="Y272" s="273"/>
      <c r="Z272" s="151"/>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row>
    <row r="273" spans="1:131" s="50" customFormat="1" ht="25.5" x14ac:dyDescent="0.25">
      <c r="A273" s="224"/>
      <c r="B273" s="226"/>
      <c r="C273" s="226"/>
      <c r="D273" s="225" t="s">
        <v>1290</v>
      </c>
      <c r="E273" s="227" t="s">
        <v>150</v>
      </c>
      <c r="F273" s="222"/>
      <c r="G273" s="225"/>
      <c r="H273" s="233"/>
      <c r="I273" s="233"/>
      <c r="J273" s="233"/>
      <c r="K273" s="287">
        <v>536000</v>
      </c>
      <c r="L273" s="334">
        <v>15000000</v>
      </c>
      <c r="M273" s="225"/>
      <c r="N273" s="507">
        <f t="shared" si="0"/>
        <v>15536000</v>
      </c>
      <c r="O273" s="743"/>
      <c r="P273" s="80" t="s">
        <v>2535</v>
      </c>
      <c r="Q273" s="459" t="s">
        <v>2538</v>
      </c>
      <c r="R273" s="80" t="s">
        <v>2539</v>
      </c>
      <c r="S273" s="528">
        <v>15536000</v>
      </c>
      <c r="T273" s="46"/>
      <c r="U273" s="598"/>
      <c r="V273" s="273"/>
      <c r="W273" s="598"/>
      <c r="X273" s="598"/>
      <c r="Y273" s="273"/>
      <c r="Z273" s="151"/>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row>
    <row r="274" spans="1:131" s="107" customFormat="1" ht="15" x14ac:dyDescent="0.25">
      <c r="A274" s="92"/>
      <c r="B274" s="92"/>
      <c r="C274" s="92"/>
      <c r="D274" s="92"/>
      <c r="E274" s="104"/>
      <c r="F274" s="101"/>
      <c r="G274" s="92"/>
      <c r="H274" s="93"/>
      <c r="I274" s="239"/>
      <c r="J274" s="239"/>
      <c r="K274" s="93"/>
      <c r="L274" s="92"/>
      <c r="M274" s="92"/>
      <c r="N274" s="102">
        <f>SUM(N8:N273)</f>
        <v>2274216876</v>
      </c>
      <c r="O274" s="101"/>
      <c r="P274" s="105"/>
      <c r="Q274" s="86"/>
      <c r="R274" s="95"/>
      <c r="S274" s="103">
        <f>SUM(S8:S273)</f>
        <v>1111405335</v>
      </c>
      <c r="T274" s="89"/>
      <c r="U274" s="86"/>
      <c r="V274" s="95"/>
      <c r="W274" s="103">
        <f>SUM(W8:W273)</f>
        <v>544551373</v>
      </c>
      <c r="X274" s="86"/>
      <c r="Y274" s="95"/>
      <c r="Z274" s="103">
        <f>SUM(Z8:Z273)</f>
        <v>544551373</v>
      </c>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row>
    <row r="275" spans="1:131" s="50" customFormat="1" ht="15" x14ac:dyDescent="0.25">
      <c r="A275" s="692" t="s">
        <v>233</v>
      </c>
      <c r="B275" s="689" t="s">
        <v>234</v>
      </c>
      <c r="C275" s="689" t="s">
        <v>226</v>
      </c>
      <c r="D275" s="692" t="s">
        <v>790</v>
      </c>
      <c r="E275" s="689" t="s">
        <v>235</v>
      </c>
      <c r="F275" s="710">
        <v>492746494</v>
      </c>
      <c r="G275" s="692"/>
      <c r="H275" s="692"/>
      <c r="I275" s="710">
        <v>244713130</v>
      </c>
      <c r="J275" s="728"/>
      <c r="K275" s="692"/>
      <c r="L275" s="692"/>
      <c r="M275" s="728">
        <v>47084675</v>
      </c>
      <c r="N275" s="810">
        <f>+F275+G275+H275+I275+J275+K275+L275-M275</f>
        <v>690374949</v>
      </c>
      <c r="O275" s="742">
        <v>690374949</v>
      </c>
      <c r="P275" s="78" t="s">
        <v>687</v>
      </c>
      <c r="Q275" s="457" t="s">
        <v>702</v>
      </c>
      <c r="R275" s="78" t="s">
        <v>717</v>
      </c>
      <c r="S275" s="66">
        <v>42353480</v>
      </c>
      <c r="T275" s="46"/>
      <c r="U275" s="44">
        <v>3</v>
      </c>
      <c r="V275" s="79">
        <v>44588</v>
      </c>
      <c r="W275" s="66">
        <v>42353480</v>
      </c>
      <c r="X275" s="38">
        <v>1</v>
      </c>
      <c r="Y275" s="122" t="s">
        <v>856</v>
      </c>
      <c r="Z275" s="275">
        <v>42353480</v>
      </c>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row>
    <row r="276" spans="1:131" s="50" customFormat="1" ht="15" x14ac:dyDescent="0.25">
      <c r="A276" s="693"/>
      <c r="B276" s="690"/>
      <c r="C276" s="690"/>
      <c r="D276" s="693"/>
      <c r="E276" s="690"/>
      <c r="F276" s="711"/>
      <c r="G276" s="693"/>
      <c r="H276" s="693"/>
      <c r="I276" s="711"/>
      <c r="J276" s="735"/>
      <c r="K276" s="693"/>
      <c r="L276" s="693"/>
      <c r="M276" s="735"/>
      <c r="N276" s="812"/>
      <c r="O276" s="743"/>
      <c r="P276" s="78" t="s">
        <v>688</v>
      </c>
      <c r="Q276" s="457" t="s">
        <v>703</v>
      </c>
      <c r="R276" s="78" t="s">
        <v>718</v>
      </c>
      <c r="S276" s="66">
        <v>32919830</v>
      </c>
      <c r="T276" s="46"/>
      <c r="U276" s="44">
        <v>10</v>
      </c>
      <c r="V276" s="79">
        <v>44589</v>
      </c>
      <c r="W276" s="66">
        <v>32919830</v>
      </c>
      <c r="X276" s="38">
        <v>6</v>
      </c>
      <c r="Y276" s="122" t="s">
        <v>856</v>
      </c>
      <c r="Z276" s="275">
        <v>32919830</v>
      </c>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row>
    <row r="277" spans="1:131" s="50" customFormat="1" ht="15" x14ac:dyDescent="0.25">
      <c r="A277" s="693"/>
      <c r="B277" s="690"/>
      <c r="C277" s="690"/>
      <c r="D277" s="693"/>
      <c r="E277" s="690"/>
      <c r="F277" s="711"/>
      <c r="G277" s="693"/>
      <c r="H277" s="693"/>
      <c r="I277" s="711"/>
      <c r="J277" s="735"/>
      <c r="K277" s="693"/>
      <c r="L277" s="693"/>
      <c r="M277" s="735"/>
      <c r="N277" s="812"/>
      <c r="O277" s="743"/>
      <c r="P277" s="78" t="s">
        <v>689</v>
      </c>
      <c r="Q277" s="457" t="s">
        <v>704</v>
      </c>
      <c r="R277" s="78" t="s">
        <v>719</v>
      </c>
      <c r="S277" s="274">
        <v>21867007</v>
      </c>
      <c r="T277" s="46"/>
      <c r="U277" s="44">
        <v>19</v>
      </c>
      <c r="V277" s="79">
        <v>44589</v>
      </c>
      <c r="W277" s="66">
        <v>21867007</v>
      </c>
      <c r="X277" s="38">
        <v>1</v>
      </c>
      <c r="Y277" s="122" t="s">
        <v>856</v>
      </c>
      <c r="Z277" s="274">
        <v>21867007</v>
      </c>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row>
    <row r="278" spans="1:131" s="50" customFormat="1" ht="15" x14ac:dyDescent="0.25">
      <c r="A278" s="693"/>
      <c r="B278" s="690"/>
      <c r="C278" s="690"/>
      <c r="D278" s="693"/>
      <c r="E278" s="690"/>
      <c r="F278" s="711"/>
      <c r="G278" s="693"/>
      <c r="H278" s="693"/>
      <c r="I278" s="711"/>
      <c r="J278" s="735"/>
      <c r="K278" s="693"/>
      <c r="L278" s="693"/>
      <c r="M278" s="735"/>
      <c r="N278" s="812"/>
      <c r="O278" s="743"/>
      <c r="P278" s="78" t="s">
        <v>690</v>
      </c>
      <c r="Q278" s="457" t="s">
        <v>705</v>
      </c>
      <c r="R278" s="78" t="s">
        <v>720</v>
      </c>
      <c r="S278" s="66">
        <v>37080000</v>
      </c>
      <c r="T278" s="46"/>
      <c r="U278" s="44">
        <v>12</v>
      </c>
      <c r="V278" s="79">
        <v>44589</v>
      </c>
      <c r="W278" s="66">
        <v>37080000</v>
      </c>
      <c r="X278" s="38">
        <v>4</v>
      </c>
      <c r="Y278" s="122" t="s">
        <v>856</v>
      </c>
      <c r="Z278" s="275">
        <v>37080000</v>
      </c>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row>
    <row r="279" spans="1:131" s="50" customFormat="1" ht="15" x14ac:dyDescent="0.25">
      <c r="A279" s="693"/>
      <c r="B279" s="690"/>
      <c r="C279" s="690"/>
      <c r="D279" s="693"/>
      <c r="E279" s="690"/>
      <c r="F279" s="711"/>
      <c r="G279" s="693"/>
      <c r="H279" s="693"/>
      <c r="I279" s="711"/>
      <c r="J279" s="735"/>
      <c r="K279" s="693"/>
      <c r="L279" s="693"/>
      <c r="M279" s="735"/>
      <c r="N279" s="812"/>
      <c r="O279" s="743"/>
      <c r="P279" s="78" t="s">
        <v>691</v>
      </c>
      <c r="Q279" s="457" t="s">
        <v>706</v>
      </c>
      <c r="R279" s="78" t="s">
        <v>721</v>
      </c>
      <c r="S279" s="66">
        <v>39932815</v>
      </c>
      <c r="T279" s="46"/>
      <c r="U279" s="44">
        <v>20</v>
      </c>
      <c r="V279" s="79">
        <v>44589</v>
      </c>
      <c r="W279" s="66">
        <v>39932815</v>
      </c>
      <c r="X279" s="38">
        <v>2</v>
      </c>
      <c r="Y279" s="122" t="s">
        <v>856</v>
      </c>
      <c r="Z279" s="275">
        <v>39932815</v>
      </c>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row>
    <row r="280" spans="1:131" s="50" customFormat="1" ht="15" x14ac:dyDescent="0.25">
      <c r="A280" s="693"/>
      <c r="B280" s="690"/>
      <c r="C280" s="690"/>
      <c r="D280" s="693"/>
      <c r="E280" s="690"/>
      <c r="F280" s="711"/>
      <c r="G280" s="693"/>
      <c r="H280" s="693"/>
      <c r="I280" s="711"/>
      <c r="J280" s="735"/>
      <c r="K280" s="693"/>
      <c r="L280" s="693"/>
      <c r="M280" s="735"/>
      <c r="N280" s="812"/>
      <c r="O280" s="743"/>
      <c r="P280" s="78" t="s">
        <v>692</v>
      </c>
      <c r="Q280" s="457" t="s">
        <v>707</v>
      </c>
      <c r="R280" s="78" t="s">
        <v>722</v>
      </c>
      <c r="S280" s="66">
        <v>16808393</v>
      </c>
      <c r="T280" s="46"/>
      <c r="U280" s="44">
        <v>15</v>
      </c>
      <c r="V280" s="79">
        <v>44589</v>
      </c>
      <c r="W280" s="66">
        <v>16808393</v>
      </c>
      <c r="X280" s="38">
        <v>10</v>
      </c>
      <c r="Y280" s="122" t="s">
        <v>856</v>
      </c>
      <c r="Z280" s="275">
        <v>16808393</v>
      </c>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row>
    <row r="281" spans="1:131" s="50" customFormat="1" ht="15" x14ac:dyDescent="0.25">
      <c r="A281" s="693"/>
      <c r="B281" s="690"/>
      <c r="C281" s="690"/>
      <c r="D281" s="693"/>
      <c r="E281" s="690"/>
      <c r="F281" s="711"/>
      <c r="G281" s="693"/>
      <c r="H281" s="693"/>
      <c r="I281" s="711"/>
      <c r="J281" s="735"/>
      <c r="K281" s="693"/>
      <c r="L281" s="693"/>
      <c r="M281" s="735"/>
      <c r="N281" s="812"/>
      <c r="O281" s="743"/>
      <c r="P281" s="78" t="s">
        <v>693</v>
      </c>
      <c r="Q281" s="457" t="s">
        <v>708</v>
      </c>
      <c r="R281" s="78" t="s">
        <v>723</v>
      </c>
      <c r="S281" s="66">
        <v>18932933</v>
      </c>
      <c r="T281" s="46"/>
      <c r="U281" s="44">
        <v>13</v>
      </c>
      <c r="V281" s="79">
        <v>44589</v>
      </c>
      <c r="W281" s="66">
        <v>18932933</v>
      </c>
      <c r="X281" s="38">
        <v>9</v>
      </c>
      <c r="Y281" s="122" t="s">
        <v>856</v>
      </c>
      <c r="Z281" s="275">
        <v>18932933</v>
      </c>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row>
    <row r="282" spans="1:131" s="50" customFormat="1" ht="15" x14ac:dyDescent="0.25">
      <c r="A282" s="693"/>
      <c r="B282" s="690"/>
      <c r="C282" s="690"/>
      <c r="D282" s="693"/>
      <c r="E282" s="690"/>
      <c r="F282" s="711"/>
      <c r="G282" s="693"/>
      <c r="H282" s="693"/>
      <c r="I282" s="711"/>
      <c r="J282" s="735"/>
      <c r="K282" s="693"/>
      <c r="L282" s="693"/>
      <c r="M282" s="735"/>
      <c r="N282" s="812"/>
      <c r="O282" s="743"/>
      <c r="P282" s="78" t="s">
        <v>694</v>
      </c>
      <c r="Q282" s="457" t="s">
        <v>709</v>
      </c>
      <c r="R282" s="78" t="s">
        <v>724</v>
      </c>
      <c r="S282" s="66">
        <v>11873333</v>
      </c>
      <c r="T282" s="46"/>
      <c r="U282" s="44">
        <v>17</v>
      </c>
      <c r="V282" s="79">
        <v>44589</v>
      </c>
      <c r="W282" s="66">
        <v>11873333</v>
      </c>
      <c r="X282" s="38">
        <v>11</v>
      </c>
      <c r="Y282" s="122" t="s">
        <v>856</v>
      </c>
      <c r="Z282" s="275">
        <v>11873333</v>
      </c>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row>
    <row r="283" spans="1:131" s="50" customFormat="1" ht="15" x14ac:dyDescent="0.25">
      <c r="A283" s="693"/>
      <c r="B283" s="690"/>
      <c r="C283" s="690"/>
      <c r="D283" s="693"/>
      <c r="E283" s="690"/>
      <c r="F283" s="711"/>
      <c r="G283" s="693"/>
      <c r="H283" s="693"/>
      <c r="I283" s="711"/>
      <c r="J283" s="735"/>
      <c r="K283" s="693"/>
      <c r="L283" s="693"/>
      <c r="M283" s="735"/>
      <c r="N283" s="812"/>
      <c r="O283" s="743"/>
      <c r="P283" s="78" t="s">
        <v>695</v>
      </c>
      <c r="Q283" s="457" t="s">
        <v>710</v>
      </c>
      <c r="R283" s="78" t="s">
        <v>725</v>
      </c>
      <c r="S283" s="274">
        <v>15610398</v>
      </c>
      <c r="T283" s="46"/>
      <c r="U283" s="44">
        <v>9</v>
      </c>
      <c r="V283" s="79">
        <v>44589</v>
      </c>
      <c r="W283" s="66">
        <v>15610398</v>
      </c>
      <c r="X283" s="38">
        <v>7</v>
      </c>
      <c r="Y283" s="122" t="s">
        <v>856</v>
      </c>
      <c r="Z283" s="274">
        <v>15610398</v>
      </c>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row>
    <row r="284" spans="1:131" s="50" customFormat="1" ht="15" x14ac:dyDescent="0.25">
      <c r="A284" s="693"/>
      <c r="B284" s="690"/>
      <c r="C284" s="690"/>
      <c r="D284" s="693"/>
      <c r="E284" s="690"/>
      <c r="F284" s="711"/>
      <c r="G284" s="693"/>
      <c r="H284" s="693"/>
      <c r="I284" s="711"/>
      <c r="J284" s="735"/>
      <c r="K284" s="693"/>
      <c r="L284" s="693"/>
      <c r="M284" s="735"/>
      <c r="N284" s="812"/>
      <c r="O284" s="743"/>
      <c r="P284" s="78" t="s">
        <v>696</v>
      </c>
      <c r="Q284" s="457" t="s">
        <v>711</v>
      </c>
      <c r="R284" s="78" t="s">
        <v>726</v>
      </c>
      <c r="S284" s="66">
        <v>52666666</v>
      </c>
      <c r="T284" s="46"/>
      <c r="U284" s="44">
        <v>5</v>
      </c>
      <c r="V284" s="79">
        <v>44588</v>
      </c>
      <c r="W284" s="66">
        <v>52666666</v>
      </c>
      <c r="X284" s="38">
        <v>2</v>
      </c>
      <c r="Y284" s="122" t="s">
        <v>856</v>
      </c>
      <c r="Z284" s="275">
        <v>52666666</v>
      </c>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row>
    <row r="285" spans="1:131" s="50" customFormat="1" ht="15" x14ac:dyDescent="0.25">
      <c r="A285" s="693"/>
      <c r="B285" s="690"/>
      <c r="C285" s="690"/>
      <c r="D285" s="693"/>
      <c r="E285" s="690"/>
      <c r="F285" s="711"/>
      <c r="G285" s="693"/>
      <c r="H285" s="693"/>
      <c r="I285" s="711"/>
      <c r="J285" s="735"/>
      <c r="K285" s="693"/>
      <c r="L285" s="693"/>
      <c r="M285" s="735"/>
      <c r="N285" s="812"/>
      <c r="O285" s="743"/>
      <c r="P285" s="78" t="s">
        <v>697</v>
      </c>
      <c r="Q285" s="457" t="s">
        <v>712</v>
      </c>
      <c r="R285" s="78" t="s">
        <v>727</v>
      </c>
      <c r="S285" s="66">
        <v>32495058</v>
      </c>
      <c r="T285" s="46"/>
      <c r="U285" s="44">
        <v>6</v>
      </c>
      <c r="V285" s="79">
        <v>44588</v>
      </c>
      <c r="W285" s="66">
        <v>32495058</v>
      </c>
      <c r="X285" s="38">
        <v>3</v>
      </c>
      <c r="Y285" s="122" t="s">
        <v>856</v>
      </c>
      <c r="Z285" s="275">
        <v>32495058</v>
      </c>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row>
    <row r="286" spans="1:131" s="50" customFormat="1" ht="15" x14ac:dyDescent="0.25">
      <c r="A286" s="693"/>
      <c r="B286" s="690"/>
      <c r="C286" s="690"/>
      <c r="D286" s="693"/>
      <c r="E286" s="690"/>
      <c r="F286" s="711"/>
      <c r="G286" s="693"/>
      <c r="H286" s="693"/>
      <c r="I286" s="711"/>
      <c r="J286" s="735"/>
      <c r="K286" s="693"/>
      <c r="L286" s="693"/>
      <c r="M286" s="735"/>
      <c r="N286" s="812"/>
      <c r="O286" s="743"/>
      <c r="P286" s="78" t="s">
        <v>698</v>
      </c>
      <c r="Q286" s="457" t="s">
        <v>713</v>
      </c>
      <c r="R286" s="78" t="s">
        <v>728</v>
      </c>
      <c r="S286" s="66">
        <v>32919830</v>
      </c>
      <c r="T286" s="46"/>
      <c r="U286" s="44">
        <v>16</v>
      </c>
      <c r="V286" s="79">
        <v>44589</v>
      </c>
      <c r="W286" s="66">
        <v>32919830</v>
      </c>
      <c r="X286" s="38">
        <v>8</v>
      </c>
      <c r="Y286" s="122" t="s">
        <v>856</v>
      </c>
      <c r="Z286" s="275">
        <v>32919830</v>
      </c>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row>
    <row r="287" spans="1:131" s="50" customFormat="1" ht="15" x14ac:dyDescent="0.25">
      <c r="A287" s="693"/>
      <c r="B287" s="690"/>
      <c r="C287" s="690"/>
      <c r="D287" s="693"/>
      <c r="E287" s="690"/>
      <c r="F287" s="711"/>
      <c r="G287" s="693"/>
      <c r="H287" s="693"/>
      <c r="I287" s="711"/>
      <c r="J287" s="735"/>
      <c r="K287" s="693"/>
      <c r="L287" s="693"/>
      <c r="M287" s="735"/>
      <c r="N287" s="812"/>
      <c r="O287" s="743"/>
      <c r="P287" s="78" t="s">
        <v>699</v>
      </c>
      <c r="Q287" s="457" t="s">
        <v>714</v>
      </c>
      <c r="R287" s="78" t="s">
        <v>729</v>
      </c>
      <c r="S287" s="274">
        <v>5103400</v>
      </c>
      <c r="T287" s="46"/>
      <c r="U287" s="44">
        <v>1</v>
      </c>
      <c r="V287" s="79">
        <v>44588</v>
      </c>
      <c r="W287" s="66">
        <v>5103400</v>
      </c>
      <c r="X287" s="38">
        <v>4</v>
      </c>
      <c r="Y287" s="122" t="s">
        <v>856</v>
      </c>
      <c r="Z287" s="275">
        <v>5103400</v>
      </c>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row>
    <row r="288" spans="1:131" s="50" customFormat="1" ht="15" x14ac:dyDescent="0.25">
      <c r="A288" s="693"/>
      <c r="B288" s="690"/>
      <c r="C288" s="690"/>
      <c r="D288" s="693"/>
      <c r="E288" s="690"/>
      <c r="F288" s="711"/>
      <c r="G288" s="693"/>
      <c r="H288" s="693"/>
      <c r="I288" s="711"/>
      <c r="J288" s="735"/>
      <c r="K288" s="693"/>
      <c r="L288" s="693"/>
      <c r="M288" s="735"/>
      <c r="N288" s="812"/>
      <c r="O288" s="743"/>
      <c r="P288" s="78" t="s">
        <v>700</v>
      </c>
      <c r="Q288" s="457" t="s">
        <v>715</v>
      </c>
      <c r="R288" s="78" t="s">
        <v>730</v>
      </c>
      <c r="S288" s="66">
        <v>18723333</v>
      </c>
      <c r="T288" s="46"/>
      <c r="U288" s="44">
        <v>11</v>
      </c>
      <c r="V288" s="79">
        <v>44589</v>
      </c>
      <c r="W288" s="66">
        <v>18723333</v>
      </c>
      <c r="X288" s="38">
        <v>5</v>
      </c>
      <c r="Y288" s="122" t="s">
        <v>856</v>
      </c>
      <c r="Z288" s="275">
        <v>18723333</v>
      </c>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row>
    <row r="289" spans="1:131" s="50" customFormat="1" ht="15" x14ac:dyDescent="0.25">
      <c r="A289" s="693"/>
      <c r="B289" s="690"/>
      <c r="C289" s="690"/>
      <c r="D289" s="693"/>
      <c r="E289" s="690"/>
      <c r="F289" s="711"/>
      <c r="G289" s="693"/>
      <c r="H289" s="693"/>
      <c r="I289" s="711"/>
      <c r="J289" s="735"/>
      <c r="K289" s="693"/>
      <c r="L289" s="693"/>
      <c r="M289" s="735"/>
      <c r="N289" s="812"/>
      <c r="O289" s="743"/>
      <c r="P289" s="78" t="s">
        <v>701</v>
      </c>
      <c r="Q289" s="457" t="s">
        <v>716</v>
      </c>
      <c r="R289" s="78" t="s">
        <v>731</v>
      </c>
      <c r="S289" s="274">
        <v>7266480</v>
      </c>
      <c r="T289" s="46"/>
      <c r="U289" s="44">
        <v>18</v>
      </c>
      <c r="V289" s="79">
        <v>44589</v>
      </c>
      <c r="W289" s="66">
        <v>7266480</v>
      </c>
      <c r="X289" s="38">
        <v>3</v>
      </c>
      <c r="Y289" s="122" t="s">
        <v>856</v>
      </c>
      <c r="Z289" s="274">
        <v>7266480</v>
      </c>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row>
    <row r="290" spans="1:131" s="50" customFormat="1" ht="15" x14ac:dyDescent="0.25">
      <c r="A290" s="693"/>
      <c r="B290" s="690"/>
      <c r="C290" s="690"/>
      <c r="D290" s="693"/>
      <c r="E290" s="690"/>
      <c r="F290" s="711"/>
      <c r="G290" s="693"/>
      <c r="H290" s="693"/>
      <c r="I290" s="711"/>
      <c r="J290" s="735"/>
      <c r="K290" s="693"/>
      <c r="L290" s="693"/>
      <c r="M290" s="735"/>
      <c r="N290" s="812"/>
      <c r="O290" s="743"/>
      <c r="P290" s="78" t="s">
        <v>1845</v>
      </c>
      <c r="Q290" s="457" t="s">
        <v>1847</v>
      </c>
      <c r="R290" s="78" t="s">
        <v>1843</v>
      </c>
      <c r="S290" s="274">
        <v>123725320</v>
      </c>
      <c r="T290" s="46"/>
      <c r="U290" s="330">
        <v>36</v>
      </c>
      <c r="V290" s="79">
        <v>44764</v>
      </c>
      <c r="W290" s="274">
        <v>123725320</v>
      </c>
      <c r="X290" s="329">
        <v>99</v>
      </c>
      <c r="Y290" s="273" t="s">
        <v>2859</v>
      </c>
      <c r="Z290" s="275">
        <v>15866666</v>
      </c>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row>
    <row r="291" spans="1:131" s="50" customFormat="1" ht="15" x14ac:dyDescent="0.25">
      <c r="A291" s="693"/>
      <c r="B291" s="690"/>
      <c r="C291" s="690"/>
      <c r="D291" s="693"/>
      <c r="E291" s="690"/>
      <c r="F291" s="711"/>
      <c r="G291" s="693"/>
      <c r="H291" s="693"/>
      <c r="I291" s="711"/>
      <c r="J291" s="735"/>
      <c r="K291" s="693"/>
      <c r="L291" s="693"/>
      <c r="M291" s="735"/>
      <c r="N291" s="812"/>
      <c r="O291" s="743"/>
      <c r="P291" s="78"/>
      <c r="Q291" s="330"/>
      <c r="R291" s="78"/>
      <c r="S291" s="274"/>
      <c r="T291" s="46"/>
      <c r="U291" s="330"/>
      <c r="V291" s="79"/>
      <c r="W291" s="274"/>
      <c r="X291" s="377">
        <v>100</v>
      </c>
      <c r="Y291" s="273" t="s">
        <v>2859</v>
      </c>
      <c r="Z291" s="275">
        <v>15730000</v>
      </c>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row>
    <row r="292" spans="1:131" s="50" customFormat="1" ht="15" x14ac:dyDescent="0.25">
      <c r="A292" s="693"/>
      <c r="B292" s="690"/>
      <c r="C292" s="690"/>
      <c r="D292" s="693"/>
      <c r="E292" s="690"/>
      <c r="F292" s="711"/>
      <c r="G292" s="693"/>
      <c r="H292" s="693"/>
      <c r="I292" s="711"/>
      <c r="J292" s="735"/>
      <c r="K292" s="693"/>
      <c r="L292" s="693"/>
      <c r="M292" s="735"/>
      <c r="N292" s="812"/>
      <c r="O292" s="743"/>
      <c r="P292" s="78"/>
      <c r="Q292" s="330"/>
      <c r="R292" s="78"/>
      <c r="S292" s="274"/>
      <c r="T292" s="46"/>
      <c r="U292" s="330"/>
      <c r="V292" s="79"/>
      <c r="W292" s="274"/>
      <c r="X292" s="377">
        <v>102</v>
      </c>
      <c r="Y292" s="273" t="s">
        <v>2859</v>
      </c>
      <c r="Z292" s="275">
        <v>16212863</v>
      </c>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row>
    <row r="293" spans="1:131" s="50" customFormat="1" ht="15" x14ac:dyDescent="0.25">
      <c r="A293" s="693"/>
      <c r="B293" s="690"/>
      <c r="C293" s="690"/>
      <c r="D293" s="693"/>
      <c r="E293" s="690"/>
      <c r="F293" s="711"/>
      <c r="G293" s="693"/>
      <c r="H293" s="693"/>
      <c r="I293" s="711"/>
      <c r="J293" s="735"/>
      <c r="K293" s="693"/>
      <c r="L293" s="693"/>
      <c r="M293" s="735"/>
      <c r="N293" s="812"/>
      <c r="O293" s="743"/>
      <c r="P293" s="78"/>
      <c r="Q293" s="330"/>
      <c r="R293" s="78"/>
      <c r="S293" s="274"/>
      <c r="T293" s="46"/>
      <c r="U293" s="330"/>
      <c r="V293" s="79"/>
      <c r="W293" s="274"/>
      <c r="X293" s="377">
        <v>104</v>
      </c>
      <c r="Y293" s="273" t="s">
        <v>2862</v>
      </c>
      <c r="Z293" s="275">
        <v>12600000</v>
      </c>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row>
    <row r="294" spans="1:131" s="50" customFormat="1" ht="15" x14ac:dyDescent="0.25">
      <c r="A294" s="693"/>
      <c r="B294" s="690"/>
      <c r="C294" s="690"/>
      <c r="D294" s="693"/>
      <c r="E294" s="690"/>
      <c r="F294" s="711"/>
      <c r="G294" s="693"/>
      <c r="H294" s="693"/>
      <c r="I294" s="711"/>
      <c r="J294" s="735"/>
      <c r="K294" s="693"/>
      <c r="L294" s="693"/>
      <c r="M294" s="735"/>
      <c r="N294" s="812"/>
      <c r="O294" s="743"/>
      <c r="P294" s="78"/>
      <c r="Q294" s="330"/>
      <c r="R294" s="78"/>
      <c r="S294" s="274"/>
      <c r="T294" s="46"/>
      <c r="U294" s="330"/>
      <c r="V294" s="79"/>
      <c r="W294" s="274"/>
      <c r="X294" s="377">
        <v>106</v>
      </c>
      <c r="Y294" s="273" t="s">
        <v>2880</v>
      </c>
      <c r="Z294" s="275">
        <v>15456000</v>
      </c>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row>
    <row r="295" spans="1:131" s="50" customFormat="1" ht="15" x14ac:dyDescent="0.25">
      <c r="A295" s="693"/>
      <c r="B295" s="690"/>
      <c r="C295" s="690"/>
      <c r="D295" s="693"/>
      <c r="E295" s="690"/>
      <c r="F295" s="711"/>
      <c r="G295" s="693"/>
      <c r="H295" s="693"/>
      <c r="I295" s="711"/>
      <c r="J295" s="735"/>
      <c r="K295" s="693"/>
      <c r="L295" s="693"/>
      <c r="M295" s="735"/>
      <c r="N295" s="812"/>
      <c r="O295" s="743"/>
      <c r="P295" s="78"/>
      <c r="Q295" s="330"/>
      <c r="R295" s="78"/>
      <c r="S295" s="274"/>
      <c r="T295" s="46"/>
      <c r="U295" s="330"/>
      <c r="V295" s="79"/>
      <c r="W295" s="274"/>
      <c r="X295" s="377">
        <v>110</v>
      </c>
      <c r="Y295" s="273" t="s">
        <v>2867</v>
      </c>
      <c r="Z295" s="275">
        <v>2743125</v>
      </c>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row>
    <row r="296" spans="1:131" s="50" customFormat="1" ht="15" x14ac:dyDescent="0.25">
      <c r="A296" s="693"/>
      <c r="B296" s="690"/>
      <c r="C296" s="690"/>
      <c r="D296" s="693"/>
      <c r="E296" s="690"/>
      <c r="F296" s="711"/>
      <c r="G296" s="693"/>
      <c r="H296" s="693"/>
      <c r="I296" s="711"/>
      <c r="J296" s="735"/>
      <c r="K296" s="693"/>
      <c r="L296" s="693"/>
      <c r="M296" s="735"/>
      <c r="N296" s="812"/>
      <c r="O296" s="743"/>
      <c r="P296" s="78"/>
      <c r="Q296" s="330"/>
      <c r="R296" s="78"/>
      <c r="S296" s="274"/>
      <c r="T296" s="46"/>
      <c r="U296" s="330"/>
      <c r="V296" s="79"/>
      <c r="W296" s="274"/>
      <c r="X296" s="377">
        <v>121</v>
      </c>
      <c r="Y296" s="273" t="s">
        <v>2857</v>
      </c>
      <c r="Z296" s="275">
        <v>21000000</v>
      </c>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row>
    <row r="297" spans="1:131" s="50" customFormat="1" ht="15" x14ac:dyDescent="0.25">
      <c r="A297" s="693"/>
      <c r="B297" s="690"/>
      <c r="C297" s="690"/>
      <c r="D297" s="693"/>
      <c r="E297" s="690"/>
      <c r="F297" s="711"/>
      <c r="G297" s="693"/>
      <c r="H297" s="693"/>
      <c r="I297" s="711"/>
      <c r="J297" s="735"/>
      <c r="K297" s="693"/>
      <c r="L297" s="693"/>
      <c r="M297" s="735"/>
      <c r="N297" s="812"/>
      <c r="O297" s="743"/>
      <c r="P297" s="78"/>
      <c r="Q297" s="330"/>
      <c r="R297" s="78"/>
      <c r="S297" s="274"/>
      <c r="T297" s="46"/>
      <c r="U297" s="330"/>
      <c r="V297" s="79"/>
      <c r="W297" s="274"/>
      <c r="X297" s="377">
        <v>126</v>
      </c>
      <c r="Y297" s="273" t="s">
        <v>2845</v>
      </c>
      <c r="Z297" s="275">
        <v>14700000</v>
      </c>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row>
    <row r="298" spans="1:131" s="50" customFormat="1" ht="15" x14ac:dyDescent="0.25">
      <c r="A298" s="693"/>
      <c r="B298" s="690"/>
      <c r="C298" s="690"/>
      <c r="D298" s="693"/>
      <c r="E298" s="690"/>
      <c r="F298" s="711"/>
      <c r="G298" s="693"/>
      <c r="H298" s="693"/>
      <c r="I298" s="711"/>
      <c r="J298" s="735"/>
      <c r="K298" s="693"/>
      <c r="L298" s="693"/>
      <c r="M298" s="735"/>
      <c r="N298" s="812"/>
      <c r="O298" s="743"/>
      <c r="P298" s="78"/>
      <c r="Q298" s="330"/>
      <c r="R298" s="78"/>
      <c r="S298" s="274"/>
      <c r="T298" s="46"/>
      <c r="U298" s="330"/>
      <c r="V298" s="79"/>
      <c r="W298" s="274"/>
      <c r="X298" s="377">
        <v>128</v>
      </c>
      <c r="Y298" s="273" t="s">
        <v>2845</v>
      </c>
      <c r="Z298" s="275">
        <v>9416666</v>
      </c>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row>
    <row r="299" spans="1:131" s="50" customFormat="1" ht="15" x14ac:dyDescent="0.25">
      <c r="A299" s="693"/>
      <c r="B299" s="690"/>
      <c r="C299" s="690"/>
      <c r="D299" s="693"/>
      <c r="E299" s="690"/>
      <c r="F299" s="711"/>
      <c r="G299" s="693"/>
      <c r="H299" s="693"/>
      <c r="I299" s="711"/>
      <c r="J299" s="735"/>
      <c r="K299" s="693"/>
      <c r="L299" s="693"/>
      <c r="M299" s="735"/>
      <c r="N299" s="812"/>
      <c r="O299" s="743"/>
      <c r="P299" s="78" t="s">
        <v>1846</v>
      </c>
      <c r="Q299" s="457" t="s">
        <v>1848</v>
      </c>
      <c r="R299" s="78" t="s">
        <v>1844</v>
      </c>
      <c r="S299" s="274">
        <v>38400000</v>
      </c>
      <c r="T299" s="46"/>
      <c r="U299" s="330">
        <v>40</v>
      </c>
      <c r="V299" s="79">
        <v>44778</v>
      </c>
      <c r="W299" s="274">
        <v>38400000</v>
      </c>
      <c r="X299" s="329">
        <v>111</v>
      </c>
      <c r="Y299" s="273" t="s">
        <v>2860</v>
      </c>
      <c r="Z299" s="275">
        <v>545860</v>
      </c>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row>
    <row r="300" spans="1:131" s="50" customFormat="1" ht="15" x14ac:dyDescent="0.25">
      <c r="A300" s="693"/>
      <c r="B300" s="690"/>
      <c r="C300" s="690"/>
      <c r="D300" s="693"/>
      <c r="E300" s="690"/>
      <c r="F300" s="711"/>
      <c r="G300" s="693"/>
      <c r="H300" s="693"/>
      <c r="I300" s="711"/>
      <c r="J300" s="735"/>
      <c r="K300" s="693"/>
      <c r="L300" s="693"/>
      <c r="M300" s="735"/>
      <c r="N300" s="812"/>
      <c r="O300" s="743"/>
      <c r="P300" s="78"/>
      <c r="Q300" s="330"/>
      <c r="R300" s="78"/>
      <c r="S300" s="274"/>
      <c r="T300" s="46"/>
      <c r="U300" s="330"/>
      <c r="V300" s="79"/>
      <c r="W300" s="274"/>
      <c r="X300" s="377">
        <v>111</v>
      </c>
      <c r="Y300" s="273" t="s">
        <v>2860</v>
      </c>
      <c r="Z300" s="275">
        <v>18654140</v>
      </c>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row>
    <row r="301" spans="1:131" s="50" customFormat="1" ht="15" x14ac:dyDescent="0.25">
      <c r="A301" s="693"/>
      <c r="B301" s="690"/>
      <c r="C301" s="690"/>
      <c r="D301" s="693"/>
      <c r="E301" s="690"/>
      <c r="F301" s="711"/>
      <c r="G301" s="693"/>
      <c r="H301" s="693"/>
      <c r="I301" s="711"/>
      <c r="J301" s="735"/>
      <c r="K301" s="693"/>
      <c r="L301" s="693"/>
      <c r="M301" s="735"/>
      <c r="N301" s="812"/>
      <c r="O301" s="743"/>
      <c r="P301" s="78"/>
      <c r="Q301" s="330"/>
      <c r="R301" s="78"/>
      <c r="S301" s="274"/>
      <c r="T301" s="46"/>
      <c r="U301" s="330"/>
      <c r="V301" s="79"/>
      <c r="W301" s="274"/>
      <c r="X301" s="377">
        <v>122</v>
      </c>
      <c r="Y301" s="273" t="s">
        <v>2842</v>
      </c>
      <c r="Z301" s="275">
        <v>414140</v>
      </c>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row>
    <row r="302" spans="1:131" s="50" customFormat="1" ht="15" x14ac:dyDescent="0.25">
      <c r="A302" s="693"/>
      <c r="B302" s="690"/>
      <c r="C302" s="690"/>
      <c r="D302" s="693"/>
      <c r="E302" s="690"/>
      <c r="F302" s="711"/>
      <c r="G302" s="693"/>
      <c r="H302" s="693"/>
      <c r="I302" s="711"/>
      <c r="J302" s="735"/>
      <c r="K302" s="693"/>
      <c r="L302" s="693"/>
      <c r="M302" s="735"/>
      <c r="N302" s="812"/>
      <c r="O302" s="743"/>
      <c r="P302" s="78"/>
      <c r="Q302" s="330"/>
      <c r="R302" s="78"/>
      <c r="S302" s="274"/>
      <c r="T302" s="46"/>
      <c r="U302" s="330"/>
      <c r="V302" s="79"/>
      <c r="W302" s="274"/>
      <c r="X302" s="377">
        <v>122</v>
      </c>
      <c r="Y302" s="273" t="s">
        <v>2842</v>
      </c>
      <c r="Z302" s="275">
        <v>18785860</v>
      </c>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row>
    <row r="303" spans="1:131" s="107" customFormat="1" ht="15" x14ac:dyDescent="0.25">
      <c r="A303" s="92"/>
      <c r="B303" s="92"/>
      <c r="C303" s="92"/>
      <c r="D303" s="92"/>
      <c r="E303" s="104"/>
      <c r="F303" s="101"/>
      <c r="G303" s="92"/>
      <c r="H303" s="93"/>
      <c r="I303" s="239"/>
      <c r="J303" s="239"/>
      <c r="K303" s="93"/>
      <c r="L303" s="92"/>
      <c r="M303" s="92"/>
      <c r="N303" s="102">
        <f>+N275</f>
        <v>690374949</v>
      </c>
      <c r="O303" s="101"/>
      <c r="P303" s="105"/>
      <c r="Q303" s="86"/>
      <c r="R303" s="95"/>
      <c r="S303" s="103">
        <f>SUM(S275:S299)</f>
        <v>548678276</v>
      </c>
      <c r="T303" s="89"/>
      <c r="U303" s="86"/>
      <c r="V303" s="95"/>
      <c r="W303" s="103">
        <f>SUM(W275:W302)</f>
        <v>548678276</v>
      </c>
      <c r="X303" s="86"/>
      <c r="Y303" s="95"/>
      <c r="Z303" s="103">
        <f>SUM(Z275:Z302)</f>
        <v>548678276</v>
      </c>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row>
    <row r="304" spans="1:131" s="50" customFormat="1" ht="27" x14ac:dyDescent="0.25">
      <c r="A304" s="692" t="s">
        <v>236</v>
      </c>
      <c r="B304" s="689" t="s">
        <v>237</v>
      </c>
      <c r="C304" s="689" t="s">
        <v>226</v>
      </c>
      <c r="D304" s="44" t="s">
        <v>789</v>
      </c>
      <c r="E304" s="8" t="s">
        <v>238</v>
      </c>
      <c r="F304" s="289">
        <v>50963038</v>
      </c>
      <c r="G304" s="44"/>
      <c r="H304" s="45"/>
      <c r="I304" s="290">
        <v>963038</v>
      </c>
      <c r="J304" s="232"/>
      <c r="K304" s="45"/>
      <c r="L304" s="44"/>
      <c r="M304" s="274">
        <v>51026076</v>
      </c>
      <c r="N304" s="507">
        <f t="shared" ref="N304:N306" si="1">+F304+H304+I304+J304+K304+G304+L304-M304</f>
        <v>900000</v>
      </c>
      <c r="O304" s="742">
        <v>1686484643</v>
      </c>
      <c r="P304" s="78" t="s">
        <v>732</v>
      </c>
      <c r="Q304" s="457">
        <v>215</v>
      </c>
      <c r="R304" s="78" t="s">
        <v>733</v>
      </c>
      <c r="S304" s="66">
        <v>900000</v>
      </c>
      <c r="T304" s="46"/>
      <c r="U304" s="44">
        <v>22</v>
      </c>
      <c r="V304" s="79">
        <v>44614</v>
      </c>
      <c r="W304" s="66">
        <v>900000</v>
      </c>
      <c r="X304" s="38">
        <v>16</v>
      </c>
      <c r="Y304" s="122" t="s">
        <v>1050</v>
      </c>
      <c r="Z304" s="275">
        <v>900000</v>
      </c>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row>
    <row r="305" spans="1:131" s="50" customFormat="1" ht="25.5" x14ac:dyDescent="0.25">
      <c r="A305" s="693"/>
      <c r="B305" s="690"/>
      <c r="C305" s="690"/>
      <c r="D305" s="44" t="s">
        <v>793</v>
      </c>
      <c r="E305" s="8" t="s">
        <v>239</v>
      </c>
      <c r="F305" s="289">
        <v>6968275</v>
      </c>
      <c r="G305" s="44"/>
      <c r="H305" s="45"/>
      <c r="I305" s="232"/>
      <c r="J305" s="232"/>
      <c r="K305" s="45"/>
      <c r="L305" s="274">
        <v>7000000</v>
      </c>
      <c r="M305" s="44"/>
      <c r="N305" s="507">
        <f t="shared" si="1"/>
        <v>13968275</v>
      </c>
      <c r="O305" s="743"/>
      <c r="P305" s="44"/>
      <c r="Q305" s="44"/>
      <c r="R305" s="44"/>
      <c r="S305" s="44"/>
      <c r="T305" s="46"/>
      <c r="U305" s="44"/>
      <c r="V305" s="79"/>
      <c r="W305" s="44"/>
      <c r="X305" s="44"/>
      <c r="Y305" s="79"/>
      <c r="Z305" s="148"/>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row>
    <row r="306" spans="1:131" s="50" customFormat="1" ht="27" customHeight="1" x14ac:dyDescent="0.25">
      <c r="A306" s="693"/>
      <c r="B306" s="690"/>
      <c r="C306" s="690"/>
      <c r="D306" s="692" t="s">
        <v>794</v>
      </c>
      <c r="E306" s="689" t="s">
        <v>117</v>
      </c>
      <c r="F306" s="710">
        <v>31390848</v>
      </c>
      <c r="G306" s="692"/>
      <c r="H306" s="692"/>
      <c r="I306" s="710">
        <v>54817274</v>
      </c>
      <c r="J306" s="728"/>
      <c r="K306" s="692"/>
      <c r="L306" s="728">
        <v>49000000</v>
      </c>
      <c r="M306" s="692"/>
      <c r="N306" s="810">
        <f t="shared" si="1"/>
        <v>135208122</v>
      </c>
      <c r="O306" s="743"/>
      <c r="P306" s="80" t="s">
        <v>1575</v>
      </c>
      <c r="Q306" s="457" t="s">
        <v>1583</v>
      </c>
      <c r="R306" s="78" t="s">
        <v>1579</v>
      </c>
      <c r="S306" s="345">
        <v>13815000</v>
      </c>
      <c r="T306" s="46"/>
      <c r="U306" s="44">
        <v>39</v>
      </c>
      <c r="V306" s="79">
        <v>44774</v>
      </c>
      <c r="W306" s="345">
        <v>13815000</v>
      </c>
      <c r="X306" s="44">
        <v>103</v>
      </c>
      <c r="Y306" s="79">
        <v>44775</v>
      </c>
      <c r="Z306" s="349">
        <v>13815000</v>
      </c>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row>
    <row r="307" spans="1:131" s="50" customFormat="1" ht="15" x14ac:dyDescent="0.25">
      <c r="A307" s="693"/>
      <c r="B307" s="690"/>
      <c r="C307" s="690"/>
      <c r="D307" s="693"/>
      <c r="E307" s="690"/>
      <c r="F307" s="711"/>
      <c r="G307" s="693"/>
      <c r="H307" s="693"/>
      <c r="I307" s="711"/>
      <c r="J307" s="735"/>
      <c r="K307" s="693"/>
      <c r="L307" s="735"/>
      <c r="M307" s="693"/>
      <c r="N307" s="812"/>
      <c r="O307" s="743"/>
      <c r="P307" s="80" t="s">
        <v>1576</v>
      </c>
      <c r="Q307" s="457" t="s">
        <v>1584</v>
      </c>
      <c r="R307" s="78" t="s">
        <v>1580</v>
      </c>
      <c r="S307" s="528">
        <v>5769880</v>
      </c>
      <c r="T307" s="46"/>
      <c r="U307" s="330"/>
      <c r="V307" s="79"/>
      <c r="W307" s="330"/>
      <c r="X307" s="330"/>
      <c r="Y307" s="79"/>
      <c r="Z307" s="148"/>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row>
    <row r="308" spans="1:131" s="50" customFormat="1" ht="15" x14ac:dyDescent="0.25">
      <c r="A308" s="693"/>
      <c r="B308" s="690"/>
      <c r="C308" s="690"/>
      <c r="D308" s="693"/>
      <c r="E308" s="690"/>
      <c r="F308" s="711"/>
      <c r="G308" s="693"/>
      <c r="H308" s="693"/>
      <c r="I308" s="711"/>
      <c r="J308" s="735"/>
      <c r="K308" s="693"/>
      <c r="L308" s="735"/>
      <c r="M308" s="693"/>
      <c r="N308" s="812"/>
      <c r="O308" s="743"/>
      <c r="P308" s="80" t="s">
        <v>1577</v>
      </c>
      <c r="Q308" s="457" t="s">
        <v>1585</v>
      </c>
      <c r="R308" s="78" t="s">
        <v>1581</v>
      </c>
      <c r="S308" s="528">
        <v>810107</v>
      </c>
      <c r="T308" s="46"/>
      <c r="U308" s="330"/>
      <c r="V308" s="79"/>
      <c r="W308" s="330"/>
      <c r="X308" s="330"/>
      <c r="Y308" s="79"/>
      <c r="Z308" s="148"/>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row>
    <row r="309" spans="1:131" s="50" customFormat="1" ht="15" x14ac:dyDescent="0.25">
      <c r="A309" s="693"/>
      <c r="B309" s="690"/>
      <c r="C309" s="690"/>
      <c r="D309" s="694"/>
      <c r="E309" s="691"/>
      <c r="F309" s="712"/>
      <c r="G309" s="694"/>
      <c r="H309" s="694"/>
      <c r="I309" s="712"/>
      <c r="J309" s="729"/>
      <c r="K309" s="694"/>
      <c r="L309" s="729"/>
      <c r="M309" s="694"/>
      <c r="N309" s="811"/>
      <c r="O309" s="743"/>
      <c r="P309" s="80" t="s">
        <v>1578</v>
      </c>
      <c r="Q309" s="457" t="s">
        <v>1586</v>
      </c>
      <c r="R309" s="78" t="s">
        <v>1582</v>
      </c>
      <c r="S309" s="345">
        <v>1833000</v>
      </c>
      <c r="T309" s="46"/>
      <c r="U309" s="330">
        <v>52</v>
      </c>
      <c r="V309" s="79">
        <v>44819</v>
      </c>
      <c r="W309" s="345">
        <v>1833000</v>
      </c>
      <c r="X309" s="330">
        <v>133</v>
      </c>
      <c r="Y309" s="79">
        <v>44823</v>
      </c>
      <c r="Z309" s="349">
        <v>1833000</v>
      </c>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row>
    <row r="310" spans="1:131" s="50" customFormat="1" ht="15" x14ac:dyDescent="0.25">
      <c r="A310" s="693"/>
      <c r="B310" s="690"/>
      <c r="C310" s="690"/>
      <c r="D310" s="409"/>
      <c r="E310" s="414"/>
      <c r="F310" s="422"/>
      <c r="G310" s="409"/>
      <c r="H310" s="409"/>
      <c r="I310" s="422"/>
      <c r="J310" s="417"/>
      <c r="K310" s="409"/>
      <c r="L310" s="417"/>
      <c r="M310" s="409"/>
      <c r="N310" s="426"/>
      <c r="O310" s="743"/>
      <c r="P310" s="80" t="s">
        <v>2582</v>
      </c>
      <c r="Q310" s="457" t="s">
        <v>2583</v>
      </c>
      <c r="R310" s="78" t="s">
        <v>2584</v>
      </c>
      <c r="S310" s="345">
        <v>2915000</v>
      </c>
      <c r="T310" s="46"/>
      <c r="U310" s="330">
        <v>59</v>
      </c>
      <c r="V310" s="79" t="s">
        <v>2811</v>
      </c>
      <c r="W310" s="345">
        <v>2915000</v>
      </c>
      <c r="X310" s="330">
        <v>151</v>
      </c>
      <c r="Y310" s="79" t="s">
        <v>2769</v>
      </c>
      <c r="Z310" s="345">
        <v>2915000</v>
      </c>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row>
    <row r="311" spans="1:131" s="50" customFormat="1" ht="15" x14ac:dyDescent="0.25">
      <c r="A311" s="693"/>
      <c r="B311" s="690"/>
      <c r="C311" s="690"/>
      <c r="D311" s="409"/>
      <c r="E311" s="414"/>
      <c r="F311" s="422"/>
      <c r="G311" s="409"/>
      <c r="H311" s="409"/>
      <c r="I311" s="422"/>
      <c r="J311" s="417"/>
      <c r="K311" s="409"/>
      <c r="L311" s="417"/>
      <c r="M311" s="409"/>
      <c r="N311" s="426"/>
      <c r="O311" s="743"/>
      <c r="P311" s="80" t="s">
        <v>2585</v>
      </c>
      <c r="Q311" s="457" t="s">
        <v>2586</v>
      </c>
      <c r="R311" s="78" t="s">
        <v>2587</v>
      </c>
      <c r="S311" s="528">
        <v>1434150</v>
      </c>
      <c r="T311" s="46"/>
      <c r="U311" s="330"/>
      <c r="V311" s="79"/>
      <c r="W311" s="345"/>
      <c r="X311" s="330"/>
      <c r="Y311" s="79"/>
      <c r="Z311" s="3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row>
    <row r="312" spans="1:131" s="50" customFormat="1" ht="15" x14ac:dyDescent="0.25">
      <c r="A312" s="693"/>
      <c r="B312" s="690"/>
      <c r="C312" s="690"/>
      <c r="D312" s="409"/>
      <c r="E312" s="414"/>
      <c r="F312" s="422"/>
      <c r="G312" s="409"/>
      <c r="H312" s="409"/>
      <c r="I312" s="422"/>
      <c r="J312" s="417"/>
      <c r="K312" s="409"/>
      <c r="L312" s="417"/>
      <c r="M312" s="409"/>
      <c r="N312" s="426"/>
      <c r="O312" s="743"/>
      <c r="P312" s="80" t="s">
        <v>2588</v>
      </c>
      <c r="Q312" s="457" t="s">
        <v>2589</v>
      </c>
      <c r="R312" s="78" t="s">
        <v>2590</v>
      </c>
      <c r="S312" s="345">
        <v>9100000</v>
      </c>
      <c r="T312" s="46"/>
      <c r="U312" s="330">
        <v>66</v>
      </c>
      <c r="V312" s="79" t="s">
        <v>2770</v>
      </c>
      <c r="W312" s="345">
        <v>9100000</v>
      </c>
      <c r="X312" s="330">
        <v>284</v>
      </c>
      <c r="Y312" s="79" t="s">
        <v>2798</v>
      </c>
      <c r="Z312" s="345">
        <v>9100000</v>
      </c>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row>
    <row r="313" spans="1:131" s="50" customFormat="1" ht="15" x14ac:dyDescent="0.25">
      <c r="A313" s="693"/>
      <c r="B313" s="690"/>
      <c r="C313" s="690"/>
      <c r="D313" s="692" t="s">
        <v>791</v>
      </c>
      <c r="E313" s="705" t="s">
        <v>228</v>
      </c>
      <c r="F313" s="710">
        <v>20986950</v>
      </c>
      <c r="G313" s="692"/>
      <c r="H313" s="692"/>
      <c r="I313" s="710">
        <v>11245158</v>
      </c>
      <c r="J313" s="728"/>
      <c r="K313" s="692"/>
      <c r="L313" s="692"/>
      <c r="M313" s="692"/>
      <c r="N313" s="813">
        <f>+F313+G313+H313+I313+J313+K313+L313-M313</f>
        <v>32232108</v>
      </c>
      <c r="O313" s="743"/>
      <c r="P313" s="78" t="s">
        <v>734</v>
      </c>
      <c r="Q313" s="457" t="s">
        <v>738</v>
      </c>
      <c r="R313" s="78" t="s">
        <v>743</v>
      </c>
      <c r="S313" s="66">
        <v>22833333</v>
      </c>
      <c r="T313" s="46"/>
      <c r="U313" s="44">
        <v>7</v>
      </c>
      <c r="V313" s="79">
        <v>44589</v>
      </c>
      <c r="W313" s="66">
        <v>22833333</v>
      </c>
      <c r="X313" s="38">
        <v>5</v>
      </c>
      <c r="Y313" s="122" t="s">
        <v>856</v>
      </c>
      <c r="Z313" s="275">
        <v>22833333</v>
      </c>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c r="EA313" s="49"/>
    </row>
    <row r="314" spans="1:131" s="50" customFormat="1" ht="15" x14ac:dyDescent="0.25">
      <c r="A314" s="693"/>
      <c r="B314" s="690"/>
      <c r="C314" s="690"/>
      <c r="D314" s="693"/>
      <c r="E314" s="706"/>
      <c r="F314" s="711"/>
      <c r="G314" s="693"/>
      <c r="H314" s="693"/>
      <c r="I314" s="711"/>
      <c r="J314" s="735"/>
      <c r="K314" s="693"/>
      <c r="L314" s="693"/>
      <c r="M314" s="693"/>
      <c r="N314" s="814"/>
      <c r="O314" s="743"/>
      <c r="P314" s="78" t="s">
        <v>735</v>
      </c>
      <c r="Q314" s="457" t="s">
        <v>739</v>
      </c>
      <c r="R314" s="78" t="s">
        <v>744</v>
      </c>
      <c r="S314" s="66">
        <v>51500000</v>
      </c>
      <c r="T314" s="46"/>
      <c r="U314" s="44">
        <v>2</v>
      </c>
      <c r="V314" s="79">
        <v>44588</v>
      </c>
      <c r="W314" s="66">
        <v>51500000</v>
      </c>
      <c r="X314" s="38">
        <v>12</v>
      </c>
      <c r="Y314" s="122" t="s">
        <v>856</v>
      </c>
      <c r="Z314" s="275">
        <v>51500000</v>
      </c>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row>
    <row r="315" spans="1:131" s="50" customFormat="1" ht="15" x14ac:dyDescent="0.25">
      <c r="A315" s="693"/>
      <c r="B315" s="690"/>
      <c r="C315" s="690"/>
      <c r="D315" s="693"/>
      <c r="E315" s="706"/>
      <c r="F315" s="711"/>
      <c r="G315" s="693"/>
      <c r="H315" s="693"/>
      <c r="I315" s="711"/>
      <c r="J315" s="735"/>
      <c r="K315" s="693"/>
      <c r="L315" s="693"/>
      <c r="M315" s="693"/>
      <c r="N315" s="814"/>
      <c r="O315" s="743"/>
      <c r="P315" s="78" t="s">
        <v>736</v>
      </c>
      <c r="Q315" s="457" t="s">
        <v>740</v>
      </c>
      <c r="R315" s="78" t="s">
        <v>745</v>
      </c>
      <c r="S315" s="66">
        <v>23833333</v>
      </c>
      <c r="T315" s="46"/>
      <c r="U315" s="44">
        <v>4</v>
      </c>
      <c r="V315" s="79">
        <v>44588</v>
      </c>
      <c r="W315" s="66">
        <v>23833333</v>
      </c>
      <c r="X315" s="38">
        <v>6</v>
      </c>
      <c r="Y315" s="122" t="s">
        <v>856</v>
      </c>
      <c r="Z315" s="275">
        <v>23833333</v>
      </c>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row>
    <row r="316" spans="1:131" s="50" customFormat="1" ht="15" x14ac:dyDescent="0.25">
      <c r="A316" s="693"/>
      <c r="B316" s="690"/>
      <c r="C316" s="690"/>
      <c r="D316" s="693"/>
      <c r="E316" s="706"/>
      <c r="F316" s="711"/>
      <c r="G316" s="693"/>
      <c r="H316" s="693"/>
      <c r="I316" s="711"/>
      <c r="J316" s="735"/>
      <c r="K316" s="693"/>
      <c r="L316" s="693"/>
      <c r="M316" s="693"/>
      <c r="N316" s="814"/>
      <c r="O316" s="743"/>
      <c r="P316" s="78" t="s">
        <v>737</v>
      </c>
      <c r="Q316" s="457" t="s">
        <v>741</v>
      </c>
      <c r="R316" s="78" t="s">
        <v>746</v>
      </c>
      <c r="S316" s="66">
        <v>20550000</v>
      </c>
      <c r="T316" s="46"/>
      <c r="U316" s="44">
        <v>14</v>
      </c>
      <c r="V316" s="79">
        <v>44589</v>
      </c>
      <c r="W316" s="66">
        <v>20550000</v>
      </c>
      <c r="X316" s="38">
        <v>8</v>
      </c>
      <c r="Y316" s="122" t="s">
        <v>856</v>
      </c>
      <c r="Z316" s="275">
        <v>20550000</v>
      </c>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row>
    <row r="317" spans="1:131" s="50" customFormat="1" ht="15" x14ac:dyDescent="0.25">
      <c r="A317" s="693"/>
      <c r="B317" s="690"/>
      <c r="C317" s="690"/>
      <c r="D317" s="693"/>
      <c r="E317" s="706"/>
      <c r="F317" s="711"/>
      <c r="G317" s="693"/>
      <c r="H317" s="693"/>
      <c r="I317" s="711"/>
      <c r="J317" s="735"/>
      <c r="K317" s="693"/>
      <c r="L317" s="693"/>
      <c r="M317" s="693"/>
      <c r="N317" s="814"/>
      <c r="O317" s="743"/>
      <c r="P317" s="78" t="s">
        <v>736</v>
      </c>
      <c r="Q317" s="457" t="s">
        <v>742</v>
      </c>
      <c r="R317" s="78" t="s">
        <v>747</v>
      </c>
      <c r="S317" s="66">
        <v>23833333</v>
      </c>
      <c r="T317" s="46"/>
      <c r="U317" s="242">
        <v>8</v>
      </c>
      <c r="V317" s="79">
        <v>44589</v>
      </c>
      <c r="W317" s="66">
        <v>23833333</v>
      </c>
      <c r="X317" s="250">
        <v>7</v>
      </c>
      <c r="Y317" s="122" t="s">
        <v>856</v>
      </c>
      <c r="Z317" s="275">
        <v>23833333</v>
      </c>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row>
    <row r="318" spans="1:131" s="50" customFormat="1" ht="15" x14ac:dyDescent="0.25">
      <c r="A318" s="693"/>
      <c r="B318" s="690"/>
      <c r="C318" s="690"/>
      <c r="D318" s="693"/>
      <c r="E318" s="706"/>
      <c r="F318" s="711"/>
      <c r="G318" s="693"/>
      <c r="H318" s="693"/>
      <c r="I318" s="711"/>
      <c r="J318" s="735"/>
      <c r="K318" s="693"/>
      <c r="L318" s="693"/>
      <c r="M318" s="693"/>
      <c r="N318" s="814"/>
      <c r="O318" s="743"/>
      <c r="P318" s="78" t="s">
        <v>1496</v>
      </c>
      <c r="Q318" s="457" t="s">
        <v>1508</v>
      </c>
      <c r="R318" s="78" t="s">
        <v>1509</v>
      </c>
      <c r="S318" s="289">
        <v>277254</v>
      </c>
      <c r="T318" s="46"/>
      <c r="U318" s="44"/>
      <c r="V318" s="79"/>
      <c r="W318" s="274"/>
      <c r="X318" s="38"/>
      <c r="Y318" s="122"/>
      <c r="Z318" s="66"/>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row>
    <row r="319" spans="1:131" s="50" customFormat="1" ht="15" x14ac:dyDescent="0.25">
      <c r="A319" s="693"/>
      <c r="B319" s="690"/>
      <c r="C319" s="690"/>
      <c r="D319" s="694"/>
      <c r="E319" s="707"/>
      <c r="F319" s="712"/>
      <c r="G319" s="694"/>
      <c r="H319" s="694"/>
      <c r="I319" s="712"/>
      <c r="J319" s="729"/>
      <c r="K319" s="694"/>
      <c r="L319" s="694"/>
      <c r="M319" s="694"/>
      <c r="N319" s="815"/>
      <c r="O319" s="743"/>
      <c r="P319" s="78" t="s">
        <v>1836</v>
      </c>
      <c r="Q319" s="457">
        <v>563</v>
      </c>
      <c r="R319" s="78" t="s">
        <v>1837</v>
      </c>
      <c r="S319" s="274">
        <v>11245158</v>
      </c>
      <c r="T319" s="46"/>
      <c r="U319" s="330">
        <v>47</v>
      </c>
      <c r="V319" s="79">
        <v>44798</v>
      </c>
      <c r="W319" s="274">
        <v>11245158</v>
      </c>
      <c r="X319" s="329">
        <v>165</v>
      </c>
      <c r="Y319" s="273" t="s">
        <v>2791</v>
      </c>
      <c r="Z319" s="274">
        <v>245158</v>
      </c>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row>
    <row r="320" spans="1:131" s="50" customFormat="1" ht="15" x14ac:dyDescent="0.25">
      <c r="A320" s="693"/>
      <c r="B320" s="690"/>
      <c r="C320" s="690"/>
      <c r="D320" s="589"/>
      <c r="E320" s="596"/>
      <c r="F320" s="594"/>
      <c r="G320" s="589"/>
      <c r="H320" s="589"/>
      <c r="I320" s="594"/>
      <c r="J320" s="593"/>
      <c r="K320" s="589"/>
      <c r="L320" s="589"/>
      <c r="M320" s="589"/>
      <c r="N320" s="597"/>
      <c r="O320" s="743"/>
      <c r="P320" s="78"/>
      <c r="Q320" s="599"/>
      <c r="R320" s="78"/>
      <c r="S320" s="274"/>
      <c r="T320" s="46"/>
      <c r="U320" s="330"/>
      <c r="V320" s="79"/>
      <c r="W320" s="274"/>
      <c r="X320" s="598">
        <v>166</v>
      </c>
      <c r="Y320" s="273" t="s">
        <v>2791</v>
      </c>
      <c r="Z320" s="274">
        <v>1000000</v>
      </c>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row>
    <row r="321" spans="1:131" s="50" customFormat="1" ht="15" x14ac:dyDescent="0.25">
      <c r="A321" s="693"/>
      <c r="B321" s="690"/>
      <c r="C321" s="690"/>
      <c r="D321" s="589"/>
      <c r="E321" s="596"/>
      <c r="F321" s="594"/>
      <c r="G321" s="589"/>
      <c r="H321" s="589"/>
      <c r="I321" s="594"/>
      <c r="J321" s="593"/>
      <c r="K321" s="589"/>
      <c r="L321" s="589"/>
      <c r="M321" s="589"/>
      <c r="N321" s="597"/>
      <c r="O321" s="743"/>
      <c r="P321" s="78"/>
      <c r="Q321" s="599"/>
      <c r="R321" s="78"/>
      <c r="S321" s="274"/>
      <c r="T321" s="46"/>
      <c r="U321" s="330"/>
      <c r="V321" s="79"/>
      <c r="W321" s="274"/>
      <c r="X321" s="598">
        <v>174</v>
      </c>
      <c r="Y321" s="273" t="s">
        <v>2790</v>
      </c>
      <c r="Z321" s="274">
        <v>1000000</v>
      </c>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row>
    <row r="322" spans="1:131" s="50" customFormat="1" ht="15" x14ac:dyDescent="0.25">
      <c r="A322" s="693"/>
      <c r="B322" s="690"/>
      <c r="C322" s="690"/>
      <c r="D322" s="589"/>
      <c r="E322" s="596"/>
      <c r="F322" s="594"/>
      <c r="G322" s="589"/>
      <c r="H322" s="589"/>
      <c r="I322" s="594"/>
      <c r="J322" s="593"/>
      <c r="K322" s="589"/>
      <c r="L322" s="589"/>
      <c r="M322" s="589"/>
      <c r="N322" s="597"/>
      <c r="O322" s="743"/>
      <c r="P322" s="78"/>
      <c r="Q322" s="599"/>
      <c r="R322" s="78"/>
      <c r="S322" s="274"/>
      <c r="T322" s="46"/>
      <c r="U322" s="330"/>
      <c r="V322" s="79"/>
      <c r="W322" s="274"/>
      <c r="X322" s="598">
        <v>175</v>
      </c>
      <c r="Y322" s="273" t="s">
        <v>2790</v>
      </c>
      <c r="Z322" s="274">
        <v>1000000</v>
      </c>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row>
    <row r="323" spans="1:131" s="50" customFormat="1" ht="15" x14ac:dyDescent="0.25">
      <c r="A323" s="693"/>
      <c r="B323" s="690"/>
      <c r="C323" s="690"/>
      <c r="D323" s="589"/>
      <c r="E323" s="596"/>
      <c r="F323" s="594"/>
      <c r="G323" s="589"/>
      <c r="H323" s="589"/>
      <c r="I323" s="594"/>
      <c r="J323" s="593"/>
      <c r="K323" s="589"/>
      <c r="L323" s="589"/>
      <c r="M323" s="589"/>
      <c r="N323" s="597"/>
      <c r="O323" s="743"/>
      <c r="P323" s="78"/>
      <c r="Q323" s="599"/>
      <c r="R323" s="78"/>
      <c r="S323" s="274"/>
      <c r="T323" s="46"/>
      <c r="U323" s="330"/>
      <c r="V323" s="79"/>
      <c r="W323" s="274"/>
      <c r="X323" s="598">
        <v>176</v>
      </c>
      <c r="Y323" s="273" t="s">
        <v>2790</v>
      </c>
      <c r="Z323" s="274">
        <v>1000000</v>
      </c>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row>
    <row r="324" spans="1:131" s="50" customFormat="1" ht="15" x14ac:dyDescent="0.25">
      <c r="A324" s="693"/>
      <c r="B324" s="690"/>
      <c r="C324" s="690"/>
      <c r="D324" s="589"/>
      <c r="E324" s="596"/>
      <c r="F324" s="594"/>
      <c r="G324" s="589"/>
      <c r="H324" s="589"/>
      <c r="I324" s="594"/>
      <c r="J324" s="593"/>
      <c r="K324" s="589"/>
      <c r="L324" s="589"/>
      <c r="M324" s="589"/>
      <c r="N324" s="597"/>
      <c r="O324" s="743"/>
      <c r="P324" s="78"/>
      <c r="Q324" s="599"/>
      <c r="R324" s="78"/>
      <c r="S324" s="274"/>
      <c r="T324" s="46"/>
      <c r="U324" s="330"/>
      <c r="V324" s="79"/>
      <c r="W324" s="274"/>
      <c r="X324" s="598">
        <v>177</v>
      </c>
      <c r="Y324" s="273" t="s">
        <v>2790</v>
      </c>
      <c r="Z324" s="274">
        <v>1000000</v>
      </c>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row>
    <row r="325" spans="1:131" s="50" customFormat="1" ht="15" x14ac:dyDescent="0.25">
      <c r="A325" s="693"/>
      <c r="B325" s="690"/>
      <c r="C325" s="690"/>
      <c r="D325" s="589"/>
      <c r="E325" s="596"/>
      <c r="F325" s="594"/>
      <c r="G325" s="589"/>
      <c r="H325" s="589"/>
      <c r="I325" s="594"/>
      <c r="J325" s="593"/>
      <c r="K325" s="589"/>
      <c r="L325" s="589"/>
      <c r="M325" s="589"/>
      <c r="N325" s="597"/>
      <c r="O325" s="743"/>
      <c r="P325" s="78"/>
      <c r="Q325" s="599"/>
      <c r="R325" s="78"/>
      <c r="S325" s="274"/>
      <c r="T325" s="46"/>
      <c r="U325" s="330"/>
      <c r="V325" s="79"/>
      <c r="W325" s="274"/>
      <c r="X325" s="598">
        <v>178</v>
      </c>
      <c r="Y325" s="273" t="s">
        <v>2790</v>
      </c>
      <c r="Z325" s="274">
        <v>1000000</v>
      </c>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row>
    <row r="326" spans="1:131" s="50" customFormat="1" ht="15" x14ac:dyDescent="0.25">
      <c r="A326" s="693"/>
      <c r="B326" s="690"/>
      <c r="C326" s="690"/>
      <c r="D326" s="589"/>
      <c r="E326" s="596"/>
      <c r="F326" s="594"/>
      <c r="G326" s="589"/>
      <c r="H326" s="589"/>
      <c r="I326" s="594"/>
      <c r="J326" s="593"/>
      <c r="K326" s="589"/>
      <c r="L326" s="589"/>
      <c r="M326" s="589"/>
      <c r="N326" s="597"/>
      <c r="O326" s="743"/>
      <c r="P326" s="78"/>
      <c r="Q326" s="599"/>
      <c r="R326" s="78"/>
      <c r="S326" s="274"/>
      <c r="T326" s="46"/>
      <c r="U326" s="330"/>
      <c r="V326" s="79"/>
      <c r="W326" s="274"/>
      <c r="X326" s="598">
        <v>179</v>
      </c>
      <c r="Y326" s="273" t="s">
        <v>2790</v>
      </c>
      <c r="Z326" s="274">
        <v>1000000</v>
      </c>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c r="DP326" s="49"/>
      <c r="DQ326" s="49"/>
      <c r="DR326" s="49"/>
      <c r="DS326" s="49"/>
      <c r="DT326" s="49"/>
      <c r="DU326" s="49"/>
      <c r="DV326" s="49"/>
      <c r="DW326" s="49"/>
      <c r="DX326" s="49"/>
      <c r="DY326" s="49"/>
      <c r="DZ326" s="49"/>
      <c r="EA326" s="49"/>
    </row>
    <row r="327" spans="1:131" s="50" customFormat="1" ht="15" x14ac:dyDescent="0.25">
      <c r="A327" s="693"/>
      <c r="B327" s="690"/>
      <c r="C327" s="690"/>
      <c r="D327" s="589"/>
      <c r="E327" s="596"/>
      <c r="F327" s="594"/>
      <c r="G327" s="589"/>
      <c r="H327" s="589"/>
      <c r="I327" s="594"/>
      <c r="J327" s="593"/>
      <c r="K327" s="589"/>
      <c r="L327" s="589"/>
      <c r="M327" s="589"/>
      <c r="N327" s="597"/>
      <c r="O327" s="743"/>
      <c r="P327" s="78"/>
      <c r="Q327" s="599"/>
      <c r="R327" s="78"/>
      <c r="S327" s="274"/>
      <c r="T327" s="46"/>
      <c r="U327" s="330"/>
      <c r="V327" s="79"/>
      <c r="W327" s="274"/>
      <c r="X327" s="598">
        <v>180</v>
      </c>
      <c r="Y327" s="273" t="s">
        <v>2790</v>
      </c>
      <c r="Z327" s="274">
        <v>1000000</v>
      </c>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c r="DP327" s="49"/>
      <c r="DQ327" s="49"/>
      <c r="DR327" s="49"/>
      <c r="DS327" s="49"/>
      <c r="DT327" s="49"/>
      <c r="DU327" s="49"/>
      <c r="DV327" s="49"/>
      <c r="DW327" s="49"/>
      <c r="DX327" s="49"/>
      <c r="DY327" s="49"/>
      <c r="DZ327" s="49"/>
      <c r="EA327" s="49"/>
    </row>
    <row r="328" spans="1:131" s="50" customFormat="1" ht="15" x14ac:dyDescent="0.25">
      <c r="A328" s="693"/>
      <c r="B328" s="690"/>
      <c r="C328" s="690"/>
      <c r="D328" s="589"/>
      <c r="E328" s="596"/>
      <c r="F328" s="594"/>
      <c r="G328" s="589"/>
      <c r="H328" s="589"/>
      <c r="I328" s="594"/>
      <c r="J328" s="593"/>
      <c r="K328" s="589"/>
      <c r="L328" s="589"/>
      <c r="M328" s="589"/>
      <c r="N328" s="597"/>
      <c r="O328" s="743"/>
      <c r="P328" s="78"/>
      <c r="Q328" s="599"/>
      <c r="R328" s="78"/>
      <c r="S328" s="274"/>
      <c r="T328" s="46"/>
      <c r="U328" s="330"/>
      <c r="V328" s="79"/>
      <c r="W328" s="274"/>
      <c r="X328" s="598">
        <v>181</v>
      </c>
      <c r="Y328" s="273" t="s">
        <v>2790</v>
      </c>
      <c r="Z328" s="274">
        <v>1000000</v>
      </c>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c r="DP328" s="49"/>
      <c r="DQ328" s="49"/>
      <c r="DR328" s="49"/>
      <c r="DS328" s="49"/>
      <c r="DT328" s="49"/>
      <c r="DU328" s="49"/>
      <c r="DV328" s="49"/>
      <c r="DW328" s="49"/>
      <c r="DX328" s="49"/>
      <c r="DY328" s="49"/>
      <c r="DZ328" s="49"/>
      <c r="EA328" s="49"/>
    </row>
    <row r="329" spans="1:131" s="50" customFormat="1" ht="15" x14ac:dyDescent="0.25">
      <c r="A329" s="693"/>
      <c r="B329" s="690"/>
      <c r="C329" s="690"/>
      <c r="D329" s="589"/>
      <c r="E329" s="596"/>
      <c r="F329" s="594"/>
      <c r="G329" s="589"/>
      <c r="H329" s="589"/>
      <c r="I329" s="594"/>
      <c r="J329" s="593"/>
      <c r="K329" s="589"/>
      <c r="L329" s="589"/>
      <c r="M329" s="589"/>
      <c r="N329" s="597"/>
      <c r="O329" s="743"/>
      <c r="P329" s="78"/>
      <c r="Q329" s="599"/>
      <c r="R329" s="78"/>
      <c r="S329" s="274"/>
      <c r="T329" s="46"/>
      <c r="U329" s="330"/>
      <c r="V329" s="79"/>
      <c r="W329" s="274"/>
      <c r="X329" s="598">
        <v>182</v>
      </c>
      <c r="Y329" s="273" t="s">
        <v>2790</v>
      </c>
      <c r="Z329" s="274">
        <v>1000000</v>
      </c>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c r="DK329" s="49"/>
      <c r="DL329" s="49"/>
      <c r="DM329" s="49"/>
      <c r="DN329" s="49"/>
      <c r="DO329" s="49"/>
      <c r="DP329" s="49"/>
      <c r="DQ329" s="49"/>
      <c r="DR329" s="49"/>
      <c r="DS329" s="49"/>
      <c r="DT329" s="49"/>
      <c r="DU329" s="49"/>
      <c r="DV329" s="49"/>
      <c r="DW329" s="49"/>
      <c r="DX329" s="49"/>
      <c r="DY329" s="49"/>
      <c r="DZ329" s="49"/>
      <c r="EA329" s="49"/>
    </row>
    <row r="330" spans="1:131" s="50" customFormat="1" ht="15" x14ac:dyDescent="0.25">
      <c r="A330" s="693"/>
      <c r="B330" s="690"/>
      <c r="C330" s="690"/>
      <c r="D330" s="589"/>
      <c r="E330" s="596"/>
      <c r="F330" s="594"/>
      <c r="G330" s="589"/>
      <c r="H330" s="589"/>
      <c r="I330" s="594"/>
      <c r="J330" s="593"/>
      <c r="K330" s="589"/>
      <c r="L330" s="589"/>
      <c r="M330" s="589"/>
      <c r="N330" s="597"/>
      <c r="O330" s="743"/>
      <c r="P330" s="78"/>
      <c r="Q330" s="599"/>
      <c r="R330" s="78"/>
      <c r="S330" s="274"/>
      <c r="T330" s="46"/>
      <c r="U330" s="330"/>
      <c r="V330" s="79"/>
      <c r="W330" s="274"/>
      <c r="X330" s="598">
        <v>183</v>
      </c>
      <c r="Y330" s="273" t="s">
        <v>2790</v>
      </c>
      <c r="Z330" s="274">
        <v>1000000</v>
      </c>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c r="DK330" s="49"/>
      <c r="DL330" s="49"/>
      <c r="DM330" s="49"/>
      <c r="DN330" s="49"/>
      <c r="DO330" s="49"/>
      <c r="DP330" s="49"/>
      <c r="DQ330" s="49"/>
      <c r="DR330" s="49"/>
      <c r="DS330" s="49"/>
      <c r="DT330" s="49"/>
      <c r="DU330" s="49"/>
      <c r="DV330" s="49"/>
      <c r="DW330" s="49"/>
      <c r="DX330" s="49"/>
      <c r="DY330" s="49"/>
      <c r="DZ330" s="49"/>
      <c r="EA330" s="49"/>
    </row>
    <row r="331" spans="1:131" s="50" customFormat="1" ht="15" x14ac:dyDescent="0.25">
      <c r="A331" s="693"/>
      <c r="B331" s="690"/>
      <c r="C331" s="690"/>
      <c r="D331" s="692" t="s">
        <v>796</v>
      </c>
      <c r="E331" s="689" t="s">
        <v>106</v>
      </c>
      <c r="F331" s="710">
        <v>12369429</v>
      </c>
      <c r="G331" s="692"/>
      <c r="H331" s="692"/>
      <c r="I331" s="710">
        <v>17328857</v>
      </c>
      <c r="J331" s="728"/>
      <c r="K331" s="692"/>
      <c r="L331" s="692"/>
      <c r="M331" s="692"/>
      <c r="N331" s="810">
        <f>+F331+H332+I331+J332+K332+G332+L332-M332</f>
        <v>29698286</v>
      </c>
      <c r="O331" s="743"/>
      <c r="P331" s="78" t="s">
        <v>985</v>
      </c>
      <c r="Q331" s="457" t="s">
        <v>986</v>
      </c>
      <c r="R331" s="78" t="s">
        <v>987</v>
      </c>
      <c r="S331" s="66">
        <v>720000</v>
      </c>
      <c r="T331" s="46"/>
      <c r="U331" s="598">
        <v>24</v>
      </c>
      <c r="V331" s="273" t="s">
        <v>1032</v>
      </c>
      <c r="W331" s="66">
        <v>720000</v>
      </c>
      <c r="X331" s="250">
        <v>17</v>
      </c>
      <c r="Y331" s="122">
        <v>44680</v>
      </c>
      <c r="Z331" s="66">
        <v>720000</v>
      </c>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c r="DK331" s="49"/>
      <c r="DL331" s="49"/>
      <c r="DM331" s="49"/>
      <c r="DN331" s="49"/>
      <c r="DO331" s="49"/>
      <c r="DP331" s="49"/>
      <c r="DQ331" s="49"/>
      <c r="DR331" s="49"/>
      <c r="DS331" s="49"/>
      <c r="DT331" s="49"/>
      <c r="DU331" s="49"/>
      <c r="DV331" s="49"/>
      <c r="DW331" s="49"/>
      <c r="DX331" s="49"/>
      <c r="DY331" s="49"/>
      <c r="DZ331" s="49"/>
      <c r="EA331" s="49"/>
    </row>
    <row r="332" spans="1:131" s="50" customFormat="1" ht="15" x14ac:dyDescent="0.25">
      <c r="A332" s="693"/>
      <c r="B332" s="690"/>
      <c r="C332" s="690"/>
      <c r="D332" s="693"/>
      <c r="E332" s="690"/>
      <c r="F332" s="711"/>
      <c r="G332" s="693"/>
      <c r="H332" s="693"/>
      <c r="I332" s="711"/>
      <c r="J332" s="735"/>
      <c r="K332" s="693"/>
      <c r="L332" s="693"/>
      <c r="M332" s="693"/>
      <c r="N332" s="812"/>
      <c r="O332" s="743"/>
      <c r="P332" s="78" t="s">
        <v>1499</v>
      </c>
      <c r="Q332" s="457" t="s">
        <v>1500</v>
      </c>
      <c r="R332" s="78" t="s">
        <v>1501</v>
      </c>
      <c r="S332" s="66">
        <v>40000</v>
      </c>
      <c r="T332" s="46"/>
      <c r="U332" s="598">
        <v>26</v>
      </c>
      <c r="V332" s="273">
        <v>44691</v>
      </c>
      <c r="W332" s="274">
        <v>40000</v>
      </c>
      <c r="X332" s="38">
        <v>108</v>
      </c>
      <c r="Y332" s="122">
        <v>44783</v>
      </c>
      <c r="Z332" s="274">
        <v>40000</v>
      </c>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c r="DK332" s="49"/>
      <c r="DL332" s="49"/>
      <c r="DM332" s="49"/>
      <c r="DN332" s="49"/>
      <c r="DO332" s="49"/>
      <c r="DP332" s="49"/>
      <c r="DQ332" s="49"/>
      <c r="DR332" s="49"/>
      <c r="DS332" s="49"/>
      <c r="DT332" s="49"/>
      <c r="DU332" s="49"/>
      <c r="DV332" s="49"/>
      <c r="DW332" s="49"/>
      <c r="DX332" s="49"/>
      <c r="DY332" s="49"/>
      <c r="DZ332" s="49"/>
      <c r="EA332" s="49"/>
    </row>
    <row r="333" spans="1:131" s="50" customFormat="1" ht="15" x14ac:dyDescent="0.25">
      <c r="A333" s="693"/>
      <c r="B333" s="690"/>
      <c r="C333" s="690"/>
      <c r="D333" s="693"/>
      <c r="E333" s="690"/>
      <c r="F333" s="711"/>
      <c r="G333" s="693"/>
      <c r="H333" s="693"/>
      <c r="I333" s="711"/>
      <c r="J333" s="735"/>
      <c r="K333" s="693"/>
      <c r="L333" s="693"/>
      <c r="M333" s="693"/>
      <c r="N333" s="812"/>
      <c r="O333" s="743"/>
      <c r="P333" s="78" t="s">
        <v>685</v>
      </c>
      <c r="Q333" s="457">
        <v>213</v>
      </c>
      <c r="R333" s="78" t="s">
        <v>686</v>
      </c>
      <c r="S333" s="274">
        <v>1110000</v>
      </c>
      <c r="T333" s="46"/>
      <c r="U333" s="329">
        <v>23</v>
      </c>
      <c r="V333" s="273" t="s">
        <v>1031</v>
      </c>
      <c r="W333" s="274">
        <v>1110000</v>
      </c>
      <c r="X333" s="329">
        <v>13</v>
      </c>
      <c r="Y333" s="273" t="s">
        <v>1051</v>
      </c>
      <c r="Z333" s="274">
        <v>1110000</v>
      </c>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c r="DK333" s="49"/>
      <c r="DL333" s="49"/>
      <c r="DM333" s="49"/>
      <c r="DN333" s="49"/>
      <c r="DO333" s="49"/>
      <c r="DP333" s="49"/>
      <c r="DQ333" s="49"/>
      <c r="DR333" s="49"/>
      <c r="DS333" s="49"/>
      <c r="DT333" s="49"/>
      <c r="DU333" s="49"/>
      <c r="DV333" s="49"/>
      <c r="DW333" s="49"/>
      <c r="DX333" s="49"/>
      <c r="DY333" s="49"/>
      <c r="DZ333" s="49"/>
      <c r="EA333" s="49"/>
    </row>
    <row r="334" spans="1:131" s="50" customFormat="1" ht="15" x14ac:dyDescent="0.25">
      <c r="A334" s="693"/>
      <c r="B334" s="690"/>
      <c r="C334" s="690"/>
      <c r="D334" s="694"/>
      <c r="E334" s="691"/>
      <c r="F334" s="712"/>
      <c r="G334" s="694"/>
      <c r="H334" s="694"/>
      <c r="I334" s="712"/>
      <c r="J334" s="729"/>
      <c r="K334" s="694"/>
      <c r="L334" s="694"/>
      <c r="M334" s="694"/>
      <c r="N334" s="811"/>
      <c r="O334" s="743"/>
      <c r="P334" s="78" t="s">
        <v>1575</v>
      </c>
      <c r="Q334" s="457">
        <v>386</v>
      </c>
      <c r="R334" s="78" t="s">
        <v>2172</v>
      </c>
      <c r="S334" s="274">
        <v>11985000</v>
      </c>
      <c r="T334" s="46"/>
      <c r="U334" s="329">
        <v>39</v>
      </c>
      <c r="V334" s="273">
        <v>44774</v>
      </c>
      <c r="W334" s="274">
        <v>11985000</v>
      </c>
      <c r="X334" s="329">
        <v>103</v>
      </c>
      <c r="Y334" s="273">
        <v>44775</v>
      </c>
      <c r="Z334" s="274">
        <v>11985000</v>
      </c>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c r="DK334" s="49"/>
      <c r="DL334" s="49"/>
      <c r="DM334" s="49"/>
      <c r="DN334" s="49"/>
      <c r="DO334" s="49"/>
      <c r="DP334" s="49"/>
      <c r="DQ334" s="49"/>
      <c r="DR334" s="49"/>
      <c r="DS334" s="49"/>
      <c r="DT334" s="49"/>
      <c r="DU334" s="49"/>
      <c r="DV334" s="49"/>
      <c r="DW334" s="49"/>
      <c r="DX334" s="49"/>
      <c r="DY334" s="49"/>
      <c r="DZ334" s="49"/>
      <c r="EA334" s="49"/>
    </row>
    <row r="335" spans="1:131" s="50" customFormat="1" ht="25.5" x14ac:dyDescent="0.25">
      <c r="A335" s="693"/>
      <c r="B335" s="690"/>
      <c r="C335" s="690"/>
      <c r="D335" s="44" t="s">
        <v>797</v>
      </c>
      <c r="E335" s="8" t="s">
        <v>113</v>
      </c>
      <c r="F335" s="289">
        <v>38321460</v>
      </c>
      <c r="G335" s="44"/>
      <c r="H335" s="45"/>
      <c r="I335" s="290">
        <v>76383702</v>
      </c>
      <c r="J335" s="232"/>
      <c r="K335" s="45"/>
      <c r="L335" s="44"/>
      <c r="M335" s="44"/>
      <c r="N335" s="507">
        <f t="shared" ref="N335:N362" si="2">+F335+H335+I335+J335+K335+G335+L335-M335</f>
        <v>114705162</v>
      </c>
      <c r="O335" s="743"/>
      <c r="P335" s="80" t="s">
        <v>2588</v>
      </c>
      <c r="Q335" s="459" t="s">
        <v>2605</v>
      </c>
      <c r="R335" s="80" t="s">
        <v>2606</v>
      </c>
      <c r="S335" s="528">
        <v>1178100</v>
      </c>
      <c r="T335" s="46"/>
      <c r="U335" s="44"/>
      <c r="V335" s="79"/>
      <c r="W335" s="44"/>
      <c r="X335" s="44"/>
      <c r="Y335" s="79"/>
      <c r="Z335" s="44"/>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c r="DK335" s="49"/>
      <c r="DL335" s="49"/>
      <c r="DM335" s="49"/>
      <c r="DN335" s="49"/>
      <c r="DO335" s="49"/>
      <c r="DP335" s="49"/>
      <c r="DQ335" s="49"/>
      <c r="DR335" s="49"/>
      <c r="DS335" s="49"/>
      <c r="DT335" s="49"/>
      <c r="DU335" s="49"/>
      <c r="DV335" s="49"/>
      <c r="DW335" s="49"/>
      <c r="DX335" s="49"/>
      <c r="DY335" s="49"/>
      <c r="DZ335" s="49"/>
      <c r="EA335" s="49"/>
    </row>
    <row r="336" spans="1:131" s="50" customFormat="1" ht="15" x14ac:dyDescent="0.25">
      <c r="A336" s="693"/>
      <c r="B336" s="690"/>
      <c r="C336" s="690"/>
      <c r="D336" s="692" t="s">
        <v>799</v>
      </c>
      <c r="E336" s="689" t="s">
        <v>144</v>
      </c>
      <c r="F336" s="710">
        <v>39000000</v>
      </c>
      <c r="G336" s="692"/>
      <c r="H336" s="692"/>
      <c r="I336" s="710">
        <v>268000000</v>
      </c>
      <c r="J336" s="728"/>
      <c r="K336" s="692"/>
      <c r="L336" s="692"/>
      <c r="M336" s="728">
        <v>67427972</v>
      </c>
      <c r="N336" s="810">
        <f>+F336+H336+I336+J336+K336+G354+L336-M336</f>
        <v>239572028</v>
      </c>
      <c r="O336" s="743"/>
      <c r="P336" s="78" t="s">
        <v>1502</v>
      </c>
      <c r="Q336" s="457" t="s">
        <v>1503</v>
      </c>
      <c r="R336" s="78" t="s">
        <v>1504</v>
      </c>
      <c r="S336" s="274">
        <v>1125331.5</v>
      </c>
      <c r="T336" s="46"/>
      <c r="U336" s="598">
        <v>30</v>
      </c>
      <c r="V336" s="273">
        <v>44713</v>
      </c>
      <c r="W336" s="274">
        <v>1125331.5</v>
      </c>
      <c r="X336" s="598">
        <v>18</v>
      </c>
      <c r="Y336" s="273">
        <v>44734</v>
      </c>
      <c r="Z336" s="274">
        <v>1125331.5</v>
      </c>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s="49"/>
      <c r="DR336" s="49"/>
      <c r="DS336" s="49"/>
      <c r="DT336" s="49"/>
      <c r="DU336" s="49"/>
      <c r="DV336" s="49"/>
      <c r="DW336" s="49"/>
      <c r="DX336" s="49"/>
      <c r="DY336" s="49"/>
      <c r="DZ336" s="49"/>
      <c r="EA336" s="49"/>
    </row>
    <row r="337" spans="1:131" s="50" customFormat="1" ht="15" x14ac:dyDescent="0.25">
      <c r="A337" s="693"/>
      <c r="B337" s="690"/>
      <c r="C337" s="690"/>
      <c r="D337" s="693"/>
      <c r="E337" s="690"/>
      <c r="F337" s="711"/>
      <c r="G337" s="693"/>
      <c r="H337" s="693"/>
      <c r="I337" s="711"/>
      <c r="J337" s="735"/>
      <c r="K337" s="693"/>
      <c r="L337" s="693"/>
      <c r="M337" s="735"/>
      <c r="N337" s="812"/>
      <c r="O337" s="743"/>
      <c r="P337" s="78" t="s">
        <v>1505</v>
      </c>
      <c r="Q337" s="457" t="s">
        <v>1506</v>
      </c>
      <c r="R337" s="78" t="s">
        <v>1507</v>
      </c>
      <c r="S337" s="66">
        <v>200000</v>
      </c>
      <c r="T337" s="46"/>
      <c r="U337" s="598">
        <v>29</v>
      </c>
      <c r="V337" s="273">
        <v>44713</v>
      </c>
      <c r="W337" s="274">
        <v>200000</v>
      </c>
      <c r="X337" s="598">
        <v>20</v>
      </c>
      <c r="Y337" s="273">
        <v>44749</v>
      </c>
      <c r="Z337" s="274">
        <v>200000</v>
      </c>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s="49"/>
      <c r="DR337" s="49"/>
      <c r="DS337" s="49"/>
      <c r="DT337" s="49"/>
      <c r="DU337" s="49"/>
      <c r="DV337" s="49"/>
      <c r="DW337" s="49"/>
      <c r="DX337" s="49"/>
      <c r="DY337" s="49"/>
      <c r="DZ337" s="49"/>
      <c r="EA337" s="49"/>
    </row>
    <row r="338" spans="1:131" s="50" customFormat="1" ht="15" x14ac:dyDescent="0.25">
      <c r="A338" s="693"/>
      <c r="B338" s="690"/>
      <c r="C338" s="690"/>
      <c r="D338" s="693"/>
      <c r="E338" s="690"/>
      <c r="F338" s="711"/>
      <c r="G338" s="693"/>
      <c r="H338" s="693"/>
      <c r="I338" s="711"/>
      <c r="J338" s="735"/>
      <c r="K338" s="693"/>
      <c r="L338" s="693"/>
      <c r="M338" s="735"/>
      <c r="N338" s="812"/>
      <c r="O338" s="743"/>
      <c r="P338" s="78" t="s">
        <v>1575</v>
      </c>
      <c r="Q338" s="457" t="s">
        <v>2078</v>
      </c>
      <c r="R338" s="78" t="s">
        <v>2066</v>
      </c>
      <c r="S338" s="274">
        <v>3260000</v>
      </c>
      <c r="T338" s="46"/>
      <c r="U338" s="598">
        <v>39</v>
      </c>
      <c r="V338" s="273">
        <v>44774</v>
      </c>
      <c r="W338" s="274">
        <v>3260000</v>
      </c>
      <c r="X338" s="598">
        <v>103</v>
      </c>
      <c r="Y338" s="273">
        <v>44775</v>
      </c>
      <c r="Z338" s="274">
        <v>3260000</v>
      </c>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s="49"/>
      <c r="DR338" s="49"/>
      <c r="DS338" s="49"/>
      <c r="DT338" s="49"/>
      <c r="DU338" s="49"/>
      <c r="DV338" s="49"/>
      <c r="DW338" s="49"/>
      <c r="DX338" s="49"/>
      <c r="DY338" s="49"/>
      <c r="DZ338" s="49"/>
      <c r="EA338" s="49"/>
    </row>
    <row r="339" spans="1:131" s="50" customFormat="1" ht="15" x14ac:dyDescent="0.25">
      <c r="A339" s="693"/>
      <c r="B339" s="690"/>
      <c r="C339" s="690"/>
      <c r="D339" s="693"/>
      <c r="E339" s="690"/>
      <c r="F339" s="711"/>
      <c r="G339" s="693"/>
      <c r="H339" s="693"/>
      <c r="I339" s="711"/>
      <c r="J339" s="735"/>
      <c r="K339" s="693"/>
      <c r="L339" s="693"/>
      <c r="M339" s="735"/>
      <c r="N339" s="812"/>
      <c r="O339" s="743"/>
      <c r="P339" s="78" t="s">
        <v>2073</v>
      </c>
      <c r="Q339" s="457" t="s">
        <v>2079</v>
      </c>
      <c r="R339" s="78" t="s">
        <v>2067</v>
      </c>
      <c r="S339" s="289">
        <v>1680000</v>
      </c>
      <c r="T339" s="46"/>
      <c r="U339" s="598">
        <v>34</v>
      </c>
      <c r="V339" s="273">
        <v>44763</v>
      </c>
      <c r="W339" s="274">
        <v>1250000</v>
      </c>
      <c r="X339" s="598">
        <v>107</v>
      </c>
      <c r="Y339" s="273">
        <v>44781</v>
      </c>
      <c r="Z339" s="274">
        <v>1250000</v>
      </c>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s="49"/>
      <c r="DR339" s="49"/>
      <c r="DS339" s="49"/>
      <c r="DT339" s="49"/>
      <c r="DU339" s="49"/>
      <c r="DV339" s="49"/>
      <c r="DW339" s="49"/>
      <c r="DX339" s="49"/>
      <c r="DY339" s="49"/>
      <c r="DZ339" s="49"/>
      <c r="EA339" s="49"/>
    </row>
    <row r="340" spans="1:131" s="50" customFormat="1" ht="15" x14ac:dyDescent="0.25">
      <c r="A340" s="693"/>
      <c r="B340" s="690"/>
      <c r="C340" s="690"/>
      <c r="D340" s="693"/>
      <c r="E340" s="690"/>
      <c r="F340" s="711"/>
      <c r="G340" s="693"/>
      <c r="H340" s="693"/>
      <c r="I340" s="711"/>
      <c r="J340" s="735"/>
      <c r="K340" s="693"/>
      <c r="L340" s="693"/>
      <c r="M340" s="735"/>
      <c r="N340" s="812"/>
      <c r="O340" s="743"/>
      <c r="P340" s="78" t="s">
        <v>2074</v>
      </c>
      <c r="Q340" s="457" t="s">
        <v>2080</v>
      </c>
      <c r="R340" s="78" t="s">
        <v>2068</v>
      </c>
      <c r="S340" s="274">
        <v>5400000</v>
      </c>
      <c r="T340" s="46"/>
      <c r="U340" s="598">
        <v>41</v>
      </c>
      <c r="V340" s="273">
        <v>44785</v>
      </c>
      <c r="W340" s="274">
        <v>5400000</v>
      </c>
      <c r="X340" s="598">
        <v>129</v>
      </c>
      <c r="Y340" s="273">
        <v>44812</v>
      </c>
      <c r="Z340" s="274">
        <v>5400000</v>
      </c>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DQ340" s="49"/>
      <c r="DR340" s="49"/>
      <c r="DS340" s="49"/>
      <c r="DT340" s="49"/>
      <c r="DU340" s="49"/>
      <c r="DV340" s="49"/>
      <c r="DW340" s="49"/>
      <c r="DX340" s="49"/>
      <c r="DY340" s="49"/>
      <c r="DZ340" s="49"/>
      <c r="EA340" s="49"/>
    </row>
    <row r="341" spans="1:131" s="50" customFormat="1" ht="15" x14ac:dyDescent="0.25">
      <c r="A341" s="693"/>
      <c r="B341" s="690"/>
      <c r="C341" s="690"/>
      <c r="D341" s="693"/>
      <c r="E341" s="690"/>
      <c r="F341" s="711"/>
      <c r="G341" s="693"/>
      <c r="H341" s="693"/>
      <c r="I341" s="711"/>
      <c r="J341" s="735"/>
      <c r="K341" s="693"/>
      <c r="L341" s="693"/>
      <c r="M341" s="735"/>
      <c r="N341" s="812"/>
      <c r="O341" s="743"/>
      <c r="P341" s="78" t="s">
        <v>2075</v>
      </c>
      <c r="Q341" s="457" t="s">
        <v>2081</v>
      </c>
      <c r="R341" s="78" t="s">
        <v>2069</v>
      </c>
      <c r="S341" s="274">
        <v>1926120.5</v>
      </c>
      <c r="T341" s="46"/>
      <c r="U341" s="598">
        <v>42</v>
      </c>
      <c r="V341" s="273">
        <v>44785</v>
      </c>
      <c r="W341" s="274">
        <v>1926120.5</v>
      </c>
      <c r="X341" s="598">
        <v>125</v>
      </c>
      <c r="Y341" s="273">
        <v>44799</v>
      </c>
      <c r="Z341" s="274">
        <v>1926120.5</v>
      </c>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DQ341" s="49"/>
      <c r="DR341" s="49"/>
      <c r="DS341" s="49"/>
      <c r="DT341" s="49"/>
      <c r="DU341" s="49"/>
      <c r="DV341" s="49"/>
      <c r="DW341" s="49"/>
      <c r="DX341" s="49"/>
      <c r="DY341" s="49"/>
      <c r="DZ341" s="49"/>
      <c r="EA341" s="49"/>
    </row>
    <row r="342" spans="1:131" s="50" customFormat="1" ht="15" x14ac:dyDescent="0.25">
      <c r="A342" s="693"/>
      <c r="B342" s="690"/>
      <c r="C342" s="690"/>
      <c r="D342" s="693"/>
      <c r="E342" s="690"/>
      <c r="F342" s="711"/>
      <c r="G342" s="693"/>
      <c r="H342" s="693"/>
      <c r="I342" s="711"/>
      <c r="J342" s="735"/>
      <c r="K342" s="693"/>
      <c r="L342" s="693"/>
      <c r="M342" s="735"/>
      <c r="N342" s="812"/>
      <c r="O342" s="743"/>
      <c r="P342" s="78" t="s">
        <v>2076</v>
      </c>
      <c r="Q342" s="457" t="s">
        <v>2082</v>
      </c>
      <c r="R342" s="78" t="s">
        <v>2070</v>
      </c>
      <c r="S342" s="289">
        <v>480000</v>
      </c>
      <c r="T342" s="46"/>
      <c r="U342" s="598"/>
      <c r="V342" s="273"/>
      <c r="W342" s="274"/>
      <c r="X342" s="598"/>
      <c r="Y342" s="273"/>
      <c r="Z342" s="330"/>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DQ342" s="49"/>
      <c r="DR342" s="49"/>
      <c r="DS342" s="49"/>
      <c r="DT342" s="49"/>
      <c r="DU342" s="49"/>
      <c r="DV342" s="49"/>
      <c r="DW342" s="49"/>
      <c r="DX342" s="49"/>
      <c r="DY342" s="49"/>
      <c r="DZ342" s="49"/>
      <c r="EA342" s="49"/>
    </row>
    <row r="343" spans="1:131" s="50" customFormat="1" ht="15" x14ac:dyDescent="0.25">
      <c r="A343" s="693"/>
      <c r="B343" s="690"/>
      <c r="C343" s="690"/>
      <c r="D343" s="693"/>
      <c r="E343" s="690"/>
      <c r="F343" s="711"/>
      <c r="G343" s="693"/>
      <c r="H343" s="693"/>
      <c r="I343" s="711"/>
      <c r="J343" s="735"/>
      <c r="K343" s="693"/>
      <c r="L343" s="693"/>
      <c r="M343" s="735"/>
      <c r="N343" s="812"/>
      <c r="O343" s="743"/>
      <c r="P343" s="78" t="s">
        <v>2077</v>
      </c>
      <c r="Q343" s="457" t="s">
        <v>2083</v>
      </c>
      <c r="R343" s="78" t="s">
        <v>2071</v>
      </c>
      <c r="S343" s="274">
        <v>2150000</v>
      </c>
      <c r="T343" s="46"/>
      <c r="U343" s="598">
        <v>49</v>
      </c>
      <c r="V343" s="273">
        <v>44806</v>
      </c>
      <c r="W343" s="274">
        <v>2150000</v>
      </c>
      <c r="X343" s="598">
        <v>131</v>
      </c>
      <c r="Y343" s="273">
        <v>44816</v>
      </c>
      <c r="Z343" s="274">
        <v>2150000</v>
      </c>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DQ343" s="49"/>
      <c r="DR343" s="49"/>
      <c r="DS343" s="49"/>
      <c r="DT343" s="49"/>
      <c r="DU343" s="49"/>
      <c r="DV343" s="49"/>
      <c r="DW343" s="49"/>
      <c r="DX343" s="49"/>
      <c r="DY343" s="49"/>
      <c r="DZ343" s="49"/>
      <c r="EA343" s="49"/>
    </row>
    <row r="344" spans="1:131" s="50" customFormat="1" ht="15" x14ac:dyDescent="0.25">
      <c r="A344" s="693"/>
      <c r="B344" s="690"/>
      <c r="C344" s="690"/>
      <c r="D344" s="693"/>
      <c r="E344" s="690"/>
      <c r="F344" s="711"/>
      <c r="G344" s="693"/>
      <c r="H344" s="693"/>
      <c r="I344" s="711"/>
      <c r="J344" s="735"/>
      <c r="K344" s="693"/>
      <c r="L344" s="693"/>
      <c r="M344" s="735"/>
      <c r="N344" s="812"/>
      <c r="O344" s="743"/>
      <c r="P344" s="78" t="s">
        <v>1578</v>
      </c>
      <c r="Q344" s="457" t="s">
        <v>2084</v>
      </c>
      <c r="R344" s="78" t="s">
        <v>2072</v>
      </c>
      <c r="S344" s="274">
        <v>2313500</v>
      </c>
      <c r="T344" s="46"/>
      <c r="U344" s="598">
        <v>52</v>
      </c>
      <c r="V344" s="273">
        <v>44819</v>
      </c>
      <c r="W344" s="274">
        <v>2313500</v>
      </c>
      <c r="X344" s="598">
        <v>133</v>
      </c>
      <c r="Y344" s="273">
        <v>44823</v>
      </c>
      <c r="Z344" s="274">
        <v>2313500</v>
      </c>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DQ344" s="49"/>
      <c r="DR344" s="49"/>
      <c r="DS344" s="49"/>
      <c r="DT344" s="49"/>
      <c r="DU344" s="49"/>
      <c r="DV344" s="49"/>
      <c r="DW344" s="49"/>
      <c r="DX344" s="49"/>
      <c r="DY344" s="49"/>
      <c r="DZ344" s="49"/>
      <c r="EA344" s="49"/>
    </row>
    <row r="345" spans="1:131" s="50" customFormat="1" ht="15" x14ac:dyDescent="0.25">
      <c r="A345" s="693"/>
      <c r="B345" s="690"/>
      <c r="C345" s="690"/>
      <c r="D345" s="693"/>
      <c r="E345" s="690"/>
      <c r="F345" s="711"/>
      <c r="G345" s="693"/>
      <c r="H345" s="693"/>
      <c r="I345" s="711"/>
      <c r="J345" s="735"/>
      <c r="K345" s="693"/>
      <c r="L345" s="693"/>
      <c r="M345" s="735"/>
      <c r="N345" s="812"/>
      <c r="O345" s="743"/>
      <c r="P345" s="78" t="s">
        <v>2582</v>
      </c>
      <c r="Q345" s="457" t="s">
        <v>2598</v>
      </c>
      <c r="R345" s="78" t="s">
        <v>2599</v>
      </c>
      <c r="S345" s="274">
        <v>1000000</v>
      </c>
      <c r="T345" s="46"/>
      <c r="U345" s="598">
        <v>59</v>
      </c>
      <c r="V345" s="273" t="s">
        <v>2811</v>
      </c>
      <c r="W345" s="274">
        <v>1000000</v>
      </c>
      <c r="X345" s="598">
        <v>151</v>
      </c>
      <c r="Y345" s="273" t="s">
        <v>2769</v>
      </c>
      <c r="Z345" s="274">
        <v>1000000</v>
      </c>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c r="DP345" s="49"/>
      <c r="DQ345" s="49"/>
      <c r="DR345" s="49"/>
      <c r="DS345" s="49"/>
      <c r="DT345" s="49"/>
      <c r="DU345" s="49"/>
      <c r="DV345" s="49"/>
      <c r="DW345" s="49"/>
      <c r="DX345" s="49"/>
      <c r="DY345" s="49"/>
      <c r="DZ345" s="49"/>
      <c r="EA345" s="49"/>
    </row>
    <row r="346" spans="1:131" s="50" customFormat="1" ht="15" x14ac:dyDescent="0.25">
      <c r="A346" s="693"/>
      <c r="B346" s="690"/>
      <c r="C346" s="690"/>
      <c r="D346" s="693"/>
      <c r="E346" s="690"/>
      <c r="F346" s="711"/>
      <c r="G346" s="693"/>
      <c r="H346" s="693"/>
      <c r="I346" s="711"/>
      <c r="J346" s="735"/>
      <c r="K346" s="693"/>
      <c r="L346" s="693"/>
      <c r="M346" s="735"/>
      <c r="N346" s="812"/>
      <c r="O346" s="743"/>
      <c r="P346" s="78" t="s">
        <v>2585</v>
      </c>
      <c r="Q346" s="457" t="s">
        <v>2600</v>
      </c>
      <c r="R346" s="78" t="s">
        <v>2601</v>
      </c>
      <c r="S346" s="289">
        <v>581650</v>
      </c>
      <c r="T346" s="46"/>
      <c r="U346" s="598"/>
      <c r="V346" s="273"/>
      <c r="W346" s="274"/>
      <c r="X346" s="598"/>
      <c r="Y346" s="273"/>
      <c r="Z346" s="330"/>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c r="DP346" s="49"/>
      <c r="DQ346" s="49"/>
      <c r="DR346" s="49"/>
      <c r="DS346" s="49"/>
      <c r="DT346" s="49"/>
      <c r="DU346" s="49"/>
      <c r="DV346" s="49"/>
      <c r="DW346" s="49"/>
      <c r="DX346" s="49"/>
      <c r="DY346" s="49"/>
      <c r="DZ346" s="49"/>
      <c r="EA346" s="49"/>
    </row>
    <row r="347" spans="1:131" s="50" customFormat="1" ht="15" x14ac:dyDescent="0.25">
      <c r="A347" s="693"/>
      <c r="B347" s="690"/>
      <c r="C347" s="690"/>
      <c r="D347" s="693"/>
      <c r="E347" s="690"/>
      <c r="F347" s="711"/>
      <c r="G347" s="693"/>
      <c r="H347" s="693"/>
      <c r="I347" s="711"/>
      <c r="J347" s="735"/>
      <c r="K347" s="693"/>
      <c r="L347" s="693"/>
      <c r="M347" s="735"/>
      <c r="N347" s="812"/>
      <c r="O347" s="743"/>
      <c r="P347" s="78" t="s">
        <v>2602</v>
      </c>
      <c r="Q347" s="457" t="s">
        <v>2603</v>
      </c>
      <c r="R347" s="78" t="s">
        <v>2604</v>
      </c>
      <c r="S347" s="274">
        <v>35700851</v>
      </c>
      <c r="T347" s="46"/>
      <c r="U347" s="598">
        <v>64</v>
      </c>
      <c r="V347" s="273" t="s">
        <v>2802</v>
      </c>
      <c r="W347" s="274">
        <v>35700476</v>
      </c>
      <c r="X347" s="598"/>
      <c r="Y347" s="273"/>
      <c r="Z347" s="274">
        <v>35700476</v>
      </c>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DQ347" s="49"/>
      <c r="DR347" s="49"/>
      <c r="DS347" s="49"/>
      <c r="DT347" s="49"/>
      <c r="DU347" s="49"/>
      <c r="DV347" s="49"/>
      <c r="DW347" s="49"/>
      <c r="DX347" s="49"/>
      <c r="DY347" s="49"/>
      <c r="DZ347" s="49"/>
      <c r="EA347" s="49"/>
    </row>
    <row r="348" spans="1:131" s="50" customFormat="1" ht="15" x14ac:dyDescent="0.25">
      <c r="A348" s="693"/>
      <c r="B348" s="690"/>
      <c r="C348" s="690"/>
      <c r="D348" s="693"/>
      <c r="E348" s="690"/>
      <c r="F348" s="711"/>
      <c r="G348" s="693"/>
      <c r="H348" s="693"/>
      <c r="I348" s="711"/>
      <c r="J348" s="735"/>
      <c r="K348" s="693"/>
      <c r="L348" s="693"/>
      <c r="M348" s="735"/>
      <c r="N348" s="812"/>
      <c r="O348" s="743"/>
      <c r="P348" s="78"/>
      <c r="Q348" s="330"/>
      <c r="R348" s="78"/>
      <c r="S348" s="274"/>
      <c r="T348" s="46"/>
      <c r="U348" s="330"/>
      <c r="V348" s="79"/>
      <c r="W348" s="274"/>
      <c r="X348" s="330"/>
      <c r="Y348" s="79"/>
      <c r="Z348" s="330"/>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49"/>
      <c r="CN348" s="49"/>
      <c r="CO348" s="49"/>
      <c r="CP348" s="49"/>
      <c r="CQ348" s="49"/>
      <c r="CR348" s="49"/>
      <c r="CS348" s="49"/>
      <c r="CT348" s="49"/>
      <c r="CU348" s="49"/>
      <c r="CV348" s="49"/>
      <c r="CW348" s="49"/>
      <c r="CX348" s="49"/>
      <c r="CY348" s="49"/>
      <c r="CZ348" s="49"/>
      <c r="DA348" s="49"/>
      <c r="DB348" s="49"/>
      <c r="DC348" s="49"/>
      <c r="DD348" s="49"/>
      <c r="DE348" s="49"/>
      <c r="DF348" s="49"/>
      <c r="DG348" s="49"/>
      <c r="DH348" s="49"/>
      <c r="DI348" s="49"/>
      <c r="DJ348" s="49"/>
      <c r="DK348" s="49"/>
      <c r="DL348" s="49"/>
      <c r="DM348" s="49"/>
      <c r="DN348" s="49"/>
      <c r="DO348" s="49"/>
      <c r="DP348" s="49"/>
      <c r="DQ348" s="49"/>
      <c r="DR348" s="49"/>
      <c r="DS348" s="49"/>
      <c r="DT348" s="49"/>
      <c r="DU348" s="49"/>
      <c r="DV348" s="49"/>
      <c r="DW348" s="49"/>
      <c r="DX348" s="49"/>
      <c r="DY348" s="49"/>
      <c r="DZ348" s="49"/>
      <c r="EA348" s="49"/>
    </row>
    <row r="349" spans="1:131" s="50" customFormat="1" ht="15" x14ac:dyDescent="0.25">
      <c r="A349" s="693"/>
      <c r="B349" s="690"/>
      <c r="C349" s="690"/>
      <c r="D349" s="693"/>
      <c r="E349" s="690"/>
      <c r="F349" s="711"/>
      <c r="G349" s="693"/>
      <c r="H349" s="693"/>
      <c r="I349" s="711"/>
      <c r="J349" s="735"/>
      <c r="K349" s="693"/>
      <c r="L349" s="693"/>
      <c r="M349" s="735"/>
      <c r="N349" s="812"/>
      <c r="O349" s="743"/>
      <c r="P349" s="78"/>
      <c r="Q349" s="330"/>
      <c r="R349" s="78"/>
      <c r="S349" s="274"/>
      <c r="T349" s="46"/>
      <c r="U349" s="330"/>
      <c r="V349" s="79"/>
      <c r="W349" s="274"/>
      <c r="X349" s="330"/>
      <c r="Y349" s="79"/>
      <c r="Z349" s="330"/>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s="49"/>
      <c r="DR349" s="49"/>
      <c r="DS349" s="49"/>
      <c r="DT349" s="49"/>
      <c r="DU349" s="49"/>
      <c r="DV349" s="49"/>
      <c r="DW349" s="49"/>
      <c r="DX349" s="49"/>
      <c r="DY349" s="49"/>
      <c r="DZ349" s="49"/>
      <c r="EA349" s="49"/>
    </row>
    <row r="350" spans="1:131" s="50" customFormat="1" ht="15" x14ac:dyDescent="0.25">
      <c r="A350" s="693"/>
      <c r="B350" s="690"/>
      <c r="C350" s="690"/>
      <c r="D350" s="693"/>
      <c r="E350" s="690"/>
      <c r="F350" s="711"/>
      <c r="G350" s="693"/>
      <c r="H350" s="693"/>
      <c r="I350" s="711"/>
      <c r="J350" s="735"/>
      <c r="K350" s="693"/>
      <c r="L350" s="693"/>
      <c r="M350" s="735"/>
      <c r="N350" s="812"/>
      <c r="O350" s="743"/>
      <c r="P350" s="78"/>
      <c r="Q350" s="330"/>
      <c r="R350" s="78"/>
      <c r="S350" s="274"/>
      <c r="T350" s="46"/>
      <c r="U350" s="330"/>
      <c r="V350" s="79"/>
      <c r="W350" s="274"/>
      <c r="X350" s="330"/>
      <c r="Y350" s="79"/>
      <c r="Z350" s="330"/>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s="49"/>
      <c r="DR350" s="49"/>
      <c r="DS350" s="49"/>
      <c r="DT350" s="49"/>
      <c r="DU350" s="49"/>
      <c r="DV350" s="49"/>
      <c r="DW350" s="49"/>
      <c r="DX350" s="49"/>
      <c r="DY350" s="49"/>
      <c r="DZ350" s="49"/>
      <c r="EA350" s="49"/>
    </row>
    <row r="351" spans="1:131" s="50" customFormat="1" ht="15" x14ac:dyDescent="0.25">
      <c r="A351" s="693"/>
      <c r="B351" s="690"/>
      <c r="C351" s="690"/>
      <c r="D351" s="693"/>
      <c r="E351" s="690"/>
      <c r="F351" s="711"/>
      <c r="G351" s="693"/>
      <c r="H351" s="693"/>
      <c r="I351" s="711"/>
      <c r="J351" s="735"/>
      <c r="K351" s="693"/>
      <c r="L351" s="693"/>
      <c r="M351" s="735"/>
      <c r="N351" s="812"/>
      <c r="O351" s="743"/>
      <c r="P351" s="78"/>
      <c r="Q351" s="330"/>
      <c r="R351" s="78"/>
      <c r="S351" s="274"/>
      <c r="T351" s="46"/>
      <c r="U351" s="330"/>
      <c r="V351" s="79"/>
      <c r="W351" s="274"/>
      <c r="X351" s="330"/>
      <c r="Y351" s="79"/>
      <c r="Z351" s="330"/>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DQ351" s="49"/>
      <c r="DR351" s="49"/>
      <c r="DS351" s="49"/>
      <c r="DT351" s="49"/>
      <c r="DU351" s="49"/>
      <c r="DV351" s="49"/>
      <c r="DW351" s="49"/>
      <c r="DX351" s="49"/>
      <c r="DY351" s="49"/>
      <c r="DZ351" s="49"/>
      <c r="EA351" s="49"/>
    </row>
    <row r="352" spans="1:131" s="50" customFormat="1" ht="15" x14ac:dyDescent="0.25">
      <c r="A352" s="693"/>
      <c r="B352" s="690"/>
      <c r="C352" s="690"/>
      <c r="D352" s="693"/>
      <c r="E352" s="690"/>
      <c r="F352" s="711"/>
      <c r="G352" s="693"/>
      <c r="H352" s="693"/>
      <c r="I352" s="711"/>
      <c r="J352" s="735"/>
      <c r="K352" s="693"/>
      <c r="L352" s="693"/>
      <c r="M352" s="735"/>
      <c r="N352" s="812"/>
      <c r="O352" s="743"/>
      <c r="P352" s="78"/>
      <c r="Q352" s="330"/>
      <c r="R352" s="78"/>
      <c r="S352" s="274"/>
      <c r="T352" s="46"/>
      <c r="U352" s="330"/>
      <c r="V352" s="79"/>
      <c r="W352" s="274"/>
      <c r="X352" s="330"/>
      <c r="Y352" s="79"/>
      <c r="Z352" s="330"/>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s="49"/>
      <c r="DR352" s="49"/>
      <c r="DS352" s="49"/>
      <c r="DT352" s="49"/>
      <c r="DU352" s="49"/>
      <c r="DV352" s="49"/>
      <c r="DW352" s="49"/>
      <c r="DX352" s="49"/>
      <c r="DY352" s="49"/>
      <c r="DZ352" s="49"/>
      <c r="EA352" s="49"/>
    </row>
    <row r="353" spans="1:131" s="50" customFormat="1" ht="15" x14ac:dyDescent="0.25">
      <c r="A353" s="693"/>
      <c r="B353" s="690"/>
      <c r="C353" s="690"/>
      <c r="D353" s="693"/>
      <c r="E353" s="690"/>
      <c r="F353" s="711"/>
      <c r="G353" s="693"/>
      <c r="H353" s="693"/>
      <c r="I353" s="711"/>
      <c r="J353" s="735"/>
      <c r="K353" s="693"/>
      <c r="L353" s="693"/>
      <c r="M353" s="735"/>
      <c r="N353" s="812"/>
      <c r="O353" s="743"/>
      <c r="P353" s="78"/>
      <c r="Q353" s="330"/>
      <c r="R353" s="78"/>
      <c r="S353" s="274"/>
      <c r="T353" s="46"/>
      <c r="U353" s="330"/>
      <c r="V353" s="79"/>
      <c r="W353" s="274"/>
      <c r="X353" s="330"/>
      <c r="Y353" s="79"/>
      <c r="Z353" s="330"/>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s="49"/>
      <c r="DR353" s="49"/>
      <c r="DS353" s="49"/>
      <c r="DT353" s="49"/>
      <c r="DU353" s="49"/>
      <c r="DV353" s="49"/>
      <c r="DW353" s="49"/>
      <c r="DX353" s="49"/>
      <c r="DY353" s="49"/>
      <c r="DZ353" s="49"/>
      <c r="EA353" s="49"/>
    </row>
    <row r="354" spans="1:131" s="50" customFormat="1" ht="15" x14ac:dyDescent="0.25">
      <c r="A354" s="693"/>
      <c r="B354" s="690"/>
      <c r="C354" s="690"/>
      <c r="D354" s="694"/>
      <c r="E354" s="691"/>
      <c r="F354" s="712"/>
      <c r="G354" s="694"/>
      <c r="H354" s="694"/>
      <c r="I354" s="712"/>
      <c r="J354" s="729"/>
      <c r="K354" s="694"/>
      <c r="L354" s="694"/>
      <c r="M354" s="729"/>
      <c r="N354" s="811"/>
      <c r="O354" s="743"/>
      <c r="P354" s="44"/>
      <c r="Q354" s="44"/>
      <c r="R354" s="44"/>
      <c r="S354" s="44"/>
      <c r="T354" s="46"/>
      <c r="U354" s="44"/>
      <c r="V354" s="79"/>
      <c r="W354" s="44"/>
      <c r="X354" s="44"/>
      <c r="Y354" s="79"/>
      <c r="Z354" s="44"/>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DQ354" s="49"/>
      <c r="DR354" s="49"/>
      <c r="DS354" s="49"/>
      <c r="DT354" s="49"/>
      <c r="DU354" s="49"/>
      <c r="DV354" s="49"/>
      <c r="DW354" s="49"/>
      <c r="DX354" s="49"/>
      <c r="DY354" s="49"/>
      <c r="DZ354" s="49"/>
      <c r="EA354" s="49"/>
    </row>
    <row r="355" spans="1:131" s="50" customFormat="1" ht="40.5" x14ac:dyDescent="0.25">
      <c r="A355" s="693"/>
      <c r="B355" s="690"/>
      <c r="C355" s="690"/>
      <c r="D355" s="225" t="s">
        <v>1036</v>
      </c>
      <c r="E355" s="227" t="s">
        <v>138</v>
      </c>
      <c r="F355" s="222"/>
      <c r="G355" s="225"/>
      <c r="H355" s="85"/>
      <c r="I355" s="287">
        <v>14212656</v>
      </c>
      <c r="J355" s="233"/>
      <c r="K355" s="85"/>
      <c r="L355" s="334">
        <v>560913494</v>
      </c>
      <c r="M355" s="225"/>
      <c r="N355" s="514">
        <f t="shared" si="2"/>
        <v>575126150</v>
      </c>
      <c r="O355" s="743"/>
      <c r="P355" s="80" t="s">
        <v>2594</v>
      </c>
      <c r="Q355" s="541" t="s">
        <v>885</v>
      </c>
      <c r="R355" s="80" t="s">
        <v>2595</v>
      </c>
      <c r="S355" s="345"/>
      <c r="T355" s="46"/>
      <c r="U355" s="228"/>
      <c r="V355" s="216"/>
      <c r="W355" s="228"/>
      <c r="X355" s="228"/>
      <c r="Y355" s="79"/>
      <c r="Z355" s="228"/>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DQ355" s="49"/>
      <c r="DR355" s="49"/>
      <c r="DS355" s="49"/>
      <c r="DT355" s="49"/>
      <c r="DU355" s="49"/>
      <c r="DV355" s="49"/>
      <c r="DW355" s="49"/>
      <c r="DX355" s="49"/>
      <c r="DY355" s="49"/>
      <c r="DZ355" s="49"/>
      <c r="EA355" s="49"/>
    </row>
    <row r="356" spans="1:131" s="50" customFormat="1" ht="15" x14ac:dyDescent="0.25">
      <c r="A356" s="693"/>
      <c r="B356" s="690"/>
      <c r="C356" s="690"/>
      <c r="D356" s="409"/>
      <c r="E356" s="439"/>
      <c r="F356" s="417"/>
      <c r="G356" s="409"/>
      <c r="H356" s="48"/>
      <c r="I356" s="481"/>
      <c r="J356" s="169"/>
      <c r="K356" s="48"/>
      <c r="L356" s="417"/>
      <c r="M356" s="409"/>
      <c r="N356" s="426"/>
      <c r="O356" s="743"/>
      <c r="P356" s="80" t="s">
        <v>2535</v>
      </c>
      <c r="Q356" s="459" t="s">
        <v>2596</v>
      </c>
      <c r="R356" s="80" t="s">
        <v>2597</v>
      </c>
      <c r="S356" s="528">
        <v>17779355</v>
      </c>
      <c r="T356" s="46"/>
      <c r="U356" s="330"/>
      <c r="V356" s="79"/>
      <c r="W356" s="330"/>
      <c r="X356" s="330"/>
      <c r="Y356" s="79"/>
      <c r="Z356" s="330"/>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DQ356" s="49"/>
      <c r="DR356" s="49"/>
      <c r="DS356" s="49"/>
      <c r="DT356" s="49"/>
      <c r="DU356" s="49"/>
      <c r="DV356" s="49"/>
      <c r="DW356" s="49"/>
      <c r="DX356" s="49"/>
      <c r="DY356" s="49"/>
      <c r="DZ356" s="49"/>
      <c r="EA356" s="49"/>
    </row>
    <row r="357" spans="1:131" s="50" customFormat="1" ht="27" customHeight="1" x14ac:dyDescent="0.25">
      <c r="A357" s="693"/>
      <c r="B357" s="690"/>
      <c r="C357" s="690"/>
      <c r="D357" s="692" t="s">
        <v>792</v>
      </c>
      <c r="E357" s="705" t="s">
        <v>111</v>
      </c>
      <c r="F357" s="728"/>
      <c r="G357" s="692"/>
      <c r="H357" s="692"/>
      <c r="I357" s="710">
        <v>504141589</v>
      </c>
      <c r="J357" s="728"/>
      <c r="K357" s="692"/>
      <c r="L357" s="692"/>
      <c r="M357" s="692"/>
      <c r="N357" s="810">
        <f t="shared" si="2"/>
        <v>504141589</v>
      </c>
      <c r="O357" s="743"/>
      <c r="P357" s="78" t="s">
        <v>1677</v>
      </c>
      <c r="Q357" s="457" t="s">
        <v>1685</v>
      </c>
      <c r="R357" s="80" t="s">
        <v>1681</v>
      </c>
      <c r="S357" s="345">
        <v>34598765</v>
      </c>
      <c r="T357" s="46"/>
      <c r="U357" s="598">
        <v>38</v>
      </c>
      <c r="V357" s="273">
        <v>44764</v>
      </c>
      <c r="W357" s="345">
        <v>34598765</v>
      </c>
      <c r="X357" s="598">
        <v>105</v>
      </c>
      <c r="Y357" s="273">
        <v>44778</v>
      </c>
      <c r="Z357" s="345">
        <v>34598765</v>
      </c>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DQ357" s="49"/>
      <c r="DR357" s="49"/>
      <c r="DS357" s="49"/>
      <c r="DT357" s="49"/>
      <c r="DU357" s="49"/>
      <c r="DV357" s="49"/>
      <c r="DW357" s="49"/>
      <c r="DX357" s="49"/>
      <c r="DY357" s="49"/>
      <c r="DZ357" s="49"/>
      <c r="EA357" s="49"/>
    </row>
    <row r="358" spans="1:131" s="50" customFormat="1" ht="15" x14ac:dyDescent="0.25">
      <c r="A358" s="693"/>
      <c r="B358" s="690"/>
      <c r="C358" s="690"/>
      <c r="D358" s="693"/>
      <c r="E358" s="706"/>
      <c r="F358" s="735"/>
      <c r="G358" s="693"/>
      <c r="H358" s="693"/>
      <c r="I358" s="711"/>
      <c r="J358" s="735"/>
      <c r="K358" s="693"/>
      <c r="L358" s="693"/>
      <c r="M358" s="693"/>
      <c r="N358" s="812"/>
      <c r="O358" s="743"/>
      <c r="P358" s="78" t="s">
        <v>1678</v>
      </c>
      <c r="Q358" s="457" t="s">
        <v>1686</v>
      </c>
      <c r="R358" s="80" t="s">
        <v>1682</v>
      </c>
      <c r="S358" s="345">
        <v>1640000</v>
      </c>
      <c r="T358" s="46"/>
      <c r="U358" s="598">
        <v>48</v>
      </c>
      <c r="V358" s="273">
        <v>44798</v>
      </c>
      <c r="W358" s="345">
        <v>1640000</v>
      </c>
      <c r="X358" s="598">
        <v>130</v>
      </c>
      <c r="Y358" s="273">
        <v>44812</v>
      </c>
      <c r="Z358" s="349">
        <v>1640000</v>
      </c>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s="49"/>
      <c r="DR358" s="49"/>
      <c r="DS358" s="49"/>
      <c r="DT358" s="49"/>
      <c r="DU358" s="49"/>
      <c r="DV358" s="49"/>
      <c r="DW358" s="49"/>
      <c r="DX358" s="49"/>
      <c r="DY358" s="49"/>
      <c r="DZ358" s="49"/>
      <c r="EA358" s="49"/>
    </row>
    <row r="359" spans="1:131" s="50" customFormat="1" ht="15" x14ac:dyDescent="0.25">
      <c r="A359" s="693"/>
      <c r="B359" s="690"/>
      <c r="C359" s="690"/>
      <c r="D359" s="693"/>
      <c r="E359" s="706"/>
      <c r="F359" s="735"/>
      <c r="G359" s="693"/>
      <c r="H359" s="693"/>
      <c r="I359" s="711"/>
      <c r="J359" s="735"/>
      <c r="K359" s="693"/>
      <c r="L359" s="693"/>
      <c r="M359" s="693"/>
      <c r="N359" s="812"/>
      <c r="O359" s="743"/>
      <c r="P359" s="78" t="s">
        <v>1679</v>
      </c>
      <c r="Q359" s="457" t="s">
        <v>1687</v>
      </c>
      <c r="R359" s="80" t="s">
        <v>1683</v>
      </c>
      <c r="S359" s="345">
        <v>116063100</v>
      </c>
      <c r="T359" s="46"/>
      <c r="U359" s="598">
        <v>50</v>
      </c>
      <c r="V359" s="273">
        <v>44812</v>
      </c>
      <c r="W359" s="345">
        <v>116063100</v>
      </c>
      <c r="X359" s="598">
        <v>132</v>
      </c>
      <c r="Y359" s="273">
        <v>44818</v>
      </c>
      <c r="Z359" s="275">
        <v>116063100</v>
      </c>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c r="DP359" s="49"/>
      <c r="DQ359" s="49"/>
      <c r="DR359" s="49"/>
      <c r="DS359" s="49"/>
      <c r="DT359" s="49"/>
      <c r="DU359" s="49"/>
      <c r="DV359" s="49"/>
      <c r="DW359" s="49"/>
      <c r="DX359" s="49"/>
      <c r="DY359" s="49"/>
      <c r="DZ359" s="49"/>
      <c r="EA359" s="49"/>
    </row>
    <row r="360" spans="1:131" s="50" customFormat="1" ht="15" x14ac:dyDescent="0.25">
      <c r="A360" s="693"/>
      <c r="B360" s="690"/>
      <c r="C360" s="690"/>
      <c r="D360" s="694"/>
      <c r="E360" s="707"/>
      <c r="F360" s="729"/>
      <c r="G360" s="694"/>
      <c r="H360" s="694"/>
      <c r="I360" s="712"/>
      <c r="J360" s="729"/>
      <c r="K360" s="694"/>
      <c r="L360" s="694"/>
      <c r="M360" s="694"/>
      <c r="N360" s="811"/>
      <c r="O360" s="743"/>
      <c r="P360" s="78" t="s">
        <v>1680</v>
      </c>
      <c r="Q360" s="457" t="s">
        <v>1688</v>
      </c>
      <c r="R360" s="80" t="s">
        <v>1684</v>
      </c>
      <c r="S360" s="528">
        <v>910000</v>
      </c>
      <c r="T360" s="46"/>
      <c r="U360" s="598"/>
      <c r="V360" s="273"/>
      <c r="W360" s="345"/>
      <c r="X360" s="598"/>
      <c r="Y360" s="273"/>
      <c r="Z360" s="330"/>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c r="DP360" s="49"/>
      <c r="DQ360" s="49"/>
      <c r="DR360" s="49"/>
      <c r="DS360" s="49"/>
      <c r="DT360" s="49"/>
      <c r="DU360" s="49"/>
      <c r="DV360" s="49"/>
      <c r="DW360" s="49"/>
      <c r="DX360" s="49"/>
      <c r="DY360" s="49"/>
      <c r="DZ360" s="49"/>
      <c r="EA360" s="49"/>
    </row>
    <row r="361" spans="1:131" s="50" customFormat="1" ht="15" x14ac:dyDescent="0.25">
      <c r="A361" s="693"/>
      <c r="B361" s="690"/>
      <c r="C361" s="690"/>
      <c r="D361" s="410"/>
      <c r="E361" s="415"/>
      <c r="F361" s="418"/>
      <c r="G361" s="410"/>
      <c r="H361" s="85"/>
      <c r="I361" s="287"/>
      <c r="J361" s="233"/>
      <c r="K361" s="85"/>
      <c r="L361" s="410"/>
      <c r="M361" s="410"/>
      <c r="N361" s="427"/>
      <c r="O361" s="743"/>
      <c r="P361" s="78" t="s">
        <v>2591</v>
      </c>
      <c r="Q361" s="457" t="s">
        <v>2592</v>
      </c>
      <c r="R361" s="80" t="s">
        <v>2593</v>
      </c>
      <c r="S361" s="345">
        <v>19996284</v>
      </c>
      <c r="T361" s="46"/>
      <c r="U361" s="598">
        <v>62</v>
      </c>
      <c r="V361" s="273" t="s">
        <v>2775</v>
      </c>
      <c r="W361" s="345">
        <v>19996284</v>
      </c>
      <c r="X361" s="598">
        <v>158</v>
      </c>
      <c r="Y361" s="273" t="s">
        <v>2771</v>
      </c>
      <c r="Z361" s="345">
        <v>19996284</v>
      </c>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c r="DP361" s="49"/>
      <c r="DQ361" s="49"/>
      <c r="DR361" s="49"/>
      <c r="DS361" s="49"/>
      <c r="DT361" s="49"/>
      <c r="DU361" s="49"/>
      <c r="DV361" s="49"/>
      <c r="DW361" s="49"/>
      <c r="DX361" s="49"/>
      <c r="DY361" s="49"/>
      <c r="DZ361" s="49"/>
      <c r="EA361" s="49"/>
    </row>
    <row r="362" spans="1:131" s="50" customFormat="1" ht="25.5" x14ac:dyDescent="0.25">
      <c r="A362" s="694"/>
      <c r="B362" s="691"/>
      <c r="C362" s="691"/>
      <c r="D362" s="225" t="s">
        <v>1040</v>
      </c>
      <c r="E362" s="227" t="s">
        <v>140</v>
      </c>
      <c r="F362" s="399"/>
      <c r="G362" s="225"/>
      <c r="H362" s="85"/>
      <c r="I362" s="287">
        <v>40932923</v>
      </c>
      <c r="J362" s="233"/>
      <c r="K362" s="85"/>
      <c r="L362" s="225"/>
      <c r="M362" s="225"/>
      <c r="N362" s="514">
        <f t="shared" si="2"/>
        <v>40932923</v>
      </c>
      <c r="O362" s="744"/>
      <c r="P362" s="228"/>
      <c r="Q362" s="228"/>
      <c r="R362" s="228"/>
      <c r="S362" s="228"/>
      <c r="T362" s="46"/>
      <c r="U362" s="228"/>
      <c r="V362" s="79"/>
      <c r="W362" s="228"/>
      <c r="X362" s="228"/>
      <c r="Y362" s="79"/>
      <c r="Z362" s="228"/>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DQ362" s="49"/>
      <c r="DR362" s="49"/>
      <c r="DS362" s="49"/>
      <c r="DT362" s="49"/>
      <c r="DU362" s="49"/>
      <c r="DV362" s="49"/>
      <c r="DW362" s="49"/>
      <c r="DX362" s="49"/>
      <c r="DY362" s="49"/>
      <c r="DZ362" s="49"/>
      <c r="EA362" s="49"/>
    </row>
    <row r="363" spans="1:131" s="107" customFormat="1" ht="15.75" thickBot="1" x14ac:dyDescent="0.3">
      <c r="A363" s="92"/>
      <c r="B363" s="92"/>
      <c r="C363" s="92"/>
      <c r="D363" s="92"/>
      <c r="E363" s="104"/>
      <c r="F363" s="101"/>
      <c r="G363" s="92"/>
      <c r="H363" s="93"/>
      <c r="I363" s="93"/>
      <c r="J363" s="93"/>
      <c r="K363" s="93"/>
      <c r="L363" s="92"/>
      <c r="M363" s="92"/>
      <c r="N363" s="102">
        <f>SUM(N304:N362)</f>
        <v>1686484643</v>
      </c>
      <c r="O363" s="101"/>
      <c r="P363" s="105"/>
      <c r="Q363" s="86"/>
      <c r="R363" s="95"/>
      <c r="S363" s="103">
        <f>SUM(S304:S362)</f>
        <v>452487605</v>
      </c>
      <c r="T363" s="89"/>
      <c r="U363" s="86"/>
      <c r="V363" s="95"/>
      <c r="W363" s="103">
        <f>SUM(W304:W362)</f>
        <v>422836734</v>
      </c>
      <c r="X363" s="86"/>
      <c r="Y363" s="95"/>
      <c r="Z363" s="103">
        <f>SUM(Z304:XFD362)</f>
        <v>422836734</v>
      </c>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row>
    <row r="364" spans="1:131" s="63" customFormat="1" ht="17.25" thickBot="1" x14ac:dyDescent="0.35">
      <c r="A364" s="51"/>
      <c r="B364" s="51"/>
      <c r="C364" s="42"/>
      <c r="D364" s="42"/>
      <c r="E364" s="42"/>
      <c r="F364" s="52"/>
      <c r="G364" s="42"/>
      <c r="H364" s="43"/>
      <c r="I364" s="231"/>
      <c r="J364" s="231"/>
      <c r="K364" s="231"/>
      <c r="L364" s="53" t="s">
        <v>29</v>
      </c>
      <c r="M364" s="54"/>
      <c r="N364" s="55">
        <f>+N363+N303+N274</f>
        <v>4651076468</v>
      </c>
      <c r="O364" s="75"/>
      <c r="P364" s="75"/>
      <c r="Q364" s="75"/>
      <c r="R364" s="75"/>
      <c r="S364" s="74">
        <f>+S363+S303+S274</f>
        <v>2112571216</v>
      </c>
      <c r="T364" s="57">
        <f>(S364*1)/N364</f>
        <v>0.4542112413190279</v>
      </c>
      <c r="U364" s="124"/>
      <c r="V364" s="113"/>
      <c r="W364" s="114">
        <f>+W363+W303+W274</f>
        <v>1516066383</v>
      </c>
      <c r="X364" s="124"/>
      <c r="Y364" s="113"/>
      <c r="Z364" s="115">
        <f>+Z363+Z303+Z274</f>
        <v>1516066383</v>
      </c>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2"/>
      <c r="BD364" s="62"/>
      <c r="BE364" s="62"/>
      <c r="BF364" s="62"/>
      <c r="BG364" s="62"/>
      <c r="BH364" s="62"/>
      <c r="BI364" s="62"/>
      <c r="BJ364" s="62"/>
      <c r="BK364" s="62"/>
      <c r="BL364" s="62"/>
      <c r="BM364" s="62"/>
      <c r="BN364" s="62"/>
      <c r="BO364" s="62"/>
      <c r="BP364" s="62"/>
      <c r="BQ364" s="62"/>
      <c r="BR364" s="62"/>
      <c r="BS364" s="62"/>
      <c r="BT364" s="62"/>
      <c r="BU364" s="62"/>
      <c r="BV364" s="62"/>
      <c r="BW364" s="62"/>
      <c r="BX364" s="62"/>
      <c r="BY364" s="62"/>
      <c r="BZ364" s="62"/>
      <c r="CA364" s="62"/>
      <c r="CB364" s="62"/>
      <c r="CC364" s="62"/>
      <c r="CD364" s="62"/>
      <c r="CE364" s="62"/>
      <c r="CF364" s="62"/>
      <c r="CG364" s="62"/>
      <c r="CH364" s="62"/>
      <c r="CI364" s="62"/>
      <c r="CJ364" s="62"/>
      <c r="CK364" s="62"/>
      <c r="CL364" s="62"/>
      <c r="CM364" s="62"/>
      <c r="CN364" s="62"/>
      <c r="CO364" s="62"/>
      <c r="CP364" s="62"/>
      <c r="CQ364" s="62"/>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row>
    <row r="365" spans="1:131" ht="15" x14ac:dyDescent="0.25">
      <c r="T365" s="4"/>
    </row>
    <row r="366" spans="1:131" ht="15" x14ac:dyDescent="0.25">
      <c r="S366" s="72"/>
      <c r="T366" s="6"/>
      <c r="U366" s="72"/>
    </row>
    <row r="367" spans="1:131" ht="15" x14ac:dyDescent="0.25">
      <c r="S367" s="72"/>
      <c r="T367" s="6"/>
      <c r="U367" s="72"/>
      <c r="Z367" s="393"/>
    </row>
    <row r="368" spans="1:131" ht="15" x14ac:dyDescent="0.25">
      <c r="S368" s="72"/>
      <c r="T368" s="6"/>
      <c r="U368" s="72"/>
    </row>
    <row r="369" spans="19:21" ht="15" x14ac:dyDescent="0.25">
      <c r="S369" s="72"/>
      <c r="T369" s="6"/>
      <c r="U369" s="72"/>
    </row>
    <row r="370" spans="19:21" ht="15" x14ac:dyDescent="0.25">
      <c r="S370" s="72"/>
      <c r="T370" s="6"/>
      <c r="U370" s="72"/>
    </row>
    <row r="371" spans="19:21" ht="15" x14ac:dyDescent="0.25">
      <c r="S371" s="72"/>
      <c r="T371" s="6"/>
      <c r="U371" s="72"/>
    </row>
    <row r="372" spans="19:21" ht="15" x14ac:dyDescent="0.25">
      <c r="S372" s="72"/>
      <c r="T372" s="6"/>
      <c r="U372" s="72"/>
    </row>
    <row r="373" spans="19:21" ht="15" x14ac:dyDescent="0.25">
      <c r="S373" s="72"/>
      <c r="T373" s="6"/>
      <c r="U373" s="72"/>
    </row>
    <row r="374" spans="19:21" ht="15" x14ac:dyDescent="0.25">
      <c r="S374" s="72"/>
      <c r="T374" s="7"/>
      <c r="U374" s="72"/>
    </row>
    <row r="375" spans="19:21" ht="15" x14ac:dyDescent="0.25"/>
    <row r="376" spans="19:21" ht="15" x14ac:dyDescent="0.25"/>
    <row r="377" spans="19:21" ht="15" x14ac:dyDescent="0.25"/>
    <row r="378" spans="19:21" ht="15" x14ac:dyDescent="0.25"/>
    <row r="379" spans="19:21" ht="15" x14ac:dyDescent="0.25"/>
    <row r="380" spans="19:21" ht="15" x14ac:dyDescent="0.25"/>
    <row r="381" spans="19:21" ht="15" x14ac:dyDescent="0.25"/>
    <row r="382" spans="19:21" ht="15" x14ac:dyDescent="0.25"/>
    <row r="383" spans="19:21" ht="15" x14ac:dyDescent="0.25"/>
    <row r="384" spans="19:21"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sheetData>
  <sheetProtection algorithmName="SHA-512" hashValue="dcL5ZcGVdV/m6YsnF5v1ozr154k6Z+UfyV+ljVZNCagrYfnWf8QRPl5MYgN/cPi/OClaGLCtIuuglJfd1UGMhA==" saltValue="jWH8SIUfwvlIX6Jb7dQudg==" spinCount="100000" sheet="1" objects="1" scenarios="1" selectLockedCells="1" selectUnlockedCells="1"/>
  <mergeCells count="163">
    <mergeCell ref="M357:M360"/>
    <mergeCell ref="N357:N360"/>
    <mergeCell ref="H357:H360"/>
    <mergeCell ref="I357:I360"/>
    <mergeCell ref="J357:J360"/>
    <mergeCell ref="K357:K360"/>
    <mergeCell ref="L357:L360"/>
    <mergeCell ref="D357:D360"/>
    <mergeCell ref="E357:E360"/>
    <mergeCell ref="F357:F360"/>
    <mergeCell ref="G357:G360"/>
    <mergeCell ref="M313:M319"/>
    <mergeCell ref="O275:O302"/>
    <mergeCell ref="D306:D309"/>
    <mergeCell ref="E306:E309"/>
    <mergeCell ref="F306:F309"/>
    <mergeCell ref="G306:G309"/>
    <mergeCell ref="H306:H309"/>
    <mergeCell ref="I306:I309"/>
    <mergeCell ref="J306:J309"/>
    <mergeCell ref="K306:K309"/>
    <mergeCell ref="L306:L309"/>
    <mergeCell ref="M306:M309"/>
    <mergeCell ref="N306:N309"/>
    <mergeCell ref="O304:O362"/>
    <mergeCell ref="D313:D319"/>
    <mergeCell ref="D331:D334"/>
    <mergeCell ref="E331:E334"/>
    <mergeCell ref="F331:F334"/>
    <mergeCell ref="G331:G334"/>
    <mergeCell ref="H331:H334"/>
    <mergeCell ref="I313:I319"/>
    <mergeCell ref="J313:J319"/>
    <mergeCell ref="K313:K319"/>
    <mergeCell ref="L313:L319"/>
    <mergeCell ref="B275:B302"/>
    <mergeCell ref="C275:C302"/>
    <mergeCell ref="A275:A302"/>
    <mergeCell ref="E275:E302"/>
    <mergeCell ref="F275:F302"/>
    <mergeCell ref="G275:G302"/>
    <mergeCell ref="N244:N247"/>
    <mergeCell ref="D254:D255"/>
    <mergeCell ref="E254:E255"/>
    <mergeCell ref="F254:F255"/>
    <mergeCell ref="G254:G255"/>
    <mergeCell ref="H254:H255"/>
    <mergeCell ref="I254:I255"/>
    <mergeCell ref="J254:J255"/>
    <mergeCell ref="K254:K255"/>
    <mergeCell ref="L254:L255"/>
    <mergeCell ref="M254:M255"/>
    <mergeCell ref="N254:N255"/>
    <mergeCell ref="I244:I247"/>
    <mergeCell ref="J244:J247"/>
    <mergeCell ref="K244:K247"/>
    <mergeCell ref="L244:L247"/>
    <mergeCell ref="M244:M247"/>
    <mergeCell ref="D244:D247"/>
    <mergeCell ref="N239:N240"/>
    <mergeCell ref="D241:D242"/>
    <mergeCell ref="E241:E242"/>
    <mergeCell ref="F241:F242"/>
    <mergeCell ref="G241:G242"/>
    <mergeCell ref="H241:H242"/>
    <mergeCell ref="I241:I242"/>
    <mergeCell ref="J241:J242"/>
    <mergeCell ref="K241:K242"/>
    <mergeCell ref="L241:L242"/>
    <mergeCell ref="M241:M242"/>
    <mergeCell ref="N241:N242"/>
    <mergeCell ref="I239:I240"/>
    <mergeCell ref="J239:J240"/>
    <mergeCell ref="K239:K240"/>
    <mergeCell ref="L239:L240"/>
    <mergeCell ref="M239:M240"/>
    <mergeCell ref="D239:D240"/>
    <mergeCell ref="E239:E240"/>
    <mergeCell ref="F239:F240"/>
    <mergeCell ref="H336:H354"/>
    <mergeCell ref="N313:N319"/>
    <mergeCell ref="E313:E319"/>
    <mergeCell ref="F313:F319"/>
    <mergeCell ref="G313:G319"/>
    <mergeCell ref="H313:H319"/>
    <mergeCell ref="N10:N13"/>
    <mergeCell ref="G14:G125"/>
    <mergeCell ref="F14:F125"/>
    <mergeCell ref="K14:K125"/>
    <mergeCell ref="L14:L125"/>
    <mergeCell ref="M14:M125"/>
    <mergeCell ref="N14:N125"/>
    <mergeCell ref="G10:G13"/>
    <mergeCell ref="H10:H13"/>
    <mergeCell ref="I10:I13"/>
    <mergeCell ref="J10:J13"/>
    <mergeCell ref="G239:G240"/>
    <mergeCell ref="H239:H240"/>
    <mergeCell ref="E14:E125"/>
    <mergeCell ref="H14:H125"/>
    <mergeCell ref="I14:I125"/>
    <mergeCell ref="J14:J125"/>
    <mergeCell ref="L10:L13"/>
    <mergeCell ref="I336:I354"/>
    <mergeCell ref="N336:N354"/>
    <mergeCell ref="M336:M354"/>
    <mergeCell ref="L336:L354"/>
    <mergeCell ref="K336:K354"/>
    <mergeCell ref="J336:J354"/>
    <mergeCell ref="I331:I334"/>
    <mergeCell ref="J331:J334"/>
    <mergeCell ref="K331:K334"/>
    <mergeCell ref="L331:L334"/>
    <mergeCell ref="M331:M334"/>
    <mergeCell ref="N331:N334"/>
    <mergeCell ref="C8:C256"/>
    <mergeCell ref="D8:D9"/>
    <mergeCell ref="N8:N9"/>
    <mergeCell ref="J275:J302"/>
    <mergeCell ref="K275:K302"/>
    <mergeCell ref="L275:L302"/>
    <mergeCell ref="M275:M302"/>
    <mergeCell ref="N275:N302"/>
    <mergeCell ref="D275:D302"/>
    <mergeCell ref="H275:H302"/>
    <mergeCell ref="I275:I302"/>
    <mergeCell ref="I8:I9"/>
    <mergeCell ref="K8:K9"/>
    <mergeCell ref="J8:J9"/>
    <mergeCell ref="F10:F13"/>
    <mergeCell ref="E10:E13"/>
    <mergeCell ref="K10:K13"/>
    <mergeCell ref="D10:D13"/>
    <mergeCell ref="D14:D125"/>
    <mergeCell ref="M10:M13"/>
    <mergeCell ref="E244:E247"/>
    <mergeCell ref="F244:F247"/>
    <mergeCell ref="G244:G247"/>
    <mergeCell ref="H244:H247"/>
    <mergeCell ref="A304:A362"/>
    <mergeCell ref="B304:B362"/>
    <mergeCell ref="C304:C362"/>
    <mergeCell ref="D336:D354"/>
    <mergeCell ref="E336:E354"/>
    <mergeCell ref="F336:F354"/>
    <mergeCell ref="G336:G354"/>
    <mergeCell ref="Y2:Z2"/>
    <mergeCell ref="B3:X3"/>
    <mergeCell ref="Y3:Z3"/>
    <mergeCell ref="B4:X5"/>
    <mergeCell ref="Y4:Z4"/>
    <mergeCell ref="Y5:Z5"/>
    <mergeCell ref="A2:A5"/>
    <mergeCell ref="B2:X2"/>
    <mergeCell ref="E8:E9"/>
    <mergeCell ref="F8:F9"/>
    <mergeCell ref="M8:M9"/>
    <mergeCell ref="L8:L9"/>
    <mergeCell ref="G8:G9"/>
    <mergeCell ref="H8:H9"/>
    <mergeCell ref="O8:O273"/>
    <mergeCell ref="A8:A256"/>
    <mergeCell ref="B8:B256"/>
  </mergeCells>
  <conditionalFormatting sqref="T374:T1048576 T364 T304:T362 T7:T273 T275:T302">
    <cfRule type="cellIs" dxfId="299" priority="31" operator="between">
      <formula>0.51</formula>
      <formula>0.69</formula>
    </cfRule>
    <cfRule type="cellIs" dxfId="298" priority="32" operator="between">
      <formula>0.51</formula>
      <formula>0.69</formula>
    </cfRule>
    <cfRule type="cellIs" dxfId="297" priority="33" operator="lessThan">
      <formula>0.5</formula>
    </cfRule>
    <cfRule type="cellIs" dxfId="296" priority="34" operator="greaterThan">
      <formula>0.7</formula>
    </cfRule>
    <cfRule type="cellIs" dxfId="295" priority="35" operator="between">
      <formula>0.51</formula>
      <formula>0.69</formula>
    </cfRule>
    <cfRule type="cellIs" dxfId="294" priority="36" operator="lessThan">
      <formula>50</formula>
    </cfRule>
    <cfRule type="cellIs" dxfId="293" priority="37" operator="greaterThan">
      <formula>0.7</formula>
    </cfRule>
    <cfRule type="cellIs" dxfId="292" priority="38" operator="between">
      <formula>0.51</formula>
      <formula>0.69</formula>
    </cfRule>
    <cfRule type="cellIs" dxfId="291" priority="39" operator="lessThan">
      <formula>0.5</formula>
    </cfRule>
    <cfRule type="cellIs" dxfId="290" priority="40" operator="greaterThan">
      <formula>0.7</formula>
    </cfRule>
  </conditionalFormatting>
  <conditionalFormatting sqref="T274">
    <cfRule type="cellIs" dxfId="289" priority="21" operator="between">
      <formula>0.51</formula>
      <formula>0.69</formula>
    </cfRule>
    <cfRule type="cellIs" dxfId="288" priority="22" operator="between">
      <formula>0.51</formula>
      <formula>0.69</formula>
    </cfRule>
    <cfRule type="cellIs" dxfId="287" priority="23" operator="lessThan">
      <formula>0.5</formula>
    </cfRule>
    <cfRule type="cellIs" dxfId="286" priority="24" operator="greaterThan">
      <formula>0.7</formula>
    </cfRule>
    <cfRule type="cellIs" dxfId="285" priority="25" operator="between">
      <formula>0.51</formula>
      <formula>0.69</formula>
    </cfRule>
    <cfRule type="cellIs" dxfId="284" priority="26" operator="lessThan">
      <formula>50</formula>
    </cfRule>
    <cfRule type="cellIs" dxfId="283" priority="27" operator="greaterThan">
      <formula>0.7</formula>
    </cfRule>
    <cfRule type="cellIs" dxfId="282" priority="28" operator="between">
      <formula>0.51</formula>
      <formula>0.69</formula>
    </cfRule>
    <cfRule type="cellIs" dxfId="281" priority="29" operator="lessThan">
      <formula>0.5</formula>
    </cfRule>
    <cfRule type="cellIs" dxfId="280" priority="30" operator="greaterThan">
      <formula>0.7</formula>
    </cfRule>
  </conditionalFormatting>
  <conditionalFormatting sqref="T303">
    <cfRule type="cellIs" dxfId="279" priority="11" operator="between">
      <formula>0.51</formula>
      <formula>0.69</formula>
    </cfRule>
    <cfRule type="cellIs" dxfId="278" priority="12" operator="between">
      <formula>0.51</formula>
      <formula>0.69</formula>
    </cfRule>
    <cfRule type="cellIs" dxfId="277" priority="13" operator="lessThan">
      <formula>0.5</formula>
    </cfRule>
    <cfRule type="cellIs" dxfId="276" priority="14" operator="greaterThan">
      <formula>0.7</formula>
    </cfRule>
    <cfRule type="cellIs" dxfId="275" priority="15" operator="between">
      <formula>0.51</formula>
      <formula>0.69</formula>
    </cfRule>
    <cfRule type="cellIs" dxfId="274" priority="16" operator="lessThan">
      <formula>50</formula>
    </cfRule>
    <cfRule type="cellIs" dxfId="273" priority="17" operator="greaterThan">
      <formula>0.7</formula>
    </cfRule>
    <cfRule type="cellIs" dxfId="272" priority="18" operator="between">
      <formula>0.51</formula>
      <formula>0.69</formula>
    </cfRule>
    <cfRule type="cellIs" dxfId="271" priority="19" operator="lessThan">
      <formula>0.5</formula>
    </cfRule>
    <cfRule type="cellIs" dxfId="270" priority="20" operator="greaterThan">
      <formula>0.7</formula>
    </cfRule>
  </conditionalFormatting>
  <conditionalFormatting sqref="T363">
    <cfRule type="cellIs" dxfId="269" priority="1" operator="between">
      <formula>0.51</formula>
      <formula>0.69</formula>
    </cfRule>
    <cfRule type="cellIs" dxfId="268" priority="2" operator="between">
      <formula>0.51</formula>
      <formula>0.69</formula>
    </cfRule>
    <cfRule type="cellIs" dxfId="267" priority="3" operator="lessThan">
      <formula>0.5</formula>
    </cfRule>
    <cfRule type="cellIs" dxfId="266" priority="4" operator="greaterThan">
      <formula>0.7</formula>
    </cfRule>
    <cfRule type="cellIs" dxfId="265" priority="5" operator="between">
      <formula>0.51</formula>
      <formula>0.69</formula>
    </cfRule>
    <cfRule type="cellIs" dxfId="264" priority="6" operator="lessThan">
      <formula>50</formula>
    </cfRule>
    <cfRule type="cellIs" dxfId="263" priority="7" operator="greaterThan">
      <formula>0.7</formula>
    </cfRule>
    <cfRule type="cellIs" dxfId="262" priority="8" operator="between">
      <formula>0.51</formula>
      <formula>0.69</formula>
    </cfRule>
    <cfRule type="cellIs" dxfId="261" priority="9" operator="lessThan">
      <formula>0.5</formula>
    </cfRule>
    <cfRule type="cellIs" dxfId="260" priority="10" operator="greaterThan">
      <formula>0.7</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482B"/>
  </sheetPr>
  <dimension ref="A1:EB87"/>
  <sheetViews>
    <sheetView showGridLines="0" workbookViewId="0">
      <selection activeCell="C8" sqref="C8"/>
    </sheetView>
  </sheetViews>
  <sheetFormatPr baseColWidth="10" defaultColWidth="0" defaultRowHeight="0" customHeight="1" zeroHeight="1" x14ac:dyDescent="0.25"/>
  <cols>
    <col min="1" max="1" width="11.42578125" style="73" customWidth="1"/>
    <col min="2" max="2" width="45.7109375" style="73" customWidth="1"/>
    <col min="3" max="3" width="17.28515625" style="73" customWidth="1"/>
    <col min="4" max="4" width="14.7109375" style="73" customWidth="1"/>
    <col min="5" max="5" width="42.85546875" style="73" customWidth="1"/>
    <col min="6" max="6" width="21.140625" style="1" hidden="1" customWidth="1"/>
    <col min="7" max="7" width="19.85546875" style="73" hidden="1" customWidth="1"/>
    <col min="8" max="8" width="11.42578125" style="73" hidden="1" customWidth="1"/>
    <col min="9" max="9" width="12.7109375" style="73" hidden="1" customWidth="1"/>
    <col min="10" max="10" width="15.140625" style="73" hidden="1" customWidth="1"/>
    <col min="11" max="11" width="15" style="73" hidden="1" customWidth="1"/>
    <col min="12" max="12" width="18.7109375" style="73" customWidth="1"/>
    <col min="13" max="13" width="29.28515625" style="73" customWidth="1"/>
    <col min="14" max="14" width="15.7109375" style="73" customWidth="1"/>
    <col min="15" max="15" width="11.42578125" style="73" customWidth="1"/>
    <col min="16" max="16" width="15.42578125" style="73" customWidth="1"/>
    <col min="17" max="17" width="14.5703125" style="73" customWidth="1"/>
    <col min="18" max="18" width="11.5703125" style="3" bestFit="1" customWidth="1"/>
    <col min="19" max="19" width="11.42578125" style="73" customWidth="1"/>
    <col min="20" max="20" width="16.7109375" style="35" bestFit="1" customWidth="1"/>
    <col min="21" max="21" width="15.28515625" style="73" customWidth="1"/>
    <col min="22" max="22" width="11.42578125" style="73" customWidth="1"/>
    <col min="23" max="23" width="14.5703125" style="35" customWidth="1"/>
    <col min="24" max="24" width="19" style="73" bestFit="1" customWidth="1"/>
    <col min="25" max="129" width="11.5703125" style="72" hidden="1" customWidth="1"/>
    <col min="130" max="132" width="11.5703125" style="73" hidden="1" customWidth="1"/>
    <col min="133" max="16384" width="11.42578125" style="73"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97</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76.5" customHeight="1" x14ac:dyDescent="0.25">
      <c r="A8" s="68" t="s">
        <v>240</v>
      </c>
      <c r="B8" s="8" t="s">
        <v>241</v>
      </c>
      <c r="C8" s="69" t="s">
        <v>77</v>
      </c>
      <c r="D8" s="44" t="s">
        <v>1043</v>
      </c>
      <c r="E8" s="8" t="s">
        <v>162</v>
      </c>
      <c r="F8" s="275">
        <v>86500000</v>
      </c>
      <c r="G8" s="66">
        <v>0</v>
      </c>
      <c r="H8" s="44"/>
      <c r="I8" s="45"/>
      <c r="J8" s="44"/>
      <c r="K8" s="44"/>
      <c r="L8" s="65">
        <f>+F8+G8+H8+J8-K8</f>
        <v>86500000</v>
      </c>
      <c r="M8" s="297">
        <v>86500000</v>
      </c>
      <c r="N8" s="44"/>
      <c r="O8" s="44"/>
      <c r="P8" s="44"/>
      <c r="Q8" s="44"/>
      <c r="R8" s="46"/>
      <c r="S8" s="70"/>
      <c r="T8" s="47"/>
      <c r="U8" s="70"/>
      <c r="V8" s="70"/>
      <c r="W8" s="47"/>
      <c r="X8" s="48"/>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107" customFormat="1" ht="15.75" thickBot="1" x14ac:dyDescent="0.3">
      <c r="A9" s="92"/>
      <c r="B9" s="92"/>
      <c r="C9" s="92"/>
      <c r="D9" s="92"/>
      <c r="E9" s="104"/>
      <c r="F9" s="101"/>
      <c r="G9" s="101"/>
      <c r="H9" s="92"/>
      <c r="I9" s="93"/>
      <c r="J9" s="92"/>
      <c r="K9" s="92"/>
      <c r="L9" s="102">
        <f>+L8</f>
        <v>86500000</v>
      </c>
      <c r="M9" s="101"/>
      <c r="N9" s="105"/>
      <c r="O9" s="86"/>
      <c r="P9" s="95"/>
      <c r="Q9" s="103">
        <f>+Q8</f>
        <v>0</v>
      </c>
      <c r="R9" s="89"/>
      <c r="S9" s="86"/>
      <c r="T9" s="95"/>
      <c r="U9" s="103">
        <f>+U8</f>
        <v>0</v>
      </c>
      <c r="V9" s="86"/>
      <c r="W9" s="95"/>
      <c r="X9" s="103">
        <f>+X8</f>
        <v>0</v>
      </c>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row>
    <row r="10" spans="1:129" s="63" customFormat="1" ht="17.25" thickBot="1" x14ac:dyDescent="0.35">
      <c r="A10" s="51"/>
      <c r="B10" s="51"/>
      <c r="C10" s="42"/>
      <c r="D10" s="42"/>
      <c r="E10" s="42"/>
      <c r="F10" s="52"/>
      <c r="G10" s="42"/>
      <c r="H10" s="42"/>
      <c r="I10" s="43"/>
      <c r="J10" s="53" t="s">
        <v>29</v>
      </c>
      <c r="K10" s="54"/>
      <c r="L10" s="55">
        <f>+L9</f>
        <v>86500000</v>
      </c>
      <c r="M10" s="75"/>
      <c r="N10" s="75"/>
      <c r="O10" s="75"/>
      <c r="P10" s="75"/>
      <c r="Q10" s="130">
        <f>+Q9</f>
        <v>0</v>
      </c>
      <c r="R10" s="57">
        <f>(Q10*1)/L10</f>
        <v>0</v>
      </c>
      <c r="S10" s="58"/>
      <c r="T10" s="59"/>
      <c r="U10" s="60">
        <f>+U9</f>
        <v>0</v>
      </c>
      <c r="V10" s="58"/>
      <c r="W10" s="59"/>
      <c r="X10" s="61">
        <f>+X9</f>
        <v>0</v>
      </c>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row>
    <row r="11" spans="1:129" ht="15" x14ac:dyDescent="0.25">
      <c r="R11" s="4"/>
    </row>
    <row r="12" spans="1:129" ht="15" x14ac:dyDescent="0.25">
      <c r="Q12" s="72"/>
      <c r="R12" s="6"/>
      <c r="S12" s="72"/>
    </row>
    <row r="13" spans="1:129" ht="15" x14ac:dyDescent="0.25">
      <c r="Q13" s="72"/>
      <c r="R13" s="6"/>
      <c r="S13" s="72"/>
    </row>
    <row r="14" spans="1:129" ht="15" x14ac:dyDescent="0.25">
      <c r="Q14" s="72"/>
      <c r="R14" s="6"/>
      <c r="S14" s="72"/>
    </row>
    <row r="15" spans="1:129" ht="15" x14ac:dyDescent="0.25">
      <c r="Q15" s="72"/>
      <c r="R15" s="6"/>
      <c r="S15" s="72"/>
    </row>
    <row r="16" spans="1:129" ht="15" x14ac:dyDescent="0.25">
      <c r="Q16" s="72"/>
      <c r="R16" s="6"/>
      <c r="S16" s="72"/>
    </row>
    <row r="17" spans="17:19" ht="15" x14ac:dyDescent="0.25">
      <c r="Q17" s="72"/>
      <c r="R17" s="6"/>
      <c r="S17" s="72"/>
    </row>
    <row r="18" spans="17:19" ht="15" x14ac:dyDescent="0.25">
      <c r="Q18" s="72"/>
      <c r="R18" s="6"/>
      <c r="S18" s="72"/>
    </row>
    <row r="19" spans="17:19" ht="15" x14ac:dyDescent="0.25">
      <c r="Q19" s="72"/>
      <c r="R19" s="6"/>
      <c r="S19" s="72"/>
    </row>
    <row r="20" spans="17:19" ht="15" x14ac:dyDescent="0.25">
      <c r="Q20" s="72"/>
      <c r="R20" s="7"/>
      <c r="S20" s="72"/>
    </row>
    <row r="21" spans="17:19" ht="15" x14ac:dyDescent="0.25"/>
    <row r="22" spans="17:19" ht="15" x14ac:dyDescent="0.25"/>
    <row r="23" spans="17:19" ht="15" x14ac:dyDescent="0.25"/>
    <row r="24" spans="17:19" ht="15" x14ac:dyDescent="0.25"/>
    <row r="25" spans="17:19" ht="15" x14ac:dyDescent="0.25"/>
    <row r="26" spans="17:19" ht="15" x14ac:dyDescent="0.25"/>
    <row r="27" spans="17:19" ht="15" x14ac:dyDescent="0.25"/>
    <row r="28" spans="17:19" ht="15" x14ac:dyDescent="0.25"/>
    <row r="29" spans="17:19" ht="15" x14ac:dyDescent="0.25"/>
    <row r="30" spans="17:19" ht="15" x14ac:dyDescent="0.25"/>
    <row r="31" spans="17:19" ht="15" x14ac:dyDescent="0.25"/>
    <row r="32" spans="17:19"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sheetData>
  <sheetProtection algorithmName="SHA-512" hashValue="eMjA1XvKeWDsgQQ4DeCvrWwZrx9FPHj+3DPXD5aloLoLmPxWZ38wXGU1IE74KrX702qg8eQ1pIsDwFINLvxyYA==" saltValue="93v1iJJfh/etmSd3dAJLpA==" spinCount="100000" sheet="1" objects="1" scenarios="1" selectLockedCells="1" selectUnlockedCells="1"/>
  <mergeCells count="8">
    <mergeCell ref="A2:A5"/>
    <mergeCell ref="B2:V2"/>
    <mergeCell ref="W2:X2"/>
    <mergeCell ref="B3:V3"/>
    <mergeCell ref="W3:X3"/>
    <mergeCell ref="B4:V5"/>
    <mergeCell ref="W4:X4"/>
    <mergeCell ref="W5:X5"/>
  </mergeCells>
  <conditionalFormatting sqref="R20:R1048576 R7:R8 R10">
    <cfRule type="cellIs" dxfId="259" priority="11" operator="between">
      <formula>0.51</formula>
      <formula>0.69</formula>
    </cfRule>
    <cfRule type="cellIs" dxfId="258" priority="12" operator="between">
      <formula>0.51</formula>
      <formula>0.69</formula>
    </cfRule>
    <cfRule type="cellIs" dxfId="257" priority="13" operator="lessThan">
      <formula>0.5</formula>
    </cfRule>
    <cfRule type="cellIs" dxfId="256" priority="14" operator="greaterThan">
      <formula>0.7</formula>
    </cfRule>
    <cfRule type="cellIs" dxfId="255" priority="15" operator="between">
      <formula>0.51</formula>
      <formula>0.69</formula>
    </cfRule>
    <cfRule type="cellIs" dxfId="254" priority="16" operator="lessThan">
      <formula>50</formula>
    </cfRule>
    <cfRule type="cellIs" dxfId="253" priority="17" operator="greaterThan">
      <formula>0.7</formula>
    </cfRule>
    <cfRule type="cellIs" dxfId="252" priority="18" operator="between">
      <formula>0.51</formula>
      <formula>0.69</formula>
    </cfRule>
    <cfRule type="cellIs" dxfId="251" priority="19" operator="lessThan">
      <formula>0.5</formula>
    </cfRule>
    <cfRule type="cellIs" dxfId="250" priority="20" operator="greaterThan">
      <formula>0.7</formula>
    </cfRule>
  </conditionalFormatting>
  <conditionalFormatting sqref="R9">
    <cfRule type="cellIs" dxfId="249" priority="1" operator="between">
      <formula>0.51</formula>
      <formula>0.69</formula>
    </cfRule>
    <cfRule type="cellIs" dxfId="248" priority="2" operator="between">
      <formula>0.51</formula>
      <formula>0.69</formula>
    </cfRule>
    <cfRule type="cellIs" dxfId="247" priority="3" operator="lessThan">
      <formula>0.5</formula>
    </cfRule>
    <cfRule type="cellIs" dxfId="246" priority="4" operator="greaterThan">
      <formula>0.7</formula>
    </cfRule>
    <cfRule type="cellIs" dxfId="245" priority="5" operator="between">
      <formula>0.51</formula>
      <formula>0.69</formula>
    </cfRule>
    <cfRule type="cellIs" dxfId="244" priority="6" operator="lessThan">
      <formula>50</formula>
    </cfRule>
    <cfRule type="cellIs" dxfId="243" priority="7" operator="greaterThan">
      <formula>0.7</formula>
    </cfRule>
    <cfRule type="cellIs" dxfId="242" priority="8" operator="between">
      <formula>0.51</formula>
      <formula>0.69</formula>
    </cfRule>
    <cfRule type="cellIs" dxfId="241" priority="9" operator="lessThan">
      <formula>0.5</formula>
    </cfRule>
    <cfRule type="cellIs" dxfId="240" priority="10" operator="greaterThan">
      <formula>0.7</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482B"/>
  </sheetPr>
  <dimension ref="A1:EC1268"/>
  <sheetViews>
    <sheetView showGridLines="0" topLeftCell="A7" zoomScale="80" zoomScaleNormal="80" workbookViewId="0">
      <pane ySplit="1" topLeftCell="A8" activePane="bottomLeft" state="frozen"/>
      <selection activeCell="A7" sqref="A7"/>
      <selection pane="bottomLeft" activeCell="V413" sqref="V413"/>
    </sheetView>
  </sheetViews>
  <sheetFormatPr baseColWidth="10" defaultColWidth="0" defaultRowHeight="0" customHeight="1" zeroHeight="1" x14ac:dyDescent="0.25"/>
  <cols>
    <col min="1" max="1" width="11.42578125" style="40" customWidth="1"/>
    <col min="2" max="2" width="45.7109375" style="40" customWidth="1"/>
    <col min="3" max="3" width="17.28515625" style="40" customWidth="1"/>
    <col min="4" max="4" width="14.7109375" style="40" customWidth="1"/>
    <col min="5" max="5" width="32.5703125" style="40" customWidth="1"/>
    <col min="6" max="6" width="21.140625" style="1" hidden="1" customWidth="1"/>
    <col min="7" max="7" width="18.7109375" style="40" hidden="1" customWidth="1"/>
    <col min="8" max="8" width="16.5703125" style="201" hidden="1" customWidth="1"/>
    <col min="9" max="9" width="18.28515625" style="40" hidden="1" customWidth="1"/>
    <col min="10" max="10" width="18" style="40" hidden="1" customWidth="1"/>
    <col min="11" max="11" width="16.7109375" style="40" hidden="1" customWidth="1"/>
    <col min="12" max="12" width="18.5703125" style="40" hidden="1" customWidth="1"/>
    <col min="13" max="14" width="18.42578125" style="40" bestFit="1" customWidth="1"/>
    <col min="15" max="15" width="15.7109375" style="40" customWidth="1"/>
    <col min="16" max="16" width="11.42578125" style="40" customWidth="1"/>
    <col min="17" max="17" width="15.42578125" style="40" customWidth="1"/>
    <col min="18" max="18" width="21.28515625" style="40" customWidth="1"/>
    <col min="19" max="19" width="11.5703125" style="3" bestFit="1" customWidth="1"/>
    <col min="20" max="20" width="11.42578125" style="77" customWidth="1"/>
    <col min="21" max="21" width="16.7109375" style="35" bestFit="1" customWidth="1"/>
    <col min="22" max="22" width="20.28515625" style="40" bestFit="1" customWidth="1"/>
    <col min="23" max="23" width="11.42578125" style="40" customWidth="1"/>
    <col min="24" max="24" width="14.5703125" style="35" customWidth="1"/>
    <col min="25" max="25" width="19" style="40" bestFit="1" customWidth="1"/>
    <col min="26" max="130" width="11.5703125" style="39" hidden="1" customWidth="1"/>
    <col min="131" max="133" width="11.5703125" style="40" hidden="1" customWidth="1"/>
    <col min="134" max="16384" width="11.42578125" style="40" hidden="1"/>
  </cols>
  <sheetData>
    <row r="1" spans="1:130" ht="15" hidden="1" x14ac:dyDescent="0.25">
      <c r="A1" s="24"/>
      <c r="B1" s="25"/>
      <c r="C1" s="25"/>
      <c r="D1" s="26"/>
      <c r="E1" s="26"/>
      <c r="F1" s="27"/>
      <c r="G1" s="28"/>
      <c r="H1" s="28"/>
      <c r="I1" s="28"/>
      <c r="J1" s="28"/>
      <c r="K1" s="28"/>
      <c r="L1" s="29"/>
      <c r="M1" s="24"/>
      <c r="N1" s="24"/>
      <c r="O1" s="24"/>
      <c r="P1" s="24"/>
      <c r="Q1" s="24"/>
      <c r="R1" s="24"/>
      <c r="S1" s="24"/>
      <c r="T1" s="76"/>
      <c r="U1" s="36"/>
      <c r="V1" s="24"/>
      <c r="W1" s="24"/>
      <c r="X1" s="36"/>
    </row>
    <row r="2" spans="1:130"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09"/>
      <c r="X2" s="730" t="s">
        <v>86</v>
      </c>
      <c r="Y2" s="730"/>
    </row>
    <row r="3" spans="1:130"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1"/>
      <c r="X3" s="730" t="s">
        <v>88</v>
      </c>
      <c r="Y3" s="730"/>
    </row>
    <row r="4" spans="1:130"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1"/>
      <c r="X4" s="730" t="s">
        <v>90</v>
      </c>
      <c r="Y4" s="730"/>
    </row>
    <row r="5" spans="1:130"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1"/>
      <c r="X5" s="730" t="s">
        <v>91</v>
      </c>
      <c r="Y5" s="730"/>
    </row>
    <row r="6" spans="1:130" ht="15" hidden="1" x14ac:dyDescent="0.25">
      <c r="A6" s="24"/>
      <c r="B6" s="24"/>
      <c r="C6" s="24"/>
      <c r="D6" s="24"/>
      <c r="E6" s="24"/>
      <c r="F6" s="24"/>
      <c r="G6" s="24"/>
      <c r="H6" s="24"/>
      <c r="I6" s="24"/>
      <c r="J6" s="24"/>
      <c r="K6" s="24"/>
      <c r="L6" s="24"/>
      <c r="M6" s="24"/>
      <c r="N6" s="24"/>
      <c r="O6" s="24"/>
      <c r="P6" s="24"/>
      <c r="Q6" s="24"/>
      <c r="R6" s="24"/>
      <c r="S6" s="24"/>
      <c r="T6" s="76"/>
      <c r="U6" s="36"/>
      <c r="V6" s="24"/>
      <c r="W6" s="24"/>
      <c r="X6" s="36"/>
    </row>
    <row r="7" spans="1:130" s="34" customFormat="1" ht="63.75" x14ac:dyDescent="0.25">
      <c r="A7" s="41" t="s">
        <v>0</v>
      </c>
      <c r="B7" s="41" t="s">
        <v>1</v>
      </c>
      <c r="C7" s="41" t="s">
        <v>2</v>
      </c>
      <c r="D7" s="41" t="s">
        <v>103</v>
      </c>
      <c r="E7" s="41" t="s">
        <v>30</v>
      </c>
      <c r="F7" s="41" t="s">
        <v>96</v>
      </c>
      <c r="G7" s="41" t="s">
        <v>1133</v>
      </c>
      <c r="H7" s="41" t="s">
        <v>1134</v>
      </c>
      <c r="I7" s="41" t="s">
        <v>1135</v>
      </c>
      <c r="J7" s="41" t="s">
        <v>1136</v>
      </c>
      <c r="K7" s="41" t="s">
        <v>98</v>
      </c>
      <c r="L7" s="41" t="s">
        <v>99</v>
      </c>
      <c r="M7" s="41" t="s">
        <v>3</v>
      </c>
      <c r="N7" s="41" t="s">
        <v>4</v>
      </c>
      <c r="O7" s="41" t="s">
        <v>28</v>
      </c>
      <c r="P7" s="41" t="s">
        <v>21</v>
      </c>
      <c r="Q7" s="41" t="s">
        <v>65</v>
      </c>
      <c r="R7" s="41" t="s">
        <v>31</v>
      </c>
      <c r="S7" s="32" t="s">
        <v>62</v>
      </c>
      <c r="T7" s="41" t="s">
        <v>22</v>
      </c>
      <c r="U7" s="37" t="s">
        <v>23</v>
      </c>
      <c r="V7" s="41" t="s">
        <v>24</v>
      </c>
      <c r="W7" s="41" t="s">
        <v>25</v>
      </c>
      <c r="X7" s="37" t="s">
        <v>26</v>
      </c>
      <c r="Y7" s="41" t="s">
        <v>27</v>
      </c>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row>
    <row r="8" spans="1:130" s="50" customFormat="1" ht="15" x14ac:dyDescent="0.25">
      <c r="A8" s="692" t="s">
        <v>124</v>
      </c>
      <c r="B8" s="766" t="s">
        <v>125</v>
      </c>
      <c r="C8" s="689" t="s">
        <v>126</v>
      </c>
      <c r="D8" s="692" t="s">
        <v>835</v>
      </c>
      <c r="E8" s="689" t="s">
        <v>128</v>
      </c>
      <c r="F8" s="710">
        <v>700000000</v>
      </c>
      <c r="G8" s="710">
        <v>219350444</v>
      </c>
      <c r="H8" s="728"/>
      <c r="I8" s="710">
        <v>215803362</v>
      </c>
      <c r="J8" s="710">
        <v>95635138</v>
      </c>
      <c r="K8" s="692"/>
      <c r="L8" s="692"/>
      <c r="M8" s="758">
        <f>+F8+G8+I8+H8+J8+K8-L8</f>
        <v>1230788944</v>
      </c>
      <c r="N8" s="742">
        <f>700000000+530788944</f>
        <v>1230788944</v>
      </c>
      <c r="O8" s="78" t="s">
        <v>680</v>
      </c>
      <c r="P8" s="457">
        <v>67</v>
      </c>
      <c r="Q8" s="78" t="s">
        <v>681</v>
      </c>
      <c r="R8" s="274">
        <v>106087800</v>
      </c>
      <c r="S8" s="46"/>
      <c r="T8" s="38">
        <v>96</v>
      </c>
      <c r="U8" s="122">
        <v>44581</v>
      </c>
      <c r="V8" s="66">
        <v>106087800</v>
      </c>
      <c r="W8" s="667">
        <v>1719</v>
      </c>
      <c r="X8" s="273">
        <v>44636</v>
      </c>
      <c r="Y8" s="275">
        <v>106087800</v>
      </c>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row>
    <row r="9" spans="1:130" s="50" customFormat="1" ht="15" x14ac:dyDescent="0.25">
      <c r="A9" s="693"/>
      <c r="B9" s="767"/>
      <c r="C9" s="690"/>
      <c r="D9" s="693"/>
      <c r="E9" s="690"/>
      <c r="F9" s="711"/>
      <c r="G9" s="711"/>
      <c r="H9" s="735"/>
      <c r="I9" s="711"/>
      <c r="J9" s="711"/>
      <c r="K9" s="693"/>
      <c r="L9" s="693"/>
      <c r="M9" s="763"/>
      <c r="N9" s="743"/>
      <c r="O9" s="78" t="s">
        <v>988</v>
      </c>
      <c r="P9" s="457" t="s">
        <v>990</v>
      </c>
      <c r="Q9" s="78" t="s">
        <v>992</v>
      </c>
      <c r="R9" s="66">
        <v>3800000</v>
      </c>
      <c r="S9" s="46"/>
      <c r="T9" s="38">
        <v>526</v>
      </c>
      <c r="U9" s="122">
        <v>44673</v>
      </c>
      <c r="V9" s="274">
        <v>3800000</v>
      </c>
      <c r="W9" s="667">
        <v>2385</v>
      </c>
      <c r="X9" s="273">
        <v>44683</v>
      </c>
      <c r="Y9" s="275">
        <v>3800000</v>
      </c>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row>
    <row r="10" spans="1:130" s="50" customFormat="1" ht="15" x14ac:dyDescent="0.25">
      <c r="A10" s="693"/>
      <c r="B10" s="767"/>
      <c r="C10" s="690"/>
      <c r="D10" s="693"/>
      <c r="E10" s="690"/>
      <c r="F10" s="711"/>
      <c r="G10" s="711"/>
      <c r="H10" s="735"/>
      <c r="I10" s="711"/>
      <c r="J10" s="711"/>
      <c r="K10" s="693"/>
      <c r="L10" s="693"/>
      <c r="M10" s="763"/>
      <c r="N10" s="743"/>
      <c r="O10" s="78" t="s">
        <v>989</v>
      </c>
      <c r="P10" s="457" t="s">
        <v>991</v>
      </c>
      <c r="Q10" s="78" t="s">
        <v>993</v>
      </c>
      <c r="R10" s="274">
        <v>82694000</v>
      </c>
      <c r="S10" s="46"/>
      <c r="T10" s="250">
        <v>528</v>
      </c>
      <c r="U10" s="122">
        <v>44677</v>
      </c>
      <c r="V10" s="274">
        <v>82694000</v>
      </c>
      <c r="W10" s="667">
        <v>2457</v>
      </c>
      <c r="X10" s="273" t="s">
        <v>2881</v>
      </c>
      <c r="Y10" s="275">
        <v>20854000</v>
      </c>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row>
    <row r="11" spans="1:130" s="50" customFormat="1" ht="15" x14ac:dyDescent="0.25">
      <c r="A11" s="693"/>
      <c r="B11" s="767"/>
      <c r="C11" s="690"/>
      <c r="D11" s="693"/>
      <c r="E11" s="690"/>
      <c r="F11" s="711"/>
      <c r="G11" s="711"/>
      <c r="H11" s="735"/>
      <c r="I11" s="711"/>
      <c r="J11" s="711"/>
      <c r="K11" s="693"/>
      <c r="L11" s="693"/>
      <c r="M11" s="763"/>
      <c r="N11" s="743"/>
      <c r="O11" s="78"/>
      <c r="P11" s="668"/>
      <c r="Q11" s="78"/>
      <c r="R11" s="274"/>
      <c r="S11" s="46"/>
      <c r="T11" s="667"/>
      <c r="U11" s="273"/>
      <c r="V11" s="274"/>
      <c r="W11" s="667">
        <v>2513</v>
      </c>
      <c r="X11" s="273" t="s">
        <v>2882</v>
      </c>
      <c r="Y11" s="275">
        <v>18570000</v>
      </c>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row>
    <row r="12" spans="1:130" s="50" customFormat="1" ht="15" x14ac:dyDescent="0.25">
      <c r="A12" s="693"/>
      <c r="B12" s="767"/>
      <c r="C12" s="690"/>
      <c r="D12" s="693"/>
      <c r="E12" s="690"/>
      <c r="F12" s="711"/>
      <c r="G12" s="711"/>
      <c r="H12" s="735"/>
      <c r="I12" s="711"/>
      <c r="J12" s="711"/>
      <c r="K12" s="693"/>
      <c r="L12" s="693"/>
      <c r="M12" s="763"/>
      <c r="N12" s="743"/>
      <c r="O12" s="78"/>
      <c r="P12" s="668"/>
      <c r="Q12" s="78"/>
      <c r="R12" s="274"/>
      <c r="S12" s="46"/>
      <c r="T12" s="667"/>
      <c r="U12" s="273"/>
      <c r="V12" s="274"/>
      <c r="W12" s="667">
        <v>2611</v>
      </c>
      <c r="X12" s="273" t="s">
        <v>2883</v>
      </c>
      <c r="Y12" s="275">
        <v>43270000</v>
      </c>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row>
    <row r="13" spans="1:130" s="50" customFormat="1" ht="15" x14ac:dyDescent="0.25">
      <c r="A13" s="693"/>
      <c r="B13" s="767"/>
      <c r="C13" s="690"/>
      <c r="D13" s="693"/>
      <c r="E13" s="690"/>
      <c r="F13" s="711"/>
      <c r="G13" s="711"/>
      <c r="H13" s="735"/>
      <c r="I13" s="711"/>
      <c r="J13" s="711"/>
      <c r="K13" s="693"/>
      <c r="L13" s="693"/>
      <c r="M13" s="763"/>
      <c r="N13" s="743"/>
      <c r="O13" s="78" t="s">
        <v>1427</v>
      </c>
      <c r="P13" s="457" t="s">
        <v>1428</v>
      </c>
      <c r="Q13" s="78" t="s">
        <v>1429</v>
      </c>
      <c r="R13" s="274">
        <v>90506000</v>
      </c>
      <c r="S13" s="46"/>
      <c r="T13" s="38">
        <v>757</v>
      </c>
      <c r="U13" s="122">
        <v>44736</v>
      </c>
      <c r="V13" s="274">
        <v>90506000</v>
      </c>
      <c r="W13" s="667">
        <v>5748</v>
      </c>
      <c r="X13" s="273" t="s">
        <v>2795</v>
      </c>
      <c r="Y13" s="275">
        <v>35880000</v>
      </c>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row>
    <row r="14" spans="1:130" s="50" customFormat="1" ht="15" x14ac:dyDescent="0.25">
      <c r="A14" s="693"/>
      <c r="B14" s="767"/>
      <c r="C14" s="690"/>
      <c r="D14" s="693"/>
      <c r="E14" s="690"/>
      <c r="F14" s="711"/>
      <c r="G14" s="711"/>
      <c r="H14" s="735"/>
      <c r="I14" s="711"/>
      <c r="J14" s="711"/>
      <c r="K14" s="693"/>
      <c r="L14" s="693"/>
      <c r="M14" s="763"/>
      <c r="N14" s="743"/>
      <c r="O14" s="78"/>
      <c r="P14" s="668"/>
      <c r="Q14" s="78"/>
      <c r="R14" s="274"/>
      <c r="S14" s="46"/>
      <c r="T14" s="667"/>
      <c r="U14" s="273"/>
      <c r="V14" s="274"/>
      <c r="W14" s="667">
        <v>5751</v>
      </c>
      <c r="X14" s="273" t="s">
        <v>2795</v>
      </c>
      <c r="Y14" s="275">
        <v>54626000</v>
      </c>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row>
    <row r="15" spans="1:130" s="50" customFormat="1" ht="15" x14ac:dyDescent="0.25">
      <c r="A15" s="693"/>
      <c r="B15" s="767"/>
      <c r="C15" s="690"/>
      <c r="D15" s="693"/>
      <c r="E15" s="690"/>
      <c r="F15" s="711"/>
      <c r="G15" s="711"/>
      <c r="H15" s="735"/>
      <c r="I15" s="711"/>
      <c r="J15" s="711"/>
      <c r="K15" s="693"/>
      <c r="L15" s="693"/>
      <c r="M15" s="763"/>
      <c r="N15" s="743"/>
      <c r="O15" s="78" t="s">
        <v>1651</v>
      </c>
      <c r="P15" s="457">
        <v>379</v>
      </c>
      <c r="Q15" s="78" t="s">
        <v>1652</v>
      </c>
      <c r="R15" s="274">
        <v>186000000</v>
      </c>
      <c r="S15" s="46"/>
      <c r="T15" s="329">
        <v>830</v>
      </c>
      <c r="U15" s="273">
        <v>44763</v>
      </c>
      <c r="V15" s="274">
        <v>186000000</v>
      </c>
      <c r="W15" s="667">
        <v>4673</v>
      </c>
      <c r="X15" s="273">
        <v>44803</v>
      </c>
      <c r="Y15" s="275">
        <v>186000000</v>
      </c>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row>
    <row r="16" spans="1:130" s="50" customFormat="1" ht="15" x14ac:dyDescent="0.25">
      <c r="A16" s="693"/>
      <c r="B16" s="767"/>
      <c r="C16" s="690"/>
      <c r="D16" s="693"/>
      <c r="E16" s="690"/>
      <c r="F16" s="711"/>
      <c r="G16" s="711"/>
      <c r="H16" s="735"/>
      <c r="I16" s="711"/>
      <c r="J16" s="711"/>
      <c r="K16" s="693"/>
      <c r="L16" s="693"/>
      <c r="M16" s="763"/>
      <c r="N16" s="743"/>
      <c r="O16" s="78" t="s">
        <v>2607</v>
      </c>
      <c r="P16" s="457" t="s">
        <v>2608</v>
      </c>
      <c r="Q16" s="78" t="s">
        <v>2609</v>
      </c>
      <c r="R16" s="274">
        <v>1794916</v>
      </c>
      <c r="S16" s="46"/>
      <c r="T16" s="443">
        <v>1285</v>
      </c>
      <c r="U16" s="273" t="s">
        <v>2786</v>
      </c>
      <c r="V16" s="274">
        <v>1794916</v>
      </c>
      <c r="W16" s="667">
        <v>5674</v>
      </c>
      <c r="X16" s="273" t="s">
        <v>2770</v>
      </c>
      <c r="Y16" s="274">
        <v>1794916</v>
      </c>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row>
    <row r="17" spans="1:130" s="50" customFormat="1" ht="15" x14ac:dyDescent="0.25">
      <c r="A17" s="693"/>
      <c r="B17" s="767"/>
      <c r="C17" s="690"/>
      <c r="D17" s="693"/>
      <c r="E17" s="690"/>
      <c r="F17" s="711"/>
      <c r="G17" s="711"/>
      <c r="H17" s="735"/>
      <c r="I17" s="711"/>
      <c r="J17" s="711"/>
      <c r="K17" s="693"/>
      <c r="L17" s="693"/>
      <c r="M17" s="763"/>
      <c r="N17" s="743"/>
      <c r="O17" s="78" t="s">
        <v>2610</v>
      </c>
      <c r="P17" s="457" t="s">
        <v>2611</v>
      </c>
      <c r="Q17" s="78" t="s">
        <v>2612</v>
      </c>
      <c r="R17" s="274">
        <v>291000000</v>
      </c>
      <c r="S17" s="46"/>
      <c r="T17" s="443">
        <v>1464</v>
      </c>
      <c r="U17" s="273" t="s">
        <v>2782</v>
      </c>
      <c r="V17" s="274">
        <v>291000000</v>
      </c>
      <c r="W17" s="667">
        <v>6253</v>
      </c>
      <c r="X17" s="273" t="s">
        <v>2832</v>
      </c>
      <c r="Y17" s="275">
        <v>6000000</v>
      </c>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row>
    <row r="18" spans="1:130" s="50" customFormat="1" ht="15" x14ac:dyDescent="0.25">
      <c r="A18" s="693"/>
      <c r="B18" s="767"/>
      <c r="C18" s="690"/>
      <c r="D18" s="693"/>
      <c r="E18" s="690"/>
      <c r="F18" s="711"/>
      <c r="G18" s="711"/>
      <c r="H18" s="735"/>
      <c r="I18" s="711"/>
      <c r="J18" s="711"/>
      <c r="K18" s="693"/>
      <c r="L18" s="693"/>
      <c r="M18" s="763"/>
      <c r="N18" s="743"/>
      <c r="O18" s="78"/>
      <c r="P18" s="668"/>
      <c r="Q18" s="78"/>
      <c r="R18" s="274"/>
      <c r="S18" s="46"/>
      <c r="T18" s="667"/>
      <c r="U18" s="273"/>
      <c r="V18" s="274"/>
      <c r="W18" s="667">
        <v>6254</v>
      </c>
      <c r="X18" s="273" t="s">
        <v>2832</v>
      </c>
      <c r="Y18" s="275">
        <v>6000000</v>
      </c>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row>
    <row r="19" spans="1:130" s="50" customFormat="1" ht="15" x14ac:dyDescent="0.25">
      <c r="A19" s="693"/>
      <c r="B19" s="767"/>
      <c r="C19" s="690"/>
      <c r="D19" s="693"/>
      <c r="E19" s="690"/>
      <c r="F19" s="711"/>
      <c r="G19" s="711"/>
      <c r="H19" s="735"/>
      <c r="I19" s="711"/>
      <c r="J19" s="711"/>
      <c r="K19" s="693"/>
      <c r="L19" s="693"/>
      <c r="M19" s="763"/>
      <c r="N19" s="743"/>
      <c r="O19" s="78"/>
      <c r="P19" s="668"/>
      <c r="Q19" s="78"/>
      <c r="R19" s="274"/>
      <c r="S19" s="46"/>
      <c r="T19" s="667"/>
      <c r="U19" s="273"/>
      <c r="V19" s="274"/>
      <c r="W19" s="667">
        <v>6255</v>
      </c>
      <c r="X19" s="273" t="s">
        <v>2832</v>
      </c>
      <c r="Y19" s="275">
        <v>6000000</v>
      </c>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row>
    <row r="20" spans="1:130" s="50" customFormat="1" ht="15" x14ac:dyDescent="0.25">
      <c r="A20" s="693"/>
      <c r="B20" s="767"/>
      <c r="C20" s="690"/>
      <c r="D20" s="693"/>
      <c r="E20" s="690"/>
      <c r="F20" s="711"/>
      <c r="G20" s="711"/>
      <c r="H20" s="735"/>
      <c r="I20" s="711"/>
      <c r="J20" s="711"/>
      <c r="K20" s="693"/>
      <c r="L20" s="693"/>
      <c r="M20" s="763"/>
      <c r="N20" s="743"/>
      <c r="O20" s="78"/>
      <c r="P20" s="668"/>
      <c r="Q20" s="78"/>
      <c r="R20" s="274"/>
      <c r="S20" s="46"/>
      <c r="T20" s="667"/>
      <c r="U20" s="273"/>
      <c r="V20" s="274"/>
      <c r="W20" s="667">
        <v>6256</v>
      </c>
      <c r="X20" s="273" t="s">
        <v>2832</v>
      </c>
      <c r="Y20" s="275">
        <v>6000000</v>
      </c>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row>
    <row r="21" spans="1:130" s="50" customFormat="1" ht="15" x14ac:dyDescent="0.25">
      <c r="A21" s="693"/>
      <c r="B21" s="767"/>
      <c r="C21" s="690"/>
      <c r="D21" s="693"/>
      <c r="E21" s="690"/>
      <c r="F21" s="711"/>
      <c r="G21" s="711"/>
      <c r="H21" s="735"/>
      <c r="I21" s="711"/>
      <c r="J21" s="711"/>
      <c r="K21" s="693"/>
      <c r="L21" s="693"/>
      <c r="M21" s="763"/>
      <c r="N21" s="743"/>
      <c r="O21" s="78"/>
      <c r="P21" s="668"/>
      <c r="Q21" s="78"/>
      <c r="R21" s="274"/>
      <c r="S21" s="46"/>
      <c r="T21" s="667"/>
      <c r="U21" s="273"/>
      <c r="V21" s="274"/>
      <c r="W21" s="667">
        <v>6257</v>
      </c>
      <c r="X21" s="273" t="s">
        <v>2832</v>
      </c>
      <c r="Y21" s="275">
        <v>6000000</v>
      </c>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row>
    <row r="22" spans="1:130" s="50" customFormat="1" ht="15" x14ac:dyDescent="0.25">
      <c r="A22" s="693"/>
      <c r="B22" s="767"/>
      <c r="C22" s="690"/>
      <c r="D22" s="693"/>
      <c r="E22" s="690"/>
      <c r="F22" s="711"/>
      <c r="G22" s="711"/>
      <c r="H22" s="735"/>
      <c r="I22" s="711"/>
      <c r="J22" s="711"/>
      <c r="K22" s="693"/>
      <c r="L22" s="693"/>
      <c r="M22" s="763"/>
      <c r="N22" s="743"/>
      <c r="O22" s="78"/>
      <c r="P22" s="668"/>
      <c r="Q22" s="78"/>
      <c r="R22" s="274"/>
      <c r="S22" s="46"/>
      <c r="T22" s="667"/>
      <c r="U22" s="273"/>
      <c r="V22" s="274"/>
      <c r="W22" s="667">
        <v>6258</v>
      </c>
      <c r="X22" s="273" t="s">
        <v>2832</v>
      </c>
      <c r="Y22" s="275">
        <v>6000000</v>
      </c>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row>
    <row r="23" spans="1:130" s="50" customFormat="1" ht="15" x14ac:dyDescent="0.25">
      <c r="A23" s="693"/>
      <c r="B23" s="767"/>
      <c r="C23" s="690"/>
      <c r="D23" s="693"/>
      <c r="E23" s="690"/>
      <c r="F23" s="711"/>
      <c r="G23" s="711"/>
      <c r="H23" s="735"/>
      <c r="I23" s="711"/>
      <c r="J23" s="711"/>
      <c r="K23" s="693"/>
      <c r="L23" s="693"/>
      <c r="M23" s="763"/>
      <c r="N23" s="743"/>
      <c r="O23" s="78"/>
      <c r="P23" s="668"/>
      <c r="Q23" s="78"/>
      <c r="R23" s="274"/>
      <c r="S23" s="46"/>
      <c r="T23" s="667"/>
      <c r="U23" s="273"/>
      <c r="V23" s="274"/>
      <c r="W23" s="667">
        <v>6259</v>
      </c>
      <c r="X23" s="273" t="s">
        <v>2832</v>
      </c>
      <c r="Y23" s="275">
        <v>6000000</v>
      </c>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row>
    <row r="24" spans="1:130" s="50" customFormat="1" ht="15" x14ac:dyDescent="0.25">
      <c r="A24" s="693"/>
      <c r="B24" s="767"/>
      <c r="C24" s="690"/>
      <c r="D24" s="693"/>
      <c r="E24" s="690"/>
      <c r="F24" s="711"/>
      <c r="G24" s="711"/>
      <c r="H24" s="735"/>
      <c r="I24" s="711"/>
      <c r="J24" s="711"/>
      <c r="K24" s="693"/>
      <c r="L24" s="693"/>
      <c r="M24" s="763"/>
      <c r="N24" s="743"/>
      <c r="O24" s="78"/>
      <c r="P24" s="668"/>
      <c r="Q24" s="78"/>
      <c r="R24" s="274"/>
      <c r="S24" s="46"/>
      <c r="T24" s="667"/>
      <c r="U24" s="273"/>
      <c r="V24" s="274"/>
      <c r="W24" s="667">
        <v>6260</v>
      </c>
      <c r="X24" s="273" t="s">
        <v>2832</v>
      </c>
      <c r="Y24" s="275">
        <v>6000000</v>
      </c>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row>
    <row r="25" spans="1:130" s="50" customFormat="1" ht="15" x14ac:dyDescent="0.25">
      <c r="A25" s="693"/>
      <c r="B25" s="767"/>
      <c r="C25" s="690"/>
      <c r="D25" s="693"/>
      <c r="E25" s="690"/>
      <c r="F25" s="711"/>
      <c r="G25" s="711"/>
      <c r="H25" s="735"/>
      <c r="I25" s="711"/>
      <c r="J25" s="711"/>
      <c r="K25" s="693"/>
      <c r="L25" s="693"/>
      <c r="M25" s="763"/>
      <c r="N25" s="743"/>
      <c r="O25" s="78"/>
      <c r="P25" s="668"/>
      <c r="Q25" s="78"/>
      <c r="R25" s="274"/>
      <c r="S25" s="46"/>
      <c r="T25" s="667"/>
      <c r="U25" s="273"/>
      <c r="V25" s="274"/>
      <c r="W25" s="667">
        <v>6261</v>
      </c>
      <c r="X25" s="273" t="s">
        <v>2832</v>
      </c>
      <c r="Y25" s="275">
        <v>6000000</v>
      </c>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row>
    <row r="26" spans="1:130" s="50" customFormat="1" ht="15" x14ac:dyDescent="0.25">
      <c r="A26" s="693"/>
      <c r="B26" s="767"/>
      <c r="C26" s="690"/>
      <c r="D26" s="693"/>
      <c r="E26" s="690"/>
      <c r="F26" s="711"/>
      <c r="G26" s="711"/>
      <c r="H26" s="735"/>
      <c r="I26" s="711"/>
      <c r="J26" s="711"/>
      <c r="K26" s="693"/>
      <c r="L26" s="693"/>
      <c r="M26" s="763"/>
      <c r="N26" s="743"/>
      <c r="O26" s="78"/>
      <c r="P26" s="668"/>
      <c r="Q26" s="78"/>
      <c r="R26" s="274"/>
      <c r="S26" s="46"/>
      <c r="T26" s="667"/>
      <c r="U26" s="273"/>
      <c r="V26" s="274"/>
      <c r="W26" s="667">
        <v>6262</v>
      </c>
      <c r="X26" s="273" t="s">
        <v>2832</v>
      </c>
      <c r="Y26" s="275">
        <v>6000000</v>
      </c>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row>
    <row r="27" spans="1:130" s="50" customFormat="1" ht="15" x14ac:dyDescent="0.25">
      <c r="A27" s="693"/>
      <c r="B27" s="767"/>
      <c r="C27" s="690"/>
      <c r="D27" s="693"/>
      <c r="E27" s="690"/>
      <c r="F27" s="711"/>
      <c r="G27" s="711"/>
      <c r="H27" s="735"/>
      <c r="I27" s="711"/>
      <c r="J27" s="711"/>
      <c r="K27" s="693"/>
      <c r="L27" s="693"/>
      <c r="M27" s="763"/>
      <c r="N27" s="743"/>
      <c r="O27" s="78"/>
      <c r="P27" s="668"/>
      <c r="Q27" s="78"/>
      <c r="R27" s="274"/>
      <c r="S27" s="46"/>
      <c r="T27" s="667"/>
      <c r="U27" s="273"/>
      <c r="V27" s="274"/>
      <c r="W27" s="667">
        <v>6263</v>
      </c>
      <c r="X27" s="273" t="s">
        <v>2832</v>
      </c>
      <c r="Y27" s="275">
        <v>6000000</v>
      </c>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row>
    <row r="28" spans="1:130" s="50" customFormat="1" ht="15" x14ac:dyDescent="0.25">
      <c r="A28" s="693"/>
      <c r="B28" s="767"/>
      <c r="C28" s="690"/>
      <c r="D28" s="693"/>
      <c r="E28" s="690"/>
      <c r="F28" s="711"/>
      <c r="G28" s="711"/>
      <c r="H28" s="735"/>
      <c r="I28" s="711"/>
      <c r="J28" s="711"/>
      <c r="K28" s="693"/>
      <c r="L28" s="693"/>
      <c r="M28" s="763"/>
      <c r="N28" s="743"/>
      <c r="O28" s="78"/>
      <c r="P28" s="668"/>
      <c r="Q28" s="78"/>
      <c r="R28" s="274"/>
      <c r="S28" s="46"/>
      <c r="T28" s="667"/>
      <c r="U28" s="273"/>
      <c r="V28" s="274"/>
      <c r="W28" s="667">
        <v>6264</v>
      </c>
      <c r="X28" s="273" t="s">
        <v>2832</v>
      </c>
      <c r="Y28" s="275">
        <v>6000000</v>
      </c>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row>
    <row r="29" spans="1:130" s="50" customFormat="1" ht="15" x14ac:dyDescent="0.25">
      <c r="A29" s="693"/>
      <c r="B29" s="767"/>
      <c r="C29" s="690"/>
      <c r="D29" s="693"/>
      <c r="E29" s="690"/>
      <c r="F29" s="711"/>
      <c r="G29" s="711"/>
      <c r="H29" s="735"/>
      <c r="I29" s="711"/>
      <c r="J29" s="711"/>
      <c r="K29" s="693"/>
      <c r="L29" s="693"/>
      <c r="M29" s="763"/>
      <c r="N29" s="743"/>
      <c r="O29" s="78"/>
      <c r="P29" s="668"/>
      <c r="Q29" s="78"/>
      <c r="R29" s="274"/>
      <c r="S29" s="46"/>
      <c r="T29" s="667"/>
      <c r="U29" s="273"/>
      <c r="V29" s="274"/>
      <c r="W29" s="667">
        <v>6265</v>
      </c>
      <c r="X29" s="273" t="s">
        <v>2832</v>
      </c>
      <c r="Y29" s="275">
        <v>6000000</v>
      </c>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row>
    <row r="30" spans="1:130" s="50" customFormat="1" ht="15" x14ac:dyDescent="0.25">
      <c r="A30" s="693"/>
      <c r="B30" s="767"/>
      <c r="C30" s="690"/>
      <c r="D30" s="693"/>
      <c r="E30" s="690"/>
      <c r="F30" s="711"/>
      <c r="G30" s="711"/>
      <c r="H30" s="735"/>
      <c r="I30" s="711"/>
      <c r="J30" s="711"/>
      <c r="K30" s="693"/>
      <c r="L30" s="693"/>
      <c r="M30" s="763"/>
      <c r="N30" s="743"/>
      <c r="O30" s="78"/>
      <c r="P30" s="668"/>
      <c r="Q30" s="78"/>
      <c r="R30" s="274"/>
      <c r="S30" s="46"/>
      <c r="T30" s="667"/>
      <c r="U30" s="273"/>
      <c r="V30" s="274"/>
      <c r="W30" s="667">
        <v>6266</v>
      </c>
      <c r="X30" s="273" t="s">
        <v>2832</v>
      </c>
      <c r="Y30" s="275">
        <v>6000000</v>
      </c>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row>
    <row r="31" spans="1:130" s="50" customFormat="1" ht="15" x14ac:dyDescent="0.25">
      <c r="A31" s="693"/>
      <c r="B31" s="767"/>
      <c r="C31" s="690"/>
      <c r="D31" s="693"/>
      <c r="E31" s="690"/>
      <c r="F31" s="711"/>
      <c r="G31" s="711"/>
      <c r="H31" s="735"/>
      <c r="I31" s="711"/>
      <c r="J31" s="711"/>
      <c r="K31" s="693"/>
      <c r="L31" s="693"/>
      <c r="M31" s="763"/>
      <c r="N31" s="743"/>
      <c r="O31" s="78"/>
      <c r="P31" s="668"/>
      <c r="Q31" s="78"/>
      <c r="R31" s="274"/>
      <c r="S31" s="46"/>
      <c r="T31" s="667"/>
      <c r="U31" s="273"/>
      <c r="V31" s="274"/>
      <c r="W31" s="667">
        <v>6267</v>
      </c>
      <c r="X31" s="273" t="s">
        <v>2832</v>
      </c>
      <c r="Y31" s="275">
        <v>6000000</v>
      </c>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row>
    <row r="32" spans="1:130" s="50" customFormat="1" ht="15" x14ac:dyDescent="0.25">
      <c r="A32" s="693"/>
      <c r="B32" s="767"/>
      <c r="C32" s="690"/>
      <c r="D32" s="693"/>
      <c r="E32" s="690"/>
      <c r="F32" s="711"/>
      <c r="G32" s="711"/>
      <c r="H32" s="735"/>
      <c r="I32" s="711"/>
      <c r="J32" s="711"/>
      <c r="K32" s="693"/>
      <c r="L32" s="693"/>
      <c r="M32" s="763"/>
      <c r="N32" s="743"/>
      <c r="O32" s="78"/>
      <c r="P32" s="668"/>
      <c r="Q32" s="78"/>
      <c r="R32" s="274"/>
      <c r="S32" s="46"/>
      <c r="T32" s="667"/>
      <c r="U32" s="273"/>
      <c r="V32" s="274"/>
      <c r="W32" s="667">
        <v>6268</v>
      </c>
      <c r="X32" s="273" t="s">
        <v>2832</v>
      </c>
      <c r="Y32" s="275">
        <v>400000</v>
      </c>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row>
    <row r="33" spans="1:130" s="50" customFormat="1" ht="15" x14ac:dyDescent="0.25">
      <c r="A33" s="693"/>
      <c r="B33" s="767"/>
      <c r="C33" s="690"/>
      <c r="D33" s="693"/>
      <c r="E33" s="690"/>
      <c r="F33" s="711"/>
      <c r="G33" s="711"/>
      <c r="H33" s="735"/>
      <c r="I33" s="711"/>
      <c r="J33" s="711"/>
      <c r="K33" s="693"/>
      <c r="L33" s="693"/>
      <c r="M33" s="763"/>
      <c r="N33" s="743"/>
      <c r="O33" s="78"/>
      <c r="P33" s="668"/>
      <c r="Q33" s="78"/>
      <c r="R33" s="274"/>
      <c r="S33" s="46"/>
      <c r="T33" s="667"/>
      <c r="U33" s="273"/>
      <c r="V33" s="274"/>
      <c r="W33" s="667">
        <v>6268</v>
      </c>
      <c r="X33" s="273" t="s">
        <v>2832</v>
      </c>
      <c r="Y33" s="275">
        <v>5600000</v>
      </c>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row>
    <row r="34" spans="1:130" s="50" customFormat="1" ht="15" x14ac:dyDescent="0.25">
      <c r="A34" s="693"/>
      <c r="B34" s="767"/>
      <c r="C34" s="690"/>
      <c r="D34" s="693"/>
      <c r="E34" s="690"/>
      <c r="F34" s="711"/>
      <c r="G34" s="711"/>
      <c r="H34" s="735"/>
      <c r="I34" s="711"/>
      <c r="J34" s="711"/>
      <c r="K34" s="693"/>
      <c r="L34" s="693"/>
      <c r="M34" s="763"/>
      <c r="N34" s="743"/>
      <c r="O34" s="78"/>
      <c r="P34" s="668"/>
      <c r="Q34" s="78"/>
      <c r="R34" s="274"/>
      <c r="S34" s="46"/>
      <c r="T34" s="667"/>
      <c r="U34" s="273"/>
      <c r="V34" s="274"/>
      <c r="W34" s="667">
        <v>6269</v>
      </c>
      <c r="X34" s="273" t="s">
        <v>2832</v>
      </c>
      <c r="Y34" s="275">
        <v>6000000</v>
      </c>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row>
    <row r="35" spans="1:130" s="50" customFormat="1" ht="15" x14ac:dyDescent="0.25">
      <c r="A35" s="693"/>
      <c r="B35" s="767"/>
      <c r="C35" s="690"/>
      <c r="D35" s="693"/>
      <c r="E35" s="690"/>
      <c r="F35" s="711"/>
      <c r="G35" s="711"/>
      <c r="H35" s="735"/>
      <c r="I35" s="711"/>
      <c r="J35" s="711"/>
      <c r="K35" s="693"/>
      <c r="L35" s="693"/>
      <c r="M35" s="763"/>
      <c r="N35" s="743"/>
      <c r="O35" s="78"/>
      <c r="P35" s="668"/>
      <c r="Q35" s="78"/>
      <c r="R35" s="274"/>
      <c r="S35" s="46"/>
      <c r="T35" s="667"/>
      <c r="U35" s="273"/>
      <c r="V35" s="274"/>
      <c r="W35" s="667">
        <v>6270</v>
      </c>
      <c r="X35" s="273" t="s">
        <v>2832</v>
      </c>
      <c r="Y35" s="275">
        <v>6000000</v>
      </c>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row>
    <row r="36" spans="1:130" s="50" customFormat="1" ht="15" x14ac:dyDescent="0.25">
      <c r="A36" s="693"/>
      <c r="B36" s="767"/>
      <c r="C36" s="690"/>
      <c r="D36" s="693"/>
      <c r="E36" s="690"/>
      <c r="F36" s="711"/>
      <c r="G36" s="711"/>
      <c r="H36" s="735"/>
      <c r="I36" s="711"/>
      <c r="J36" s="711"/>
      <c r="K36" s="693"/>
      <c r="L36" s="693"/>
      <c r="M36" s="763"/>
      <c r="N36" s="743"/>
      <c r="O36" s="78"/>
      <c r="P36" s="668"/>
      <c r="Q36" s="78"/>
      <c r="R36" s="274"/>
      <c r="S36" s="46"/>
      <c r="T36" s="667"/>
      <c r="U36" s="273"/>
      <c r="V36" s="274"/>
      <c r="W36" s="667">
        <v>6271</v>
      </c>
      <c r="X36" s="273" t="s">
        <v>2832</v>
      </c>
      <c r="Y36" s="275">
        <v>6000000</v>
      </c>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row>
    <row r="37" spans="1:130" s="50" customFormat="1" ht="15" x14ac:dyDescent="0.25">
      <c r="A37" s="693"/>
      <c r="B37" s="767"/>
      <c r="C37" s="690"/>
      <c r="D37" s="693"/>
      <c r="E37" s="690"/>
      <c r="F37" s="711"/>
      <c r="G37" s="711"/>
      <c r="H37" s="735"/>
      <c r="I37" s="711"/>
      <c r="J37" s="711"/>
      <c r="K37" s="693"/>
      <c r="L37" s="693"/>
      <c r="M37" s="763"/>
      <c r="N37" s="743"/>
      <c r="O37" s="78"/>
      <c r="P37" s="668"/>
      <c r="Q37" s="78"/>
      <c r="R37" s="274"/>
      <c r="S37" s="46"/>
      <c r="T37" s="667"/>
      <c r="U37" s="273"/>
      <c r="V37" s="274"/>
      <c r="W37" s="667">
        <v>6272</v>
      </c>
      <c r="X37" s="273" t="s">
        <v>2832</v>
      </c>
      <c r="Y37" s="275">
        <v>6000000</v>
      </c>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row>
    <row r="38" spans="1:130" s="50" customFormat="1" ht="15" x14ac:dyDescent="0.25">
      <c r="A38" s="693"/>
      <c r="B38" s="767"/>
      <c r="C38" s="690"/>
      <c r="D38" s="693"/>
      <c r="E38" s="690"/>
      <c r="F38" s="711"/>
      <c r="G38" s="711"/>
      <c r="H38" s="735"/>
      <c r="I38" s="711"/>
      <c r="J38" s="711"/>
      <c r="K38" s="693"/>
      <c r="L38" s="693"/>
      <c r="M38" s="763"/>
      <c r="N38" s="743"/>
      <c r="O38" s="78"/>
      <c r="P38" s="668"/>
      <c r="Q38" s="78"/>
      <c r="R38" s="274"/>
      <c r="S38" s="46"/>
      <c r="T38" s="667"/>
      <c r="U38" s="273"/>
      <c r="V38" s="274"/>
      <c r="W38" s="667">
        <v>6273</v>
      </c>
      <c r="X38" s="273" t="s">
        <v>2832</v>
      </c>
      <c r="Y38" s="275">
        <v>6000000</v>
      </c>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row>
    <row r="39" spans="1:130" s="50" customFormat="1" ht="15" x14ac:dyDescent="0.25">
      <c r="A39" s="693"/>
      <c r="B39" s="767"/>
      <c r="C39" s="690"/>
      <c r="D39" s="693"/>
      <c r="E39" s="690"/>
      <c r="F39" s="711"/>
      <c r="G39" s="711"/>
      <c r="H39" s="735"/>
      <c r="I39" s="711"/>
      <c r="J39" s="711"/>
      <c r="K39" s="693"/>
      <c r="L39" s="693"/>
      <c r="M39" s="763"/>
      <c r="N39" s="743"/>
      <c r="O39" s="78"/>
      <c r="P39" s="668"/>
      <c r="Q39" s="78"/>
      <c r="R39" s="274"/>
      <c r="S39" s="46"/>
      <c r="T39" s="667"/>
      <c r="U39" s="273"/>
      <c r="V39" s="274"/>
      <c r="W39" s="667">
        <v>6274</v>
      </c>
      <c r="X39" s="273" t="s">
        <v>2832</v>
      </c>
      <c r="Y39" s="275">
        <v>6000000</v>
      </c>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row>
    <row r="40" spans="1:130" s="50" customFormat="1" ht="15" x14ac:dyDescent="0.25">
      <c r="A40" s="693"/>
      <c r="B40" s="767"/>
      <c r="C40" s="690"/>
      <c r="D40" s="693"/>
      <c r="E40" s="690"/>
      <c r="F40" s="711"/>
      <c r="G40" s="711"/>
      <c r="H40" s="735"/>
      <c r="I40" s="711"/>
      <c r="J40" s="711"/>
      <c r="K40" s="693"/>
      <c r="L40" s="693"/>
      <c r="M40" s="763"/>
      <c r="N40" s="743"/>
      <c r="O40" s="78"/>
      <c r="P40" s="668"/>
      <c r="Q40" s="78"/>
      <c r="R40" s="274"/>
      <c r="S40" s="46"/>
      <c r="T40" s="667"/>
      <c r="U40" s="273"/>
      <c r="V40" s="274"/>
      <c r="W40" s="667">
        <v>6275</v>
      </c>
      <c r="X40" s="273" t="s">
        <v>2832</v>
      </c>
      <c r="Y40" s="275">
        <v>6000000</v>
      </c>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row>
    <row r="41" spans="1:130" s="50" customFormat="1" ht="15" x14ac:dyDescent="0.25">
      <c r="A41" s="693"/>
      <c r="B41" s="767"/>
      <c r="C41" s="690"/>
      <c r="D41" s="693"/>
      <c r="E41" s="690"/>
      <c r="F41" s="711"/>
      <c r="G41" s="711"/>
      <c r="H41" s="735"/>
      <c r="I41" s="711"/>
      <c r="J41" s="711"/>
      <c r="K41" s="693"/>
      <c r="L41" s="693"/>
      <c r="M41" s="763"/>
      <c r="N41" s="743"/>
      <c r="O41" s="78"/>
      <c r="P41" s="668"/>
      <c r="Q41" s="78"/>
      <c r="R41" s="274"/>
      <c r="S41" s="46"/>
      <c r="T41" s="667"/>
      <c r="U41" s="273"/>
      <c r="V41" s="274"/>
      <c r="W41" s="667">
        <v>6276</v>
      </c>
      <c r="X41" s="273" t="s">
        <v>2832</v>
      </c>
      <c r="Y41" s="275">
        <v>6000000</v>
      </c>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row>
    <row r="42" spans="1:130" s="50" customFormat="1" ht="15" x14ac:dyDescent="0.25">
      <c r="A42" s="693"/>
      <c r="B42" s="767"/>
      <c r="C42" s="690"/>
      <c r="D42" s="693"/>
      <c r="E42" s="690"/>
      <c r="F42" s="711"/>
      <c r="G42" s="711"/>
      <c r="H42" s="735"/>
      <c r="I42" s="711"/>
      <c r="J42" s="711"/>
      <c r="K42" s="693"/>
      <c r="L42" s="693"/>
      <c r="M42" s="763"/>
      <c r="N42" s="743"/>
      <c r="O42" s="78"/>
      <c r="P42" s="668"/>
      <c r="Q42" s="78"/>
      <c r="R42" s="274"/>
      <c r="S42" s="46"/>
      <c r="T42" s="667"/>
      <c r="U42" s="273"/>
      <c r="V42" s="274"/>
      <c r="W42" s="667">
        <v>6277</v>
      </c>
      <c r="X42" s="273" t="s">
        <v>2832</v>
      </c>
      <c r="Y42" s="275">
        <v>6000000</v>
      </c>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row>
    <row r="43" spans="1:130" s="50" customFormat="1" ht="15" x14ac:dyDescent="0.25">
      <c r="A43" s="693"/>
      <c r="B43" s="767"/>
      <c r="C43" s="690"/>
      <c r="D43" s="693"/>
      <c r="E43" s="690"/>
      <c r="F43" s="711"/>
      <c r="G43" s="711"/>
      <c r="H43" s="735"/>
      <c r="I43" s="711"/>
      <c r="J43" s="711"/>
      <c r="K43" s="693"/>
      <c r="L43" s="693"/>
      <c r="M43" s="763"/>
      <c r="N43" s="743"/>
      <c r="O43" s="78"/>
      <c r="P43" s="668"/>
      <c r="Q43" s="78"/>
      <c r="R43" s="274"/>
      <c r="S43" s="46"/>
      <c r="T43" s="667"/>
      <c r="U43" s="273"/>
      <c r="V43" s="274"/>
      <c r="W43" s="667">
        <v>6278</v>
      </c>
      <c r="X43" s="273" t="s">
        <v>2832</v>
      </c>
      <c r="Y43" s="275">
        <v>6000000</v>
      </c>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row>
    <row r="44" spans="1:130" s="50" customFormat="1" ht="15" x14ac:dyDescent="0.25">
      <c r="A44" s="693"/>
      <c r="B44" s="767"/>
      <c r="C44" s="690"/>
      <c r="D44" s="693"/>
      <c r="E44" s="690"/>
      <c r="F44" s="711"/>
      <c r="G44" s="711"/>
      <c r="H44" s="735"/>
      <c r="I44" s="711"/>
      <c r="J44" s="711"/>
      <c r="K44" s="693"/>
      <c r="L44" s="693"/>
      <c r="M44" s="763"/>
      <c r="N44" s="743"/>
      <c r="O44" s="78"/>
      <c r="P44" s="668"/>
      <c r="Q44" s="78"/>
      <c r="R44" s="274"/>
      <c r="S44" s="46"/>
      <c r="T44" s="667"/>
      <c r="U44" s="273"/>
      <c r="V44" s="274"/>
      <c r="W44" s="667">
        <v>6279</v>
      </c>
      <c r="X44" s="273" t="s">
        <v>2832</v>
      </c>
      <c r="Y44" s="275">
        <v>6000000</v>
      </c>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row>
    <row r="45" spans="1:130" s="50" customFormat="1" ht="15" x14ac:dyDescent="0.25">
      <c r="A45" s="693"/>
      <c r="B45" s="767"/>
      <c r="C45" s="690"/>
      <c r="D45" s="693"/>
      <c r="E45" s="690"/>
      <c r="F45" s="711"/>
      <c r="G45" s="711"/>
      <c r="H45" s="735"/>
      <c r="I45" s="711"/>
      <c r="J45" s="711"/>
      <c r="K45" s="693"/>
      <c r="L45" s="693"/>
      <c r="M45" s="763"/>
      <c r="N45" s="743"/>
      <c r="O45" s="78"/>
      <c r="P45" s="668"/>
      <c r="Q45" s="78"/>
      <c r="R45" s="274"/>
      <c r="S45" s="46"/>
      <c r="T45" s="667"/>
      <c r="U45" s="273"/>
      <c r="V45" s="274"/>
      <c r="W45" s="667">
        <v>6290</v>
      </c>
      <c r="X45" s="273" t="s">
        <v>2832</v>
      </c>
      <c r="Y45" s="275">
        <v>6000000</v>
      </c>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row>
    <row r="46" spans="1:130" s="50" customFormat="1" ht="15" x14ac:dyDescent="0.25">
      <c r="A46" s="693"/>
      <c r="B46" s="767"/>
      <c r="C46" s="690"/>
      <c r="D46" s="693"/>
      <c r="E46" s="690"/>
      <c r="F46" s="711"/>
      <c r="G46" s="711"/>
      <c r="H46" s="735"/>
      <c r="I46" s="711"/>
      <c r="J46" s="711"/>
      <c r="K46" s="693"/>
      <c r="L46" s="693"/>
      <c r="M46" s="763"/>
      <c r="N46" s="743"/>
      <c r="O46" s="78"/>
      <c r="P46" s="668"/>
      <c r="Q46" s="78"/>
      <c r="R46" s="274"/>
      <c r="S46" s="46"/>
      <c r="T46" s="667"/>
      <c r="U46" s="273"/>
      <c r="V46" s="274"/>
      <c r="W46" s="667">
        <v>6291</v>
      </c>
      <c r="X46" s="273" t="s">
        <v>2832</v>
      </c>
      <c r="Y46" s="275">
        <v>6000000</v>
      </c>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row>
    <row r="47" spans="1:130" s="50" customFormat="1" ht="15" x14ac:dyDescent="0.25">
      <c r="A47" s="693"/>
      <c r="B47" s="767"/>
      <c r="C47" s="690"/>
      <c r="D47" s="693"/>
      <c r="E47" s="690"/>
      <c r="F47" s="711"/>
      <c r="G47" s="711"/>
      <c r="H47" s="735"/>
      <c r="I47" s="711"/>
      <c r="J47" s="711"/>
      <c r="K47" s="693"/>
      <c r="L47" s="693"/>
      <c r="M47" s="763"/>
      <c r="N47" s="743"/>
      <c r="O47" s="78"/>
      <c r="P47" s="668"/>
      <c r="Q47" s="78"/>
      <c r="R47" s="274"/>
      <c r="S47" s="46"/>
      <c r="T47" s="667"/>
      <c r="U47" s="273"/>
      <c r="V47" s="274"/>
      <c r="W47" s="667">
        <v>6292</v>
      </c>
      <c r="X47" s="273" t="s">
        <v>2832</v>
      </c>
      <c r="Y47" s="275">
        <v>6000000</v>
      </c>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row>
    <row r="48" spans="1:130" s="50" customFormat="1" ht="15" x14ac:dyDescent="0.25">
      <c r="A48" s="693"/>
      <c r="B48" s="767"/>
      <c r="C48" s="690"/>
      <c r="D48" s="693"/>
      <c r="E48" s="690"/>
      <c r="F48" s="711"/>
      <c r="G48" s="711"/>
      <c r="H48" s="735"/>
      <c r="I48" s="711"/>
      <c r="J48" s="711"/>
      <c r="K48" s="693"/>
      <c r="L48" s="693"/>
      <c r="M48" s="763"/>
      <c r="N48" s="743"/>
      <c r="O48" s="78"/>
      <c r="P48" s="668"/>
      <c r="Q48" s="78"/>
      <c r="R48" s="274"/>
      <c r="S48" s="46"/>
      <c r="T48" s="667"/>
      <c r="U48" s="273"/>
      <c r="V48" s="274"/>
      <c r="W48" s="667">
        <v>6293</v>
      </c>
      <c r="X48" s="273" t="s">
        <v>2832</v>
      </c>
      <c r="Y48" s="275">
        <v>3000000</v>
      </c>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row>
    <row r="49" spans="1:130" s="50" customFormat="1" ht="15" x14ac:dyDescent="0.25">
      <c r="A49" s="693"/>
      <c r="B49" s="767"/>
      <c r="C49" s="690"/>
      <c r="D49" s="693"/>
      <c r="E49" s="690"/>
      <c r="F49" s="711"/>
      <c r="G49" s="711"/>
      <c r="H49" s="735"/>
      <c r="I49" s="711"/>
      <c r="J49" s="711"/>
      <c r="K49" s="693"/>
      <c r="L49" s="693"/>
      <c r="M49" s="763"/>
      <c r="N49" s="743"/>
      <c r="O49" s="78"/>
      <c r="P49" s="668"/>
      <c r="Q49" s="78"/>
      <c r="R49" s="274"/>
      <c r="S49" s="46"/>
      <c r="T49" s="667"/>
      <c r="U49" s="273"/>
      <c r="V49" s="274"/>
      <c r="W49" s="667">
        <v>6294</v>
      </c>
      <c r="X49" s="273" t="s">
        <v>2832</v>
      </c>
      <c r="Y49" s="275">
        <v>3000000</v>
      </c>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row>
    <row r="50" spans="1:130" s="50" customFormat="1" ht="15" x14ac:dyDescent="0.25">
      <c r="A50" s="693"/>
      <c r="B50" s="767"/>
      <c r="C50" s="690"/>
      <c r="D50" s="693"/>
      <c r="E50" s="690"/>
      <c r="F50" s="711"/>
      <c r="G50" s="711"/>
      <c r="H50" s="735"/>
      <c r="I50" s="711"/>
      <c r="J50" s="711"/>
      <c r="K50" s="693"/>
      <c r="L50" s="693"/>
      <c r="M50" s="763"/>
      <c r="N50" s="743"/>
      <c r="O50" s="78"/>
      <c r="P50" s="668"/>
      <c r="Q50" s="78"/>
      <c r="R50" s="274"/>
      <c r="S50" s="46"/>
      <c r="T50" s="667"/>
      <c r="U50" s="273"/>
      <c r="V50" s="274"/>
      <c r="W50" s="667">
        <v>6296</v>
      </c>
      <c r="X50" s="273" t="s">
        <v>2832</v>
      </c>
      <c r="Y50" s="275">
        <v>3000000</v>
      </c>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row>
    <row r="51" spans="1:130" s="50" customFormat="1" ht="15" x14ac:dyDescent="0.25">
      <c r="A51" s="693"/>
      <c r="B51" s="767"/>
      <c r="C51" s="690"/>
      <c r="D51" s="693"/>
      <c r="E51" s="690"/>
      <c r="F51" s="711"/>
      <c r="G51" s="711"/>
      <c r="H51" s="735"/>
      <c r="I51" s="711"/>
      <c r="J51" s="711"/>
      <c r="K51" s="693"/>
      <c r="L51" s="693"/>
      <c r="M51" s="763"/>
      <c r="N51" s="743"/>
      <c r="O51" s="78"/>
      <c r="P51" s="668"/>
      <c r="Q51" s="78"/>
      <c r="R51" s="274"/>
      <c r="S51" s="46"/>
      <c r="T51" s="667"/>
      <c r="U51" s="273"/>
      <c r="V51" s="274"/>
      <c r="W51" s="667">
        <v>6297</v>
      </c>
      <c r="X51" s="273" t="s">
        <v>2832</v>
      </c>
      <c r="Y51" s="275">
        <v>3000000</v>
      </c>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row>
    <row r="52" spans="1:130" s="50" customFormat="1" ht="15" x14ac:dyDescent="0.25">
      <c r="A52" s="693"/>
      <c r="B52" s="767"/>
      <c r="C52" s="690"/>
      <c r="D52" s="693"/>
      <c r="E52" s="690"/>
      <c r="F52" s="711"/>
      <c r="G52" s="711"/>
      <c r="H52" s="735"/>
      <c r="I52" s="711"/>
      <c r="J52" s="711"/>
      <c r="K52" s="693"/>
      <c r="L52" s="693"/>
      <c r="M52" s="763"/>
      <c r="N52" s="743"/>
      <c r="O52" s="78"/>
      <c r="P52" s="668"/>
      <c r="Q52" s="78"/>
      <c r="R52" s="274"/>
      <c r="S52" s="46"/>
      <c r="T52" s="667"/>
      <c r="U52" s="273"/>
      <c r="V52" s="274"/>
      <c r="W52" s="667">
        <v>6298</v>
      </c>
      <c r="X52" s="273" t="s">
        <v>2832</v>
      </c>
      <c r="Y52" s="275">
        <v>3000000</v>
      </c>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row>
    <row r="53" spans="1:130" s="50" customFormat="1" ht="15" x14ac:dyDescent="0.25">
      <c r="A53" s="693"/>
      <c r="B53" s="767"/>
      <c r="C53" s="690"/>
      <c r="D53" s="693"/>
      <c r="E53" s="690"/>
      <c r="F53" s="711"/>
      <c r="G53" s="711"/>
      <c r="H53" s="735"/>
      <c r="I53" s="711"/>
      <c r="J53" s="711"/>
      <c r="K53" s="693"/>
      <c r="L53" s="693"/>
      <c r="M53" s="763"/>
      <c r="N53" s="743"/>
      <c r="O53" s="78"/>
      <c r="P53" s="668"/>
      <c r="Q53" s="78"/>
      <c r="R53" s="274"/>
      <c r="S53" s="46"/>
      <c r="T53" s="667"/>
      <c r="U53" s="273"/>
      <c r="V53" s="274"/>
      <c r="W53" s="667">
        <v>6299</v>
      </c>
      <c r="X53" s="273" t="s">
        <v>2832</v>
      </c>
      <c r="Y53" s="275">
        <v>3000000</v>
      </c>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row>
    <row r="54" spans="1:130" s="50" customFormat="1" ht="15" x14ac:dyDescent="0.25">
      <c r="A54" s="693"/>
      <c r="B54" s="767"/>
      <c r="C54" s="690"/>
      <c r="D54" s="693"/>
      <c r="E54" s="690"/>
      <c r="F54" s="711"/>
      <c r="G54" s="711"/>
      <c r="H54" s="735"/>
      <c r="I54" s="711"/>
      <c r="J54" s="711"/>
      <c r="K54" s="693"/>
      <c r="L54" s="693"/>
      <c r="M54" s="763"/>
      <c r="N54" s="743"/>
      <c r="O54" s="78"/>
      <c r="P54" s="668"/>
      <c r="Q54" s="78"/>
      <c r="R54" s="274"/>
      <c r="S54" s="46"/>
      <c r="T54" s="667"/>
      <c r="U54" s="273"/>
      <c r="V54" s="274"/>
      <c r="W54" s="667">
        <v>6300</v>
      </c>
      <c r="X54" s="273" t="s">
        <v>2832</v>
      </c>
      <c r="Y54" s="275">
        <v>3000000</v>
      </c>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row>
    <row r="55" spans="1:130" s="50" customFormat="1" ht="15" x14ac:dyDescent="0.25">
      <c r="A55" s="693"/>
      <c r="B55" s="767"/>
      <c r="C55" s="690"/>
      <c r="D55" s="693"/>
      <c r="E55" s="690"/>
      <c r="F55" s="711"/>
      <c r="G55" s="711"/>
      <c r="H55" s="735"/>
      <c r="I55" s="711"/>
      <c r="J55" s="711"/>
      <c r="K55" s="693"/>
      <c r="L55" s="693"/>
      <c r="M55" s="763"/>
      <c r="N55" s="743"/>
      <c r="O55" s="78"/>
      <c r="P55" s="668"/>
      <c r="Q55" s="78"/>
      <c r="R55" s="274"/>
      <c r="S55" s="46"/>
      <c r="T55" s="667"/>
      <c r="U55" s="273"/>
      <c r="V55" s="274"/>
      <c r="W55" s="667">
        <v>6301</v>
      </c>
      <c r="X55" s="273" t="s">
        <v>2832</v>
      </c>
      <c r="Y55" s="275">
        <v>1100000</v>
      </c>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row>
    <row r="56" spans="1:130" s="50" customFormat="1" ht="15" x14ac:dyDescent="0.25">
      <c r="A56" s="693"/>
      <c r="B56" s="767"/>
      <c r="C56" s="690"/>
      <c r="D56" s="693"/>
      <c r="E56" s="690"/>
      <c r="F56" s="711"/>
      <c r="G56" s="711"/>
      <c r="H56" s="735"/>
      <c r="I56" s="711"/>
      <c r="J56" s="711"/>
      <c r="K56" s="693"/>
      <c r="L56" s="693"/>
      <c r="M56" s="763"/>
      <c r="N56" s="743"/>
      <c r="O56" s="78"/>
      <c r="P56" s="668"/>
      <c r="Q56" s="78"/>
      <c r="R56" s="274"/>
      <c r="S56" s="46"/>
      <c r="T56" s="667"/>
      <c r="U56" s="273"/>
      <c r="V56" s="274"/>
      <c r="W56" s="667">
        <v>6301</v>
      </c>
      <c r="X56" s="273" t="s">
        <v>2832</v>
      </c>
      <c r="Y56" s="275">
        <v>1900000</v>
      </c>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row>
    <row r="57" spans="1:130" s="50" customFormat="1" ht="15" x14ac:dyDescent="0.25">
      <c r="A57" s="693"/>
      <c r="B57" s="767"/>
      <c r="C57" s="690"/>
      <c r="D57" s="693"/>
      <c r="E57" s="690"/>
      <c r="F57" s="711"/>
      <c r="G57" s="711"/>
      <c r="H57" s="735"/>
      <c r="I57" s="711"/>
      <c r="J57" s="711"/>
      <c r="K57" s="693"/>
      <c r="L57" s="693"/>
      <c r="M57" s="763"/>
      <c r="N57" s="743"/>
      <c r="O57" s="78"/>
      <c r="P57" s="668"/>
      <c r="Q57" s="78"/>
      <c r="R57" s="274"/>
      <c r="S57" s="46"/>
      <c r="T57" s="667"/>
      <c r="U57" s="273"/>
      <c r="V57" s="274"/>
      <c r="W57" s="667">
        <v>6303</v>
      </c>
      <c r="X57" s="273" t="s">
        <v>2832</v>
      </c>
      <c r="Y57" s="275">
        <v>3000000</v>
      </c>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row>
    <row r="58" spans="1:130" s="50" customFormat="1" ht="15" x14ac:dyDescent="0.25">
      <c r="A58" s="693"/>
      <c r="B58" s="767"/>
      <c r="C58" s="690"/>
      <c r="D58" s="693"/>
      <c r="E58" s="690"/>
      <c r="F58" s="711"/>
      <c r="G58" s="711"/>
      <c r="H58" s="735"/>
      <c r="I58" s="711"/>
      <c r="J58" s="711"/>
      <c r="K58" s="693"/>
      <c r="L58" s="693"/>
      <c r="M58" s="763"/>
      <c r="N58" s="743"/>
      <c r="O58" s="78"/>
      <c r="P58" s="668"/>
      <c r="Q58" s="78"/>
      <c r="R58" s="274"/>
      <c r="S58" s="46"/>
      <c r="T58" s="667"/>
      <c r="U58" s="273"/>
      <c r="V58" s="274"/>
      <c r="W58" s="667">
        <v>6304</v>
      </c>
      <c r="X58" s="273" t="s">
        <v>2832</v>
      </c>
      <c r="Y58" s="275">
        <v>3000000</v>
      </c>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row>
    <row r="59" spans="1:130" s="50" customFormat="1" ht="15" x14ac:dyDescent="0.25">
      <c r="A59" s="693"/>
      <c r="B59" s="767"/>
      <c r="C59" s="690"/>
      <c r="D59" s="693"/>
      <c r="E59" s="690"/>
      <c r="F59" s="711"/>
      <c r="G59" s="711"/>
      <c r="H59" s="735"/>
      <c r="I59" s="711"/>
      <c r="J59" s="711"/>
      <c r="K59" s="693"/>
      <c r="L59" s="693"/>
      <c r="M59" s="763"/>
      <c r="N59" s="743"/>
      <c r="O59" s="78"/>
      <c r="P59" s="668"/>
      <c r="Q59" s="78"/>
      <c r="R59" s="274"/>
      <c r="S59" s="46"/>
      <c r="T59" s="667"/>
      <c r="U59" s="273"/>
      <c r="V59" s="274"/>
      <c r="W59" s="667">
        <v>6305</v>
      </c>
      <c r="X59" s="273" t="s">
        <v>2832</v>
      </c>
      <c r="Y59" s="275">
        <v>3000000</v>
      </c>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row>
    <row r="60" spans="1:130" s="50" customFormat="1" ht="15" x14ac:dyDescent="0.25">
      <c r="A60" s="693"/>
      <c r="B60" s="767"/>
      <c r="C60" s="690"/>
      <c r="D60" s="693"/>
      <c r="E60" s="690"/>
      <c r="F60" s="711"/>
      <c r="G60" s="711"/>
      <c r="H60" s="735"/>
      <c r="I60" s="711"/>
      <c r="J60" s="711"/>
      <c r="K60" s="693"/>
      <c r="L60" s="693"/>
      <c r="M60" s="763"/>
      <c r="N60" s="743"/>
      <c r="O60" s="78"/>
      <c r="P60" s="668"/>
      <c r="Q60" s="78"/>
      <c r="R60" s="274"/>
      <c r="S60" s="46"/>
      <c r="T60" s="667"/>
      <c r="U60" s="273"/>
      <c r="V60" s="274"/>
      <c r="W60" s="667">
        <v>6307</v>
      </c>
      <c r="X60" s="273" t="s">
        <v>2832</v>
      </c>
      <c r="Y60" s="275">
        <v>3000000</v>
      </c>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row>
    <row r="61" spans="1:130" s="50" customFormat="1" ht="15" x14ac:dyDescent="0.25">
      <c r="A61" s="693"/>
      <c r="B61" s="767"/>
      <c r="C61" s="690"/>
      <c r="D61" s="693"/>
      <c r="E61" s="690"/>
      <c r="F61" s="711"/>
      <c r="G61" s="711"/>
      <c r="H61" s="735"/>
      <c r="I61" s="711"/>
      <c r="J61" s="711"/>
      <c r="K61" s="693"/>
      <c r="L61" s="693"/>
      <c r="M61" s="763"/>
      <c r="N61" s="743"/>
      <c r="O61" s="78"/>
      <c r="P61" s="668"/>
      <c r="Q61" s="78"/>
      <c r="R61" s="274"/>
      <c r="S61" s="46"/>
      <c r="T61" s="667"/>
      <c r="U61" s="273"/>
      <c r="V61" s="274"/>
      <c r="W61" s="667">
        <v>6308</v>
      </c>
      <c r="X61" s="273" t="s">
        <v>2832</v>
      </c>
      <c r="Y61" s="275">
        <v>3000000</v>
      </c>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row>
    <row r="62" spans="1:130" s="50" customFormat="1" ht="15" x14ac:dyDescent="0.25">
      <c r="A62" s="693"/>
      <c r="B62" s="767"/>
      <c r="C62" s="690"/>
      <c r="D62" s="693"/>
      <c r="E62" s="690"/>
      <c r="F62" s="711"/>
      <c r="G62" s="711"/>
      <c r="H62" s="735"/>
      <c r="I62" s="711"/>
      <c r="J62" s="711"/>
      <c r="K62" s="693"/>
      <c r="L62" s="693"/>
      <c r="M62" s="763"/>
      <c r="N62" s="743"/>
      <c r="O62" s="78"/>
      <c r="P62" s="668"/>
      <c r="Q62" s="78"/>
      <c r="R62" s="274"/>
      <c r="S62" s="46"/>
      <c r="T62" s="667"/>
      <c r="U62" s="273"/>
      <c r="V62" s="274"/>
      <c r="W62" s="667">
        <v>6309</v>
      </c>
      <c r="X62" s="273" t="s">
        <v>2832</v>
      </c>
      <c r="Y62" s="275">
        <v>3000000</v>
      </c>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row>
    <row r="63" spans="1:130" s="50" customFormat="1" ht="15" x14ac:dyDescent="0.25">
      <c r="A63" s="693"/>
      <c r="B63" s="767"/>
      <c r="C63" s="690"/>
      <c r="D63" s="693"/>
      <c r="E63" s="690"/>
      <c r="F63" s="711"/>
      <c r="G63" s="711"/>
      <c r="H63" s="735"/>
      <c r="I63" s="711"/>
      <c r="J63" s="711"/>
      <c r="K63" s="693"/>
      <c r="L63" s="693"/>
      <c r="M63" s="763"/>
      <c r="N63" s="743"/>
      <c r="O63" s="78"/>
      <c r="P63" s="668"/>
      <c r="Q63" s="78"/>
      <c r="R63" s="274"/>
      <c r="S63" s="46"/>
      <c r="T63" s="667"/>
      <c r="U63" s="273"/>
      <c r="V63" s="274"/>
      <c r="W63" s="667">
        <v>6310</v>
      </c>
      <c r="X63" s="273" t="s">
        <v>2832</v>
      </c>
      <c r="Y63" s="275">
        <v>3000000</v>
      </c>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row>
    <row r="64" spans="1:130" s="50" customFormat="1" ht="15" x14ac:dyDescent="0.25">
      <c r="A64" s="693"/>
      <c r="B64" s="767"/>
      <c r="C64" s="690"/>
      <c r="D64" s="693"/>
      <c r="E64" s="690"/>
      <c r="F64" s="711"/>
      <c r="G64" s="711"/>
      <c r="H64" s="735"/>
      <c r="I64" s="711"/>
      <c r="J64" s="711"/>
      <c r="K64" s="693"/>
      <c r="L64" s="693"/>
      <c r="M64" s="763"/>
      <c r="N64" s="743"/>
      <c r="O64" s="78"/>
      <c r="P64" s="668"/>
      <c r="Q64" s="78"/>
      <c r="R64" s="274"/>
      <c r="S64" s="46"/>
      <c r="T64" s="667"/>
      <c r="U64" s="273"/>
      <c r="V64" s="274"/>
      <c r="W64" s="667">
        <v>6312</v>
      </c>
      <c r="X64" s="273" t="s">
        <v>2832</v>
      </c>
      <c r="Y64" s="275">
        <v>6000000</v>
      </c>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row>
    <row r="65" spans="1:130" s="50" customFormat="1" ht="15" x14ac:dyDescent="0.25">
      <c r="A65" s="693"/>
      <c r="B65" s="767"/>
      <c r="C65" s="690"/>
      <c r="D65" s="693"/>
      <c r="E65" s="690"/>
      <c r="F65" s="711"/>
      <c r="G65" s="711"/>
      <c r="H65" s="735"/>
      <c r="I65" s="711"/>
      <c r="J65" s="711"/>
      <c r="K65" s="693"/>
      <c r="L65" s="693"/>
      <c r="M65" s="763"/>
      <c r="N65" s="743"/>
      <c r="O65" s="78"/>
      <c r="P65" s="668"/>
      <c r="Q65" s="78"/>
      <c r="R65" s="274"/>
      <c r="S65" s="46"/>
      <c r="T65" s="667"/>
      <c r="U65" s="273"/>
      <c r="V65" s="274"/>
      <c r="W65" s="667">
        <v>6313</v>
      </c>
      <c r="X65" s="273" t="s">
        <v>2832</v>
      </c>
      <c r="Y65" s="275">
        <v>3000000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row>
    <row r="66" spans="1:130" s="50" customFormat="1" ht="15" x14ac:dyDescent="0.25">
      <c r="A66" s="693"/>
      <c r="B66" s="767"/>
      <c r="C66" s="690"/>
      <c r="D66" s="693"/>
      <c r="E66" s="690"/>
      <c r="F66" s="711"/>
      <c r="G66" s="711"/>
      <c r="H66" s="735"/>
      <c r="I66" s="711"/>
      <c r="J66" s="711"/>
      <c r="K66" s="693"/>
      <c r="L66" s="693"/>
      <c r="M66" s="763"/>
      <c r="N66" s="743"/>
      <c r="O66" s="78"/>
      <c r="P66" s="668"/>
      <c r="Q66" s="78"/>
      <c r="R66" s="274"/>
      <c r="S66" s="46"/>
      <c r="T66" s="667"/>
      <c r="U66" s="273"/>
      <c r="V66" s="274"/>
      <c r="W66" s="667">
        <v>6314</v>
      </c>
      <c r="X66" s="273" t="s">
        <v>2832</v>
      </c>
      <c r="Y66" s="275">
        <v>3000000</v>
      </c>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row>
    <row r="67" spans="1:130" s="50" customFormat="1" ht="15" x14ac:dyDescent="0.25">
      <c r="A67" s="693"/>
      <c r="B67" s="767"/>
      <c r="C67" s="690"/>
      <c r="D67" s="693"/>
      <c r="E67" s="690"/>
      <c r="F67" s="711"/>
      <c r="G67" s="711"/>
      <c r="H67" s="735"/>
      <c r="I67" s="711"/>
      <c r="J67" s="711"/>
      <c r="K67" s="693"/>
      <c r="L67" s="693"/>
      <c r="M67" s="763"/>
      <c r="N67" s="743"/>
      <c r="O67" s="78"/>
      <c r="P67" s="668"/>
      <c r="Q67" s="78"/>
      <c r="R67" s="274"/>
      <c r="S67" s="46"/>
      <c r="T67" s="667"/>
      <c r="U67" s="273"/>
      <c r="V67" s="274"/>
      <c r="W67" s="667">
        <v>6316</v>
      </c>
      <c r="X67" s="273" t="s">
        <v>2832</v>
      </c>
      <c r="Y67" s="275">
        <v>3000000</v>
      </c>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row>
    <row r="68" spans="1:130" s="50" customFormat="1" ht="15" x14ac:dyDescent="0.25">
      <c r="A68" s="693"/>
      <c r="B68" s="767"/>
      <c r="C68" s="690"/>
      <c r="D68" s="693"/>
      <c r="E68" s="690"/>
      <c r="F68" s="711"/>
      <c r="G68" s="711"/>
      <c r="H68" s="735"/>
      <c r="I68" s="711"/>
      <c r="J68" s="711"/>
      <c r="K68" s="693"/>
      <c r="L68" s="693"/>
      <c r="M68" s="763"/>
      <c r="N68" s="743"/>
      <c r="O68" s="78"/>
      <c r="P68" s="668"/>
      <c r="Q68" s="78"/>
      <c r="R68" s="274"/>
      <c r="S68" s="46"/>
      <c r="T68" s="667"/>
      <c r="U68" s="273"/>
      <c r="V68" s="274"/>
      <c r="W68" s="667">
        <v>6317</v>
      </c>
      <c r="X68" s="273" t="s">
        <v>2832</v>
      </c>
      <c r="Y68" s="275">
        <v>3000000</v>
      </c>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row>
    <row r="69" spans="1:130" s="50" customFormat="1" ht="15" x14ac:dyDescent="0.25">
      <c r="A69" s="693"/>
      <c r="B69" s="767"/>
      <c r="C69" s="690"/>
      <c r="D69" s="693"/>
      <c r="E69" s="690"/>
      <c r="F69" s="711"/>
      <c r="G69" s="711"/>
      <c r="H69" s="735"/>
      <c r="I69" s="711"/>
      <c r="J69" s="711"/>
      <c r="K69" s="693"/>
      <c r="L69" s="693"/>
      <c r="M69" s="763"/>
      <c r="N69" s="743"/>
      <c r="O69" s="78"/>
      <c r="P69" s="668"/>
      <c r="Q69" s="78"/>
      <c r="R69" s="274"/>
      <c r="S69" s="46"/>
      <c r="T69" s="667"/>
      <c r="U69" s="273"/>
      <c r="V69" s="274"/>
      <c r="W69" s="667">
        <v>6318</v>
      </c>
      <c r="X69" s="273" t="s">
        <v>2832</v>
      </c>
      <c r="Y69" s="275">
        <v>3000000</v>
      </c>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row>
    <row r="70" spans="1:130" s="50" customFormat="1" ht="15" x14ac:dyDescent="0.25">
      <c r="A70" s="693"/>
      <c r="B70" s="767"/>
      <c r="C70" s="690"/>
      <c r="D70" s="693"/>
      <c r="E70" s="690"/>
      <c r="F70" s="711"/>
      <c r="G70" s="711"/>
      <c r="H70" s="735"/>
      <c r="I70" s="711"/>
      <c r="J70" s="711"/>
      <c r="K70" s="693"/>
      <c r="L70" s="693"/>
      <c r="M70" s="763"/>
      <c r="N70" s="743"/>
      <c r="O70" s="78"/>
      <c r="P70" s="668"/>
      <c r="Q70" s="78"/>
      <c r="R70" s="274"/>
      <c r="S70" s="46"/>
      <c r="T70" s="667"/>
      <c r="U70" s="273"/>
      <c r="V70" s="274"/>
      <c r="W70" s="667">
        <v>6319</v>
      </c>
      <c r="X70" s="273" t="s">
        <v>2832</v>
      </c>
      <c r="Y70" s="275">
        <v>3000000</v>
      </c>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row>
    <row r="71" spans="1:130" s="50" customFormat="1" ht="15" x14ac:dyDescent="0.25">
      <c r="A71" s="693"/>
      <c r="B71" s="767"/>
      <c r="C71" s="690"/>
      <c r="D71" s="693"/>
      <c r="E71" s="690"/>
      <c r="F71" s="711"/>
      <c r="G71" s="711"/>
      <c r="H71" s="735"/>
      <c r="I71" s="711"/>
      <c r="J71" s="711"/>
      <c r="K71" s="693"/>
      <c r="L71" s="693"/>
      <c r="M71" s="763"/>
      <c r="N71" s="743"/>
      <c r="O71" s="78"/>
      <c r="P71" s="668"/>
      <c r="Q71" s="78"/>
      <c r="R71" s="274"/>
      <c r="S71" s="46"/>
      <c r="T71" s="667"/>
      <c r="U71" s="273"/>
      <c r="V71" s="274"/>
      <c r="W71" s="667">
        <v>6320</v>
      </c>
      <c r="X71" s="273" t="s">
        <v>2832</v>
      </c>
      <c r="Y71" s="275">
        <v>3000000</v>
      </c>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row>
    <row r="72" spans="1:130" s="50" customFormat="1" ht="15" x14ac:dyDescent="0.25">
      <c r="A72" s="693"/>
      <c r="B72" s="767"/>
      <c r="C72" s="690"/>
      <c r="D72" s="693"/>
      <c r="E72" s="690"/>
      <c r="F72" s="711"/>
      <c r="G72" s="711"/>
      <c r="H72" s="735"/>
      <c r="I72" s="711"/>
      <c r="J72" s="711"/>
      <c r="K72" s="693"/>
      <c r="L72" s="693"/>
      <c r="M72" s="763"/>
      <c r="N72" s="743"/>
      <c r="O72" s="78"/>
      <c r="P72" s="668"/>
      <c r="Q72" s="78"/>
      <c r="R72" s="274"/>
      <c r="S72" s="46"/>
      <c r="T72" s="667"/>
      <c r="U72" s="273"/>
      <c r="V72" s="274"/>
      <c r="W72" s="667">
        <v>6321</v>
      </c>
      <c r="X72" s="273" t="s">
        <v>2832</v>
      </c>
      <c r="Y72" s="275">
        <v>3000000</v>
      </c>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row>
    <row r="73" spans="1:130" s="50" customFormat="1" ht="15" x14ac:dyDescent="0.25">
      <c r="A73" s="693"/>
      <c r="B73" s="767"/>
      <c r="C73" s="690"/>
      <c r="D73" s="693"/>
      <c r="E73" s="690"/>
      <c r="F73" s="711"/>
      <c r="G73" s="711"/>
      <c r="H73" s="735"/>
      <c r="I73" s="711"/>
      <c r="J73" s="711"/>
      <c r="K73" s="693"/>
      <c r="L73" s="693"/>
      <c r="M73" s="763"/>
      <c r="N73" s="743"/>
      <c r="O73" s="78"/>
      <c r="P73" s="668"/>
      <c r="Q73" s="78"/>
      <c r="R73" s="274"/>
      <c r="S73" s="46"/>
      <c r="T73" s="667"/>
      <c r="U73" s="273"/>
      <c r="V73" s="274"/>
      <c r="W73" s="667">
        <v>6322</v>
      </c>
      <c r="X73" s="273" t="s">
        <v>2832</v>
      </c>
      <c r="Y73" s="275">
        <v>3000000</v>
      </c>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row>
    <row r="74" spans="1:130" s="50" customFormat="1" ht="15" x14ac:dyDescent="0.25">
      <c r="A74" s="693"/>
      <c r="B74" s="767"/>
      <c r="C74" s="690"/>
      <c r="D74" s="693"/>
      <c r="E74" s="690"/>
      <c r="F74" s="711"/>
      <c r="G74" s="711"/>
      <c r="H74" s="735"/>
      <c r="I74" s="711"/>
      <c r="J74" s="711"/>
      <c r="K74" s="693"/>
      <c r="L74" s="693"/>
      <c r="M74" s="763"/>
      <c r="N74" s="743"/>
      <c r="O74" s="78"/>
      <c r="P74" s="668"/>
      <c r="Q74" s="78"/>
      <c r="R74" s="274"/>
      <c r="S74" s="46"/>
      <c r="T74" s="667"/>
      <c r="U74" s="273"/>
      <c r="V74" s="274"/>
      <c r="W74" s="667">
        <v>6324</v>
      </c>
      <c r="X74" s="273" t="s">
        <v>2832</v>
      </c>
      <c r="Y74" s="275">
        <v>3000000</v>
      </c>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row>
    <row r="75" spans="1:130" s="50" customFormat="1" ht="15" x14ac:dyDescent="0.25">
      <c r="A75" s="693"/>
      <c r="B75" s="767"/>
      <c r="C75" s="690"/>
      <c r="D75" s="693"/>
      <c r="E75" s="690"/>
      <c r="F75" s="711"/>
      <c r="G75" s="711"/>
      <c r="H75" s="735"/>
      <c r="I75" s="711"/>
      <c r="J75" s="711"/>
      <c r="K75" s="693"/>
      <c r="L75" s="693"/>
      <c r="M75" s="763"/>
      <c r="N75" s="743"/>
      <c r="O75" s="78"/>
      <c r="P75" s="668"/>
      <c r="Q75" s="78"/>
      <c r="R75" s="274"/>
      <c r="S75" s="46"/>
      <c r="T75" s="667"/>
      <c r="U75" s="273"/>
      <c r="V75" s="274"/>
      <c r="W75" s="667">
        <v>6325</v>
      </c>
      <c r="X75" s="273" t="s">
        <v>2832</v>
      </c>
      <c r="Y75" s="275">
        <v>3000000</v>
      </c>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row>
    <row r="76" spans="1:130" s="50" customFormat="1" ht="15" x14ac:dyDescent="0.25">
      <c r="A76" s="693"/>
      <c r="B76" s="767"/>
      <c r="C76" s="690"/>
      <c r="D76" s="693"/>
      <c r="E76" s="690"/>
      <c r="F76" s="711"/>
      <c r="G76" s="711"/>
      <c r="H76" s="735"/>
      <c r="I76" s="711"/>
      <c r="J76" s="711"/>
      <c r="K76" s="693"/>
      <c r="L76" s="693"/>
      <c r="M76" s="763"/>
      <c r="N76" s="743"/>
      <c r="O76" s="78"/>
      <c r="P76" s="668"/>
      <c r="Q76" s="78"/>
      <c r="R76" s="274"/>
      <c r="S76" s="46"/>
      <c r="T76" s="667"/>
      <c r="U76" s="273"/>
      <c r="V76" s="274"/>
      <c r="W76" s="667">
        <v>6326</v>
      </c>
      <c r="X76" s="273" t="s">
        <v>2832</v>
      </c>
      <c r="Y76" s="275">
        <v>3000000</v>
      </c>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row>
    <row r="77" spans="1:130" s="50" customFormat="1" ht="15" x14ac:dyDescent="0.25">
      <c r="A77" s="693"/>
      <c r="B77" s="767"/>
      <c r="C77" s="690"/>
      <c r="D77" s="693"/>
      <c r="E77" s="690"/>
      <c r="F77" s="711"/>
      <c r="G77" s="711"/>
      <c r="H77" s="735"/>
      <c r="I77" s="711"/>
      <c r="J77" s="711"/>
      <c r="K77" s="693"/>
      <c r="L77" s="693"/>
      <c r="M77" s="763"/>
      <c r="N77" s="743"/>
      <c r="O77" s="78"/>
      <c r="P77" s="668"/>
      <c r="Q77" s="78"/>
      <c r="R77" s="274"/>
      <c r="S77" s="46"/>
      <c r="T77" s="667"/>
      <c r="U77" s="273"/>
      <c r="V77" s="274"/>
      <c r="W77" s="667">
        <v>6327</v>
      </c>
      <c r="X77" s="273" t="s">
        <v>2832</v>
      </c>
      <c r="Y77" s="275">
        <v>3000000</v>
      </c>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row>
    <row r="78" spans="1:130" s="50" customFormat="1" ht="15" x14ac:dyDescent="0.25">
      <c r="A78" s="693"/>
      <c r="B78" s="767"/>
      <c r="C78" s="690"/>
      <c r="D78" s="693"/>
      <c r="E78" s="690"/>
      <c r="F78" s="711"/>
      <c r="G78" s="711"/>
      <c r="H78" s="735"/>
      <c r="I78" s="711"/>
      <c r="J78" s="711"/>
      <c r="K78" s="693"/>
      <c r="L78" s="693"/>
      <c r="M78" s="763"/>
      <c r="N78" s="743"/>
      <c r="O78" s="78"/>
      <c r="P78" s="668"/>
      <c r="Q78" s="78"/>
      <c r="R78" s="274"/>
      <c r="S78" s="46"/>
      <c r="T78" s="667"/>
      <c r="U78" s="273"/>
      <c r="V78" s="274"/>
      <c r="W78" s="667">
        <v>6328</v>
      </c>
      <c r="X78" s="273" t="s">
        <v>2832</v>
      </c>
      <c r="Y78" s="275">
        <v>3000000</v>
      </c>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row>
    <row r="79" spans="1:130" s="50" customFormat="1" ht="15" x14ac:dyDescent="0.25">
      <c r="A79" s="693"/>
      <c r="B79" s="767"/>
      <c r="C79" s="690"/>
      <c r="D79" s="693"/>
      <c r="E79" s="690"/>
      <c r="F79" s="711"/>
      <c r="G79" s="711"/>
      <c r="H79" s="735"/>
      <c r="I79" s="711"/>
      <c r="J79" s="711"/>
      <c r="K79" s="693"/>
      <c r="L79" s="693"/>
      <c r="M79" s="763"/>
      <c r="N79" s="743"/>
      <c r="O79" s="78"/>
      <c r="P79" s="668"/>
      <c r="Q79" s="78"/>
      <c r="R79" s="274"/>
      <c r="S79" s="46"/>
      <c r="T79" s="667"/>
      <c r="U79" s="273"/>
      <c r="V79" s="274"/>
      <c r="W79" s="667">
        <v>6329</v>
      </c>
      <c r="X79" s="273" t="s">
        <v>2832</v>
      </c>
      <c r="Y79" s="275">
        <v>3000000</v>
      </c>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row>
    <row r="80" spans="1:130" s="50" customFormat="1" ht="15" x14ac:dyDescent="0.25">
      <c r="A80" s="693"/>
      <c r="B80" s="767"/>
      <c r="C80" s="690"/>
      <c r="D80" s="693"/>
      <c r="E80" s="690"/>
      <c r="F80" s="711"/>
      <c r="G80" s="711"/>
      <c r="H80" s="735"/>
      <c r="I80" s="711"/>
      <c r="J80" s="711"/>
      <c r="K80" s="693"/>
      <c r="L80" s="693"/>
      <c r="M80" s="763"/>
      <c r="N80" s="743"/>
      <c r="O80" s="78"/>
      <c r="P80" s="668"/>
      <c r="Q80" s="78"/>
      <c r="R80" s="274"/>
      <c r="S80" s="46"/>
      <c r="T80" s="667"/>
      <c r="U80" s="273"/>
      <c r="V80" s="274"/>
      <c r="W80" s="667">
        <v>6331</v>
      </c>
      <c r="X80" s="273" t="s">
        <v>2832</v>
      </c>
      <c r="Y80" s="275">
        <v>600000</v>
      </c>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row>
    <row r="81" spans="1:130" s="50" customFormat="1" ht="15" x14ac:dyDescent="0.25">
      <c r="A81" s="693"/>
      <c r="B81" s="767"/>
      <c r="C81" s="690"/>
      <c r="D81" s="693"/>
      <c r="E81" s="690"/>
      <c r="F81" s="711"/>
      <c r="G81" s="711"/>
      <c r="H81" s="735"/>
      <c r="I81" s="711"/>
      <c r="J81" s="711"/>
      <c r="K81" s="693"/>
      <c r="L81" s="693"/>
      <c r="M81" s="763"/>
      <c r="N81" s="743"/>
      <c r="O81" s="78"/>
      <c r="P81" s="668"/>
      <c r="Q81" s="78"/>
      <c r="R81" s="274"/>
      <c r="S81" s="46"/>
      <c r="T81" s="667"/>
      <c r="U81" s="273"/>
      <c r="V81" s="274"/>
      <c r="W81" s="667">
        <v>6331</v>
      </c>
      <c r="X81" s="273" t="s">
        <v>2832</v>
      </c>
      <c r="Y81" s="275">
        <v>2400000</v>
      </c>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row>
    <row r="82" spans="1:130" s="50" customFormat="1" ht="15" x14ac:dyDescent="0.25">
      <c r="A82" s="693"/>
      <c r="B82" s="767"/>
      <c r="C82" s="690"/>
      <c r="D82" s="693"/>
      <c r="E82" s="690"/>
      <c r="F82" s="711"/>
      <c r="G82" s="711"/>
      <c r="H82" s="735"/>
      <c r="I82" s="711"/>
      <c r="J82" s="711"/>
      <c r="K82" s="693"/>
      <c r="L82" s="693"/>
      <c r="M82" s="763"/>
      <c r="N82" s="743"/>
      <c r="O82" s="78"/>
      <c r="P82" s="668"/>
      <c r="Q82" s="78"/>
      <c r="R82" s="274"/>
      <c r="S82" s="46"/>
      <c r="T82" s="667"/>
      <c r="U82" s="273"/>
      <c r="V82" s="274"/>
      <c r="W82" s="667">
        <v>6332</v>
      </c>
      <c r="X82" s="273" t="s">
        <v>2832</v>
      </c>
      <c r="Y82" s="275">
        <v>3000000</v>
      </c>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row>
    <row r="83" spans="1:130" s="50" customFormat="1" ht="15" x14ac:dyDescent="0.25">
      <c r="A83" s="693"/>
      <c r="B83" s="767"/>
      <c r="C83" s="690"/>
      <c r="D83" s="693"/>
      <c r="E83" s="690"/>
      <c r="F83" s="711"/>
      <c r="G83" s="711"/>
      <c r="H83" s="735"/>
      <c r="I83" s="711"/>
      <c r="J83" s="711"/>
      <c r="K83" s="693"/>
      <c r="L83" s="693"/>
      <c r="M83" s="763"/>
      <c r="N83" s="743"/>
      <c r="O83" s="78"/>
      <c r="P83" s="668"/>
      <c r="Q83" s="78"/>
      <c r="R83" s="274"/>
      <c r="S83" s="46"/>
      <c r="T83" s="667"/>
      <c r="U83" s="273"/>
      <c r="V83" s="274"/>
      <c r="W83" s="667">
        <v>6333</v>
      </c>
      <c r="X83" s="273" t="s">
        <v>2832</v>
      </c>
      <c r="Y83" s="275">
        <v>3000000</v>
      </c>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row>
    <row r="84" spans="1:130" s="50" customFormat="1" ht="15" x14ac:dyDescent="0.25">
      <c r="A84" s="693"/>
      <c r="B84" s="767"/>
      <c r="C84" s="690"/>
      <c r="D84" s="693"/>
      <c r="E84" s="690"/>
      <c r="F84" s="711"/>
      <c r="G84" s="711"/>
      <c r="H84" s="735"/>
      <c r="I84" s="711"/>
      <c r="J84" s="711"/>
      <c r="K84" s="693"/>
      <c r="L84" s="693"/>
      <c r="M84" s="763"/>
      <c r="N84" s="743"/>
      <c r="O84" s="78"/>
      <c r="P84" s="668"/>
      <c r="Q84" s="78"/>
      <c r="R84" s="274"/>
      <c r="S84" s="46"/>
      <c r="T84" s="667"/>
      <c r="U84" s="273"/>
      <c r="V84" s="274"/>
      <c r="W84" s="667">
        <v>6334</v>
      </c>
      <c r="X84" s="273" t="s">
        <v>2832</v>
      </c>
      <c r="Y84" s="275">
        <v>3000000</v>
      </c>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row>
    <row r="85" spans="1:130" s="50" customFormat="1" ht="15" x14ac:dyDescent="0.25">
      <c r="A85" s="693"/>
      <c r="B85" s="767"/>
      <c r="C85" s="690"/>
      <c r="D85" s="693"/>
      <c r="E85" s="690"/>
      <c r="F85" s="711"/>
      <c r="G85" s="711"/>
      <c r="H85" s="735"/>
      <c r="I85" s="711"/>
      <c r="J85" s="711"/>
      <c r="K85" s="693"/>
      <c r="L85" s="693"/>
      <c r="M85" s="763"/>
      <c r="N85" s="743"/>
      <c r="O85" s="78"/>
      <c r="P85" s="668"/>
      <c r="Q85" s="78"/>
      <c r="R85" s="274"/>
      <c r="S85" s="46"/>
      <c r="T85" s="667"/>
      <c r="U85" s="273"/>
      <c r="V85" s="274"/>
      <c r="W85" s="667">
        <v>6351</v>
      </c>
      <c r="X85" s="273" t="s">
        <v>2816</v>
      </c>
      <c r="Y85" s="275">
        <v>3000000</v>
      </c>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row>
    <row r="86" spans="1:130" s="50" customFormat="1" ht="15" x14ac:dyDescent="0.25">
      <c r="A86" s="693"/>
      <c r="B86" s="767"/>
      <c r="C86" s="690"/>
      <c r="D86" s="693"/>
      <c r="E86" s="690"/>
      <c r="F86" s="711"/>
      <c r="G86" s="711"/>
      <c r="H86" s="735"/>
      <c r="I86" s="711"/>
      <c r="J86" s="711"/>
      <c r="K86" s="693"/>
      <c r="L86" s="693"/>
      <c r="M86" s="763"/>
      <c r="N86" s="743"/>
      <c r="O86" s="78" t="s">
        <v>2613</v>
      </c>
      <c r="P86" s="457" t="s">
        <v>2614</v>
      </c>
      <c r="Q86" s="78" t="s">
        <v>2615</v>
      </c>
      <c r="R86" s="274">
        <v>220428000</v>
      </c>
      <c r="S86" s="46"/>
      <c r="T86" s="443">
        <v>1554</v>
      </c>
      <c r="U86" s="273" t="s">
        <v>2809</v>
      </c>
      <c r="V86" s="274">
        <v>220428000</v>
      </c>
      <c r="W86" s="667">
        <v>6335</v>
      </c>
      <c r="X86" s="273" t="s">
        <v>2832</v>
      </c>
      <c r="Y86" s="275">
        <v>6396000</v>
      </c>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row>
    <row r="87" spans="1:130" s="50" customFormat="1" ht="15" x14ac:dyDescent="0.25">
      <c r="A87" s="693"/>
      <c r="B87" s="767"/>
      <c r="C87" s="690"/>
      <c r="D87" s="693"/>
      <c r="E87" s="690"/>
      <c r="F87" s="711"/>
      <c r="G87" s="711"/>
      <c r="H87" s="735"/>
      <c r="I87" s="711"/>
      <c r="J87" s="711"/>
      <c r="K87" s="693"/>
      <c r="L87" s="693"/>
      <c r="M87" s="763"/>
      <c r="N87" s="743"/>
      <c r="O87" s="78"/>
      <c r="P87" s="668"/>
      <c r="Q87" s="78"/>
      <c r="R87" s="274"/>
      <c r="S87" s="46"/>
      <c r="T87" s="667"/>
      <c r="U87" s="273"/>
      <c r="V87" s="274"/>
      <c r="W87" s="667">
        <v>6340</v>
      </c>
      <c r="X87" s="273" t="s">
        <v>2832</v>
      </c>
      <c r="Y87" s="275">
        <v>1976000</v>
      </c>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row>
    <row r="88" spans="1:130" s="50" customFormat="1" ht="15" x14ac:dyDescent="0.25">
      <c r="A88" s="693"/>
      <c r="B88" s="767"/>
      <c r="C88" s="690"/>
      <c r="D88" s="693"/>
      <c r="E88" s="690"/>
      <c r="F88" s="711"/>
      <c r="G88" s="711"/>
      <c r="H88" s="735"/>
      <c r="I88" s="711"/>
      <c r="J88" s="711"/>
      <c r="K88" s="693"/>
      <c r="L88" s="693"/>
      <c r="M88" s="763"/>
      <c r="N88" s="743"/>
      <c r="O88" s="78"/>
      <c r="P88" s="668"/>
      <c r="Q88" s="78"/>
      <c r="R88" s="274"/>
      <c r="S88" s="46"/>
      <c r="T88" s="667"/>
      <c r="U88" s="273"/>
      <c r="V88" s="274"/>
      <c r="W88" s="667">
        <v>6341</v>
      </c>
      <c r="X88" s="273" t="s">
        <v>2832</v>
      </c>
      <c r="Y88" s="275">
        <v>70720000</v>
      </c>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row>
    <row r="89" spans="1:130" s="50" customFormat="1" ht="15" x14ac:dyDescent="0.25">
      <c r="A89" s="693"/>
      <c r="B89" s="767"/>
      <c r="C89" s="690"/>
      <c r="D89" s="693"/>
      <c r="E89" s="690"/>
      <c r="F89" s="711"/>
      <c r="G89" s="711"/>
      <c r="H89" s="735"/>
      <c r="I89" s="711"/>
      <c r="J89" s="711"/>
      <c r="K89" s="693"/>
      <c r="L89" s="693"/>
      <c r="M89" s="763"/>
      <c r="N89" s="743"/>
      <c r="O89" s="78"/>
      <c r="P89" s="668"/>
      <c r="Q89" s="78"/>
      <c r="R89" s="274"/>
      <c r="S89" s="46"/>
      <c r="T89" s="667"/>
      <c r="U89" s="273"/>
      <c r="V89" s="274"/>
      <c r="W89" s="667">
        <v>6342</v>
      </c>
      <c r="X89" s="273" t="s">
        <v>2832</v>
      </c>
      <c r="Y89" s="275">
        <v>2710856</v>
      </c>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row>
    <row r="90" spans="1:130" s="50" customFormat="1" ht="15" x14ac:dyDescent="0.25">
      <c r="A90" s="693"/>
      <c r="B90" s="767"/>
      <c r="C90" s="690"/>
      <c r="D90" s="693"/>
      <c r="E90" s="690"/>
      <c r="F90" s="711"/>
      <c r="G90" s="711"/>
      <c r="H90" s="735"/>
      <c r="I90" s="711"/>
      <c r="J90" s="711"/>
      <c r="K90" s="693"/>
      <c r="L90" s="693"/>
      <c r="M90" s="763"/>
      <c r="N90" s="743"/>
      <c r="O90" s="78"/>
      <c r="P90" s="668"/>
      <c r="Q90" s="78"/>
      <c r="R90" s="274"/>
      <c r="S90" s="46"/>
      <c r="T90" s="667"/>
      <c r="U90" s="273"/>
      <c r="V90" s="274"/>
      <c r="W90" s="667">
        <v>6342</v>
      </c>
      <c r="X90" s="273" t="s">
        <v>2832</v>
      </c>
      <c r="Y90" s="275">
        <v>138625144</v>
      </c>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row>
    <row r="91" spans="1:130" s="107" customFormat="1" ht="15" x14ac:dyDescent="0.25">
      <c r="A91" s="92"/>
      <c r="B91" s="92"/>
      <c r="C91" s="92"/>
      <c r="D91" s="92"/>
      <c r="E91" s="104"/>
      <c r="F91" s="101"/>
      <c r="G91" s="101"/>
      <c r="H91" s="101"/>
      <c r="I91" s="92"/>
      <c r="J91" s="93"/>
      <c r="K91" s="92"/>
      <c r="L91" s="92"/>
      <c r="M91" s="102">
        <f>SUM(M8)</f>
        <v>1230788944</v>
      </c>
      <c r="N91" s="101"/>
      <c r="O91" s="105"/>
      <c r="P91" s="86"/>
      <c r="Q91" s="95"/>
      <c r="R91" s="103">
        <f>SUM(R8:R90)</f>
        <v>982310716</v>
      </c>
      <c r="S91" s="89"/>
      <c r="T91" s="86"/>
      <c r="U91" s="95"/>
      <c r="V91" s="103">
        <f>SUM(V8:V90)</f>
        <v>982310716</v>
      </c>
      <c r="W91" s="86"/>
      <c r="X91" s="95"/>
      <c r="Y91" s="103">
        <f>SUM(Y8:XFD90)</f>
        <v>982310716</v>
      </c>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row>
    <row r="92" spans="1:130" s="50" customFormat="1" ht="15" customHeight="1" x14ac:dyDescent="0.25">
      <c r="A92" s="692" t="s">
        <v>129</v>
      </c>
      <c r="B92" s="766" t="s">
        <v>130</v>
      </c>
      <c r="C92" s="689" t="s">
        <v>126</v>
      </c>
      <c r="D92" s="736" t="s">
        <v>834</v>
      </c>
      <c r="E92" s="689" t="s">
        <v>131</v>
      </c>
      <c r="F92" s="710">
        <v>500000000</v>
      </c>
      <c r="G92" s="687">
        <v>0</v>
      </c>
      <c r="H92" s="687"/>
      <c r="I92" s="710">
        <v>195137440</v>
      </c>
      <c r="J92" s="692"/>
      <c r="K92" s="692"/>
      <c r="L92" s="692"/>
      <c r="M92" s="758">
        <f>+F92+G92++H92+J92+I92+K92-L92</f>
        <v>695137440</v>
      </c>
      <c r="N92" s="742">
        <f>500000000+2195047202-617862560</f>
        <v>2077184642</v>
      </c>
      <c r="O92" s="78" t="s">
        <v>748</v>
      </c>
      <c r="P92" s="457" t="s">
        <v>301</v>
      </c>
      <c r="Q92" s="80" t="s">
        <v>317</v>
      </c>
      <c r="R92" s="66">
        <v>20158600</v>
      </c>
      <c r="S92" s="46"/>
      <c r="T92" s="80">
        <v>318</v>
      </c>
      <c r="U92" s="122" t="s">
        <v>749</v>
      </c>
      <c r="V92" s="66">
        <v>20158600</v>
      </c>
      <c r="W92" s="667">
        <v>1703</v>
      </c>
      <c r="X92" s="273">
        <v>44631</v>
      </c>
      <c r="Y92" s="275">
        <v>20158600</v>
      </c>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row>
    <row r="93" spans="1:130" s="50" customFormat="1" ht="15" x14ac:dyDescent="0.25">
      <c r="A93" s="693"/>
      <c r="B93" s="767"/>
      <c r="C93" s="690"/>
      <c r="D93" s="737"/>
      <c r="E93" s="690"/>
      <c r="F93" s="711"/>
      <c r="G93" s="688"/>
      <c r="H93" s="688"/>
      <c r="I93" s="711"/>
      <c r="J93" s="693"/>
      <c r="K93" s="693"/>
      <c r="L93" s="693"/>
      <c r="M93" s="763"/>
      <c r="N93" s="743"/>
      <c r="O93" s="78" t="s">
        <v>286</v>
      </c>
      <c r="P93" s="457" t="s">
        <v>302</v>
      </c>
      <c r="Q93" s="80" t="s">
        <v>318</v>
      </c>
      <c r="R93" s="274">
        <v>5195740</v>
      </c>
      <c r="S93" s="46"/>
      <c r="T93" s="38">
        <v>326</v>
      </c>
      <c r="U93" s="122">
        <v>44602</v>
      </c>
      <c r="V93" s="66">
        <v>5195740</v>
      </c>
      <c r="W93" s="667">
        <v>1705</v>
      </c>
      <c r="X93" s="273">
        <v>44634</v>
      </c>
      <c r="Y93" s="274">
        <v>5195740</v>
      </c>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row>
    <row r="94" spans="1:130" s="50" customFormat="1" ht="15" x14ac:dyDescent="0.25">
      <c r="A94" s="693"/>
      <c r="B94" s="767"/>
      <c r="C94" s="690"/>
      <c r="D94" s="737"/>
      <c r="E94" s="690"/>
      <c r="F94" s="711"/>
      <c r="G94" s="688"/>
      <c r="H94" s="688"/>
      <c r="I94" s="711"/>
      <c r="J94" s="693"/>
      <c r="K94" s="693"/>
      <c r="L94" s="693"/>
      <c r="M94" s="763"/>
      <c r="N94" s="743"/>
      <c r="O94" s="78" t="s">
        <v>287</v>
      </c>
      <c r="P94" s="457" t="s">
        <v>303</v>
      </c>
      <c r="Q94" s="80" t="s">
        <v>319</v>
      </c>
      <c r="R94" s="274">
        <v>53509324</v>
      </c>
      <c r="S94" s="46"/>
      <c r="T94" s="38">
        <v>311</v>
      </c>
      <c r="U94" s="122">
        <v>44594</v>
      </c>
      <c r="V94" s="66">
        <v>53509324</v>
      </c>
      <c r="W94" s="667">
        <v>1725</v>
      </c>
      <c r="X94" s="273">
        <v>44638</v>
      </c>
      <c r="Y94" s="274">
        <v>53509324</v>
      </c>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row>
    <row r="95" spans="1:130" s="50" customFormat="1" ht="15" x14ac:dyDescent="0.25">
      <c r="A95" s="693"/>
      <c r="B95" s="767"/>
      <c r="C95" s="690"/>
      <c r="D95" s="737"/>
      <c r="E95" s="690"/>
      <c r="F95" s="711"/>
      <c r="G95" s="688"/>
      <c r="H95" s="688"/>
      <c r="I95" s="711"/>
      <c r="J95" s="693"/>
      <c r="K95" s="693"/>
      <c r="L95" s="693"/>
      <c r="M95" s="763"/>
      <c r="N95" s="743"/>
      <c r="O95" s="78" t="s">
        <v>288</v>
      </c>
      <c r="P95" s="457" t="s">
        <v>304</v>
      </c>
      <c r="Q95" s="80" t="s">
        <v>320</v>
      </c>
      <c r="R95" s="66">
        <v>95429250</v>
      </c>
      <c r="S95" s="46"/>
      <c r="T95" s="38">
        <v>324</v>
      </c>
      <c r="U95" s="122">
        <v>44602</v>
      </c>
      <c r="V95" s="66">
        <v>95429250</v>
      </c>
      <c r="W95" s="667">
        <v>1687</v>
      </c>
      <c r="X95" s="273">
        <v>44630</v>
      </c>
      <c r="Y95" s="275">
        <v>95429250</v>
      </c>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row>
    <row r="96" spans="1:130" s="50" customFormat="1" ht="15" x14ac:dyDescent="0.25">
      <c r="A96" s="693"/>
      <c r="B96" s="767"/>
      <c r="C96" s="690"/>
      <c r="D96" s="737"/>
      <c r="E96" s="690"/>
      <c r="F96" s="711"/>
      <c r="G96" s="688"/>
      <c r="H96" s="688"/>
      <c r="I96" s="711"/>
      <c r="J96" s="693"/>
      <c r="K96" s="693"/>
      <c r="L96" s="693"/>
      <c r="M96" s="763"/>
      <c r="N96" s="743"/>
      <c r="O96" s="78" t="s">
        <v>289</v>
      </c>
      <c r="P96" s="457" t="s">
        <v>305</v>
      </c>
      <c r="Q96" s="80" t="s">
        <v>321</v>
      </c>
      <c r="R96" s="274">
        <v>23435720</v>
      </c>
      <c r="S96" s="46"/>
      <c r="T96" s="38">
        <v>321</v>
      </c>
      <c r="U96" s="122">
        <v>44596</v>
      </c>
      <c r="V96" s="66">
        <v>23435720</v>
      </c>
      <c r="W96" s="667">
        <v>1686</v>
      </c>
      <c r="X96" s="273">
        <v>44630</v>
      </c>
      <c r="Y96" s="274">
        <v>23435720</v>
      </c>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row>
    <row r="97" spans="1:130" s="50" customFormat="1" ht="15" x14ac:dyDescent="0.25">
      <c r="A97" s="693"/>
      <c r="B97" s="767"/>
      <c r="C97" s="690"/>
      <c r="D97" s="737"/>
      <c r="E97" s="690"/>
      <c r="F97" s="711"/>
      <c r="G97" s="688"/>
      <c r="H97" s="688"/>
      <c r="I97" s="711"/>
      <c r="J97" s="693"/>
      <c r="K97" s="693"/>
      <c r="L97" s="693"/>
      <c r="M97" s="763"/>
      <c r="N97" s="743"/>
      <c r="O97" s="78" t="s">
        <v>290</v>
      </c>
      <c r="P97" s="457" t="s">
        <v>306</v>
      </c>
      <c r="Q97" s="80" t="s">
        <v>322</v>
      </c>
      <c r="R97" s="66">
        <v>15124200</v>
      </c>
      <c r="S97" s="46"/>
      <c r="T97" s="38">
        <v>320</v>
      </c>
      <c r="U97" s="122">
        <v>44596</v>
      </c>
      <c r="V97" s="66">
        <v>15124200</v>
      </c>
      <c r="W97" s="667">
        <v>1699</v>
      </c>
      <c r="X97" s="273">
        <v>44631</v>
      </c>
      <c r="Y97" s="275">
        <v>15124200</v>
      </c>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row>
    <row r="98" spans="1:130" s="50" customFormat="1" ht="15" x14ac:dyDescent="0.25">
      <c r="A98" s="693"/>
      <c r="B98" s="767"/>
      <c r="C98" s="690"/>
      <c r="D98" s="737"/>
      <c r="E98" s="690"/>
      <c r="F98" s="711"/>
      <c r="G98" s="688"/>
      <c r="H98" s="688"/>
      <c r="I98" s="711"/>
      <c r="J98" s="693"/>
      <c r="K98" s="693"/>
      <c r="L98" s="693"/>
      <c r="M98" s="763"/>
      <c r="N98" s="743"/>
      <c r="O98" s="78" t="s">
        <v>291</v>
      </c>
      <c r="P98" s="457" t="s">
        <v>307</v>
      </c>
      <c r="Q98" s="80" t="s">
        <v>323</v>
      </c>
      <c r="R98" s="66">
        <v>13611000</v>
      </c>
      <c r="S98" s="46"/>
      <c r="T98" s="80">
        <v>310</v>
      </c>
      <c r="U98" s="122" t="s">
        <v>750</v>
      </c>
      <c r="V98" s="66">
        <v>13611000</v>
      </c>
      <c r="W98" s="667">
        <v>1679</v>
      </c>
      <c r="X98" s="273">
        <v>44629</v>
      </c>
      <c r="Y98" s="275">
        <v>13611000</v>
      </c>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row>
    <row r="99" spans="1:130" s="50" customFormat="1" ht="15" x14ac:dyDescent="0.25">
      <c r="A99" s="693"/>
      <c r="B99" s="767"/>
      <c r="C99" s="690"/>
      <c r="D99" s="737"/>
      <c r="E99" s="690"/>
      <c r="F99" s="711"/>
      <c r="G99" s="688"/>
      <c r="H99" s="688"/>
      <c r="I99" s="711"/>
      <c r="J99" s="693"/>
      <c r="K99" s="693"/>
      <c r="L99" s="693"/>
      <c r="M99" s="763"/>
      <c r="N99" s="743"/>
      <c r="O99" s="78" t="s">
        <v>292</v>
      </c>
      <c r="P99" s="457" t="s">
        <v>308</v>
      </c>
      <c r="Q99" s="80" t="s">
        <v>324</v>
      </c>
      <c r="R99" s="66">
        <v>58578520</v>
      </c>
      <c r="S99" s="46"/>
      <c r="T99" s="38">
        <v>312</v>
      </c>
      <c r="U99" s="122">
        <v>44594</v>
      </c>
      <c r="V99" s="66">
        <v>58578520</v>
      </c>
      <c r="W99" s="667">
        <v>1681</v>
      </c>
      <c r="X99" s="273">
        <v>44629</v>
      </c>
      <c r="Y99" s="275">
        <v>58578520</v>
      </c>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row>
    <row r="100" spans="1:130" s="50" customFormat="1" ht="15" x14ac:dyDescent="0.25">
      <c r="A100" s="693"/>
      <c r="B100" s="767"/>
      <c r="C100" s="690"/>
      <c r="D100" s="737"/>
      <c r="E100" s="690"/>
      <c r="F100" s="711"/>
      <c r="G100" s="688"/>
      <c r="H100" s="688"/>
      <c r="I100" s="711"/>
      <c r="J100" s="693"/>
      <c r="K100" s="693"/>
      <c r="L100" s="693"/>
      <c r="M100" s="763"/>
      <c r="N100" s="743"/>
      <c r="O100" s="78" t="s">
        <v>293</v>
      </c>
      <c r="P100" s="457" t="s">
        <v>309</v>
      </c>
      <c r="Q100" s="80" t="s">
        <v>320</v>
      </c>
      <c r="R100" s="274">
        <v>45596880</v>
      </c>
      <c r="S100" s="46"/>
      <c r="T100" s="38">
        <v>328</v>
      </c>
      <c r="U100" s="122">
        <v>44602</v>
      </c>
      <c r="V100" s="66">
        <v>45596880</v>
      </c>
      <c r="W100" s="667">
        <v>1688</v>
      </c>
      <c r="X100" s="273">
        <v>44630</v>
      </c>
      <c r="Y100" s="274">
        <v>45596880</v>
      </c>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row>
    <row r="101" spans="1:130" s="50" customFormat="1" ht="15" x14ac:dyDescent="0.25">
      <c r="A101" s="693"/>
      <c r="B101" s="767"/>
      <c r="C101" s="690"/>
      <c r="D101" s="737"/>
      <c r="E101" s="690"/>
      <c r="F101" s="711"/>
      <c r="G101" s="688"/>
      <c r="H101" s="688"/>
      <c r="I101" s="711"/>
      <c r="J101" s="693"/>
      <c r="K101" s="693"/>
      <c r="L101" s="693"/>
      <c r="M101" s="763"/>
      <c r="N101" s="743"/>
      <c r="O101" s="78" t="s">
        <v>294</v>
      </c>
      <c r="P101" s="457" t="s">
        <v>310</v>
      </c>
      <c r="Q101" s="80" t="s">
        <v>325</v>
      </c>
      <c r="R101" s="66">
        <v>15124200</v>
      </c>
      <c r="S101" s="46"/>
      <c r="T101" s="38">
        <v>323</v>
      </c>
      <c r="U101" s="122">
        <v>44601</v>
      </c>
      <c r="V101" s="66">
        <v>15124200</v>
      </c>
      <c r="W101" s="667">
        <v>1685</v>
      </c>
      <c r="X101" s="273">
        <v>44630</v>
      </c>
      <c r="Y101" s="275">
        <v>15124200</v>
      </c>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row>
    <row r="102" spans="1:130" s="50" customFormat="1" ht="15" x14ac:dyDescent="0.25">
      <c r="A102" s="693"/>
      <c r="B102" s="767"/>
      <c r="C102" s="690"/>
      <c r="D102" s="737"/>
      <c r="E102" s="690"/>
      <c r="F102" s="711"/>
      <c r="G102" s="688"/>
      <c r="H102" s="688"/>
      <c r="I102" s="711"/>
      <c r="J102" s="693"/>
      <c r="K102" s="693"/>
      <c r="L102" s="693"/>
      <c r="M102" s="763"/>
      <c r="N102" s="743"/>
      <c r="O102" s="78" t="s">
        <v>295</v>
      </c>
      <c r="P102" s="457" t="s">
        <v>311</v>
      </c>
      <c r="Q102" s="80" t="s">
        <v>326</v>
      </c>
      <c r="R102" s="274">
        <v>11419200</v>
      </c>
      <c r="S102" s="46"/>
      <c r="T102" s="38">
        <v>313</v>
      </c>
      <c r="U102" s="122">
        <v>44594</v>
      </c>
      <c r="V102" s="66">
        <v>11419200</v>
      </c>
      <c r="W102" s="667">
        <v>1675</v>
      </c>
      <c r="X102" s="273">
        <v>44628</v>
      </c>
      <c r="Y102" s="274">
        <v>11419200</v>
      </c>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row>
    <row r="103" spans="1:130" s="50" customFormat="1" ht="15" x14ac:dyDescent="0.25">
      <c r="A103" s="693"/>
      <c r="B103" s="767"/>
      <c r="C103" s="690"/>
      <c r="D103" s="737"/>
      <c r="E103" s="690"/>
      <c r="F103" s="711"/>
      <c r="G103" s="688"/>
      <c r="H103" s="688"/>
      <c r="I103" s="711"/>
      <c r="J103" s="693"/>
      <c r="K103" s="693"/>
      <c r="L103" s="693"/>
      <c r="M103" s="763"/>
      <c r="N103" s="743"/>
      <c r="O103" s="78" t="s">
        <v>296</v>
      </c>
      <c r="P103" s="457" t="s">
        <v>312</v>
      </c>
      <c r="Q103" s="80" t="s">
        <v>327</v>
      </c>
      <c r="R103" s="274">
        <v>20779200</v>
      </c>
      <c r="S103" s="46"/>
      <c r="T103" s="38">
        <v>314</v>
      </c>
      <c r="U103" s="122">
        <v>44594</v>
      </c>
      <c r="V103" s="66">
        <v>20779200</v>
      </c>
      <c r="W103" s="667">
        <v>1680</v>
      </c>
      <c r="X103" s="273">
        <v>44629</v>
      </c>
      <c r="Y103" s="274">
        <v>20779200</v>
      </c>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row>
    <row r="104" spans="1:130" s="50" customFormat="1" ht="15" x14ac:dyDescent="0.25">
      <c r="A104" s="693"/>
      <c r="B104" s="767"/>
      <c r="C104" s="690"/>
      <c r="D104" s="737"/>
      <c r="E104" s="690"/>
      <c r="F104" s="711"/>
      <c r="G104" s="688"/>
      <c r="H104" s="688"/>
      <c r="I104" s="711"/>
      <c r="J104" s="693"/>
      <c r="K104" s="693"/>
      <c r="L104" s="693"/>
      <c r="M104" s="763"/>
      <c r="N104" s="743"/>
      <c r="O104" s="78" t="s">
        <v>297</v>
      </c>
      <c r="P104" s="457" t="s">
        <v>313</v>
      </c>
      <c r="Q104" s="80" t="s">
        <v>320</v>
      </c>
      <c r="R104" s="274">
        <v>4266944</v>
      </c>
      <c r="S104" s="46"/>
      <c r="T104" s="38">
        <v>327</v>
      </c>
      <c r="U104" s="122">
        <v>44602</v>
      </c>
      <c r="V104" s="66">
        <v>4266944</v>
      </c>
      <c r="W104" s="667">
        <v>1704</v>
      </c>
      <c r="X104" s="273">
        <v>44634</v>
      </c>
      <c r="Y104" s="274">
        <v>4266944</v>
      </c>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row>
    <row r="105" spans="1:130" s="50" customFormat="1" ht="15" x14ac:dyDescent="0.25">
      <c r="A105" s="693"/>
      <c r="B105" s="767"/>
      <c r="C105" s="690"/>
      <c r="D105" s="737"/>
      <c r="E105" s="690"/>
      <c r="F105" s="711"/>
      <c r="G105" s="688"/>
      <c r="H105" s="688"/>
      <c r="I105" s="711"/>
      <c r="J105" s="693"/>
      <c r="K105" s="693"/>
      <c r="L105" s="693"/>
      <c r="M105" s="763"/>
      <c r="N105" s="743"/>
      <c r="O105" s="78" t="s">
        <v>298</v>
      </c>
      <c r="P105" s="457" t="s">
        <v>314</v>
      </c>
      <c r="Q105" s="80" t="s">
        <v>328</v>
      </c>
      <c r="R105" s="274">
        <v>6973200</v>
      </c>
      <c r="S105" s="46"/>
      <c r="T105" s="38">
        <v>317</v>
      </c>
      <c r="U105" s="122">
        <v>44596</v>
      </c>
      <c r="V105" s="66">
        <v>6973200</v>
      </c>
      <c r="W105" s="667">
        <v>1689</v>
      </c>
      <c r="X105" s="273">
        <v>44630</v>
      </c>
      <c r="Y105" s="274">
        <v>6973200</v>
      </c>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row>
    <row r="106" spans="1:130" s="50" customFormat="1" ht="15" x14ac:dyDescent="0.25">
      <c r="A106" s="693"/>
      <c r="B106" s="767"/>
      <c r="C106" s="690"/>
      <c r="D106" s="737"/>
      <c r="E106" s="690"/>
      <c r="F106" s="711"/>
      <c r="G106" s="688"/>
      <c r="H106" s="688"/>
      <c r="I106" s="711"/>
      <c r="J106" s="693"/>
      <c r="K106" s="693"/>
      <c r="L106" s="693"/>
      <c r="M106" s="763"/>
      <c r="N106" s="743"/>
      <c r="O106" s="78" t="s">
        <v>299</v>
      </c>
      <c r="P106" s="457" t="s">
        <v>315</v>
      </c>
      <c r="Q106" s="80" t="s">
        <v>329</v>
      </c>
      <c r="R106" s="274">
        <v>54223400</v>
      </c>
      <c r="S106" s="46"/>
      <c r="T106" s="38">
        <v>319</v>
      </c>
      <c r="U106" s="122">
        <v>44596</v>
      </c>
      <c r="V106" s="66">
        <v>54223400</v>
      </c>
      <c r="W106" s="667">
        <v>1676</v>
      </c>
      <c r="X106" s="273">
        <v>44628</v>
      </c>
      <c r="Y106" s="274">
        <v>54223400</v>
      </c>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row>
    <row r="107" spans="1:130" s="50" customFormat="1" ht="15" x14ac:dyDescent="0.25">
      <c r="A107" s="693"/>
      <c r="B107" s="767"/>
      <c r="C107" s="690"/>
      <c r="D107" s="737"/>
      <c r="E107" s="690"/>
      <c r="F107" s="711"/>
      <c r="G107" s="688"/>
      <c r="H107" s="688"/>
      <c r="I107" s="711"/>
      <c r="J107" s="693"/>
      <c r="K107" s="693"/>
      <c r="L107" s="693"/>
      <c r="M107" s="763"/>
      <c r="N107" s="743"/>
      <c r="O107" s="78" t="s">
        <v>300</v>
      </c>
      <c r="P107" s="457" t="s">
        <v>316</v>
      </c>
      <c r="Q107" s="80" t="s">
        <v>330</v>
      </c>
      <c r="R107" s="66">
        <v>20358240</v>
      </c>
      <c r="S107" s="46"/>
      <c r="T107" s="38">
        <v>325</v>
      </c>
      <c r="U107" s="122" t="s">
        <v>751</v>
      </c>
      <c r="V107" s="66">
        <v>20358240</v>
      </c>
      <c r="W107" s="667">
        <v>2077</v>
      </c>
      <c r="X107" s="273">
        <v>44650</v>
      </c>
      <c r="Y107" s="275">
        <v>20358240</v>
      </c>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row>
    <row r="108" spans="1:130" s="50" customFormat="1" ht="15" x14ac:dyDescent="0.25">
      <c r="A108" s="693"/>
      <c r="B108" s="767"/>
      <c r="C108" s="690"/>
      <c r="D108" s="737"/>
      <c r="E108" s="690"/>
      <c r="F108" s="711"/>
      <c r="G108" s="688"/>
      <c r="H108" s="688"/>
      <c r="I108" s="711"/>
      <c r="J108" s="693"/>
      <c r="K108" s="693"/>
      <c r="L108" s="693"/>
      <c r="M108" s="763"/>
      <c r="N108" s="743"/>
      <c r="O108" s="78" t="s">
        <v>1607</v>
      </c>
      <c r="P108" s="457" t="s">
        <v>1610</v>
      </c>
      <c r="Q108" s="80" t="s">
        <v>1613</v>
      </c>
      <c r="R108" s="274">
        <v>26083200</v>
      </c>
      <c r="S108" s="46"/>
      <c r="T108" s="329">
        <v>822</v>
      </c>
      <c r="U108" s="273">
        <v>44760</v>
      </c>
      <c r="V108" s="274">
        <v>26083200</v>
      </c>
      <c r="W108" s="667">
        <v>4402</v>
      </c>
      <c r="X108" s="273">
        <v>44781</v>
      </c>
      <c r="Y108" s="275">
        <v>26083200</v>
      </c>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row>
    <row r="109" spans="1:130" s="50" customFormat="1" ht="15" x14ac:dyDescent="0.25">
      <c r="A109" s="693"/>
      <c r="B109" s="767"/>
      <c r="C109" s="690"/>
      <c r="D109" s="737"/>
      <c r="E109" s="690"/>
      <c r="F109" s="711"/>
      <c r="G109" s="688"/>
      <c r="H109" s="688"/>
      <c r="I109" s="711"/>
      <c r="J109" s="693"/>
      <c r="K109" s="693"/>
      <c r="L109" s="693"/>
      <c r="M109" s="763"/>
      <c r="N109" s="743"/>
      <c r="O109" s="78" t="s">
        <v>1608</v>
      </c>
      <c r="P109" s="457" t="s">
        <v>1611</v>
      </c>
      <c r="Q109" s="80" t="s">
        <v>1614</v>
      </c>
      <c r="R109" s="274">
        <v>96041426.599999994</v>
      </c>
      <c r="S109" s="46"/>
      <c r="T109" s="329">
        <v>823</v>
      </c>
      <c r="U109" s="273">
        <v>44760</v>
      </c>
      <c r="V109" s="274">
        <v>96041426.599999994</v>
      </c>
      <c r="W109" s="667">
        <v>4379</v>
      </c>
      <c r="X109" s="273">
        <v>44781</v>
      </c>
      <c r="Y109" s="274">
        <v>96041426.599999994</v>
      </c>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row>
    <row r="110" spans="1:130" s="50" customFormat="1" ht="15" x14ac:dyDescent="0.25">
      <c r="A110" s="693"/>
      <c r="B110" s="767"/>
      <c r="C110" s="690"/>
      <c r="D110" s="737"/>
      <c r="E110" s="690"/>
      <c r="F110" s="711"/>
      <c r="G110" s="688"/>
      <c r="H110" s="688"/>
      <c r="I110" s="711"/>
      <c r="J110" s="693"/>
      <c r="K110" s="693"/>
      <c r="L110" s="693"/>
      <c r="M110" s="763"/>
      <c r="N110" s="743"/>
      <c r="O110" s="78" t="s">
        <v>1609</v>
      </c>
      <c r="P110" s="457" t="s">
        <v>1612</v>
      </c>
      <c r="Q110" s="80" t="s">
        <v>1615</v>
      </c>
      <c r="R110" s="274">
        <v>69186040</v>
      </c>
      <c r="S110" s="46"/>
      <c r="T110" s="329">
        <v>821</v>
      </c>
      <c r="U110" s="273">
        <v>44760</v>
      </c>
      <c r="V110" s="274">
        <v>69186040</v>
      </c>
      <c r="W110" s="667">
        <v>4380</v>
      </c>
      <c r="X110" s="273">
        <v>44781</v>
      </c>
      <c r="Y110" s="274">
        <v>69186040</v>
      </c>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row>
    <row r="111" spans="1:130" s="50" customFormat="1" ht="27" x14ac:dyDescent="0.25">
      <c r="A111" s="693"/>
      <c r="B111" s="767"/>
      <c r="C111" s="690"/>
      <c r="D111" s="197" t="s">
        <v>1196</v>
      </c>
      <c r="E111" s="193" t="s">
        <v>165</v>
      </c>
      <c r="F111" s="198"/>
      <c r="G111" s="195"/>
      <c r="H111" s="288">
        <v>657974652</v>
      </c>
      <c r="I111" s="288">
        <v>719072550</v>
      </c>
      <c r="J111" s="85"/>
      <c r="K111" s="197"/>
      <c r="L111" s="197"/>
      <c r="M111" s="223">
        <f>+F111+G111+H111+I111+J111+K111-L111</f>
        <v>1377047202</v>
      </c>
      <c r="N111" s="743"/>
      <c r="O111" s="78" t="s">
        <v>1761</v>
      </c>
      <c r="P111" s="457">
        <v>622</v>
      </c>
      <c r="Q111" s="80" t="s">
        <v>1762</v>
      </c>
      <c r="R111" s="274">
        <v>1376243398.4000001</v>
      </c>
      <c r="S111" s="46"/>
      <c r="T111" s="38">
        <v>1227</v>
      </c>
      <c r="U111" s="122">
        <v>44830</v>
      </c>
      <c r="V111" s="274">
        <v>1376243398.4000001</v>
      </c>
      <c r="W111" s="667">
        <v>5416</v>
      </c>
      <c r="X111" s="273" t="s">
        <v>2786</v>
      </c>
      <c r="Y111" s="66">
        <v>1376243398.4000001</v>
      </c>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row>
    <row r="112" spans="1:130" s="50" customFormat="1" ht="40.5" x14ac:dyDescent="0.25">
      <c r="A112" s="694"/>
      <c r="B112" s="767"/>
      <c r="C112" s="691"/>
      <c r="D112" s="200" t="s">
        <v>825</v>
      </c>
      <c r="E112" s="193" t="s">
        <v>117</v>
      </c>
      <c r="F112" s="198"/>
      <c r="G112" s="195"/>
      <c r="H112" s="198"/>
      <c r="I112" s="288">
        <v>5000000</v>
      </c>
      <c r="J112" s="85"/>
      <c r="K112" s="197"/>
      <c r="L112" s="197"/>
      <c r="M112" s="223">
        <f>+F112+G112+H112+I112+J112+K112-L112</f>
        <v>5000000</v>
      </c>
      <c r="N112" s="744"/>
      <c r="O112" s="78"/>
      <c r="P112" s="330"/>
      <c r="Q112" s="80"/>
      <c r="R112" s="66"/>
      <c r="S112" s="46"/>
      <c r="T112" s="38"/>
      <c r="U112" s="122"/>
      <c r="V112" s="66"/>
      <c r="W112" s="200"/>
      <c r="X112" s="79"/>
      <c r="Y112" s="66"/>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row>
    <row r="113" spans="1:130" s="107" customFormat="1" ht="15" x14ac:dyDescent="0.25">
      <c r="A113" s="92"/>
      <c r="B113" s="92"/>
      <c r="C113" s="92"/>
      <c r="D113" s="92"/>
      <c r="E113" s="104"/>
      <c r="F113" s="101"/>
      <c r="G113" s="101"/>
      <c r="H113" s="101"/>
      <c r="I113" s="92"/>
      <c r="J113" s="93"/>
      <c r="K113" s="92"/>
      <c r="L113" s="92"/>
      <c r="M113" s="102">
        <f>SUM(M92:M112)</f>
        <v>2077184642</v>
      </c>
      <c r="N113" s="101"/>
      <c r="O113" s="105"/>
      <c r="P113" s="86"/>
      <c r="Q113" s="95"/>
      <c r="R113" s="103">
        <f>SUM(R92:R112)</f>
        <v>2031337683</v>
      </c>
      <c r="S113" s="89"/>
      <c r="T113" s="86"/>
      <c r="U113" s="95"/>
      <c r="V113" s="103">
        <f>SUM(V92:V112)</f>
        <v>2031337683</v>
      </c>
      <c r="W113" s="86"/>
      <c r="X113" s="95"/>
      <c r="Y113" s="103">
        <f>SUM(Y92:Y112)</f>
        <v>2031337683</v>
      </c>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row>
    <row r="114" spans="1:130" s="50" customFormat="1" ht="15" x14ac:dyDescent="0.25">
      <c r="A114" s="692" t="s">
        <v>132</v>
      </c>
      <c r="B114" s="766" t="s">
        <v>1460</v>
      </c>
      <c r="C114" s="689" t="s">
        <v>126</v>
      </c>
      <c r="D114" s="736" t="s">
        <v>851</v>
      </c>
      <c r="E114" s="689" t="s">
        <v>133</v>
      </c>
      <c r="F114" s="710">
        <v>218957921</v>
      </c>
      <c r="G114" s="728">
        <v>0</v>
      </c>
      <c r="H114" s="728"/>
      <c r="I114" s="692"/>
      <c r="J114" s="692"/>
      <c r="K114" s="692"/>
      <c r="L114" s="710">
        <v>3000000</v>
      </c>
      <c r="M114" s="758">
        <f>+F114+G114+I114+H114:H124+J114+K114-L114</f>
        <v>215957921</v>
      </c>
      <c r="N114" s="742">
        <f>972357355+992261112-35590947</f>
        <v>1929027520</v>
      </c>
      <c r="O114" s="256" t="s">
        <v>335</v>
      </c>
      <c r="P114" s="486">
        <v>10</v>
      </c>
      <c r="Q114" s="256" t="s">
        <v>507</v>
      </c>
      <c r="R114" s="274">
        <v>94473529</v>
      </c>
      <c r="S114" s="46"/>
      <c r="T114" s="38">
        <v>32</v>
      </c>
      <c r="U114" s="122">
        <v>44605</v>
      </c>
      <c r="V114" s="66">
        <v>94473529</v>
      </c>
      <c r="W114" s="38">
        <v>151</v>
      </c>
      <c r="X114" s="122" t="s">
        <v>852</v>
      </c>
      <c r="Y114" s="275">
        <v>5400001</v>
      </c>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row>
    <row r="115" spans="1:130" s="50" customFormat="1" ht="15" x14ac:dyDescent="0.25">
      <c r="A115" s="693"/>
      <c r="B115" s="767"/>
      <c r="C115" s="690"/>
      <c r="D115" s="737"/>
      <c r="E115" s="690"/>
      <c r="F115" s="711"/>
      <c r="G115" s="735"/>
      <c r="H115" s="735"/>
      <c r="I115" s="693"/>
      <c r="J115" s="693"/>
      <c r="K115" s="693"/>
      <c r="L115" s="711"/>
      <c r="M115" s="763"/>
      <c r="N115" s="743"/>
      <c r="O115" s="257" t="s">
        <v>1445</v>
      </c>
      <c r="P115" s="487" t="s">
        <v>1446</v>
      </c>
      <c r="Q115" s="257" t="s">
        <v>1447</v>
      </c>
      <c r="R115" s="274">
        <v>102152975</v>
      </c>
      <c r="S115" s="46"/>
      <c r="T115" s="38"/>
      <c r="U115" s="122"/>
      <c r="V115" s="66"/>
      <c r="W115" s="38">
        <v>152</v>
      </c>
      <c r="X115" s="122" t="s">
        <v>852</v>
      </c>
      <c r="Y115" s="275">
        <v>9670240</v>
      </c>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row>
    <row r="116" spans="1:130" s="50" customFormat="1" ht="15" x14ac:dyDescent="0.25">
      <c r="A116" s="693"/>
      <c r="B116" s="767"/>
      <c r="C116" s="690"/>
      <c r="D116" s="737"/>
      <c r="E116" s="690"/>
      <c r="F116" s="711"/>
      <c r="G116" s="735"/>
      <c r="H116" s="735"/>
      <c r="I116" s="693"/>
      <c r="J116" s="693"/>
      <c r="K116" s="693"/>
      <c r="L116" s="711"/>
      <c r="M116" s="763"/>
      <c r="N116" s="743"/>
      <c r="O116" s="257"/>
      <c r="P116" s="258"/>
      <c r="Q116" s="257"/>
      <c r="R116" s="260"/>
      <c r="S116" s="46"/>
      <c r="T116" s="38"/>
      <c r="U116" s="122"/>
      <c r="V116" s="66"/>
      <c r="W116" s="38">
        <v>182</v>
      </c>
      <c r="X116" s="122" t="s">
        <v>852</v>
      </c>
      <c r="Y116" s="275">
        <v>7354040</v>
      </c>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row>
    <row r="117" spans="1:130" s="50" customFormat="1" ht="15" x14ac:dyDescent="0.25">
      <c r="A117" s="693"/>
      <c r="B117" s="767"/>
      <c r="C117" s="690"/>
      <c r="D117" s="737"/>
      <c r="E117" s="690"/>
      <c r="F117" s="711"/>
      <c r="G117" s="735"/>
      <c r="H117" s="735"/>
      <c r="I117" s="693"/>
      <c r="J117" s="693"/>
      <c r="K117" s="693"/>
      <c r="L117" s="711"/>
      <c r="M117" s="763"/>
      <c r="N117" s="743"/>
      <c r="O117" s="257"/>
      <c r="P117" s="258"/>
      <c r="Q117" s="257"/>
      <c r="R117" s="260"/>
      <c r="S117" s="46"/>
      <c r="T117" s="38"/>
      <c r="U117" s="122"/>
      <c r="V117" s="66"/>
      <c r="W117" s="38">
        <v>183</v>
      </c>
      <c r="X117" s="122" t="s">
        <v>852</v>
      </c>
      <c r="Y117" s="275">
        <v>9192696</v>
      </c>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row>
    <row r="118" spans="1:130" s="50" customFormat="1" ht="15" x14ac:dyDescent="0.25">
      <c r="A118" s="693"/>
      <c r="B118" s="767"/>
      <c r="C118" s="690"/>
      <c r="D118" s="737"/>
      <c r="E118" s="690"/>
      <c r="F118" s="711"/>
      <c r="G118" s="735"/>
      <c r="H118" s="735"/>
      <c r="I118" s="693"/>
      <c r="J118" s="693"/>
      <c r="K118" s="693"/>
      <c r="L118" s="711"/>
      <c r="M118" s="763"/>
      <c r="N118" s="743"/>
      <c r="O118" s="257"/>
      <c r="P118" s="258"/>
      <c r="Q118" s="257"/>
      <c r="R118" s="260"/>
      <c r="S118" s="46"/>
      <c r="T118" s="38"/>
      <c r="U118" s="122"/>
      <c r="V118" s="66"/>
      <c r="W118" s="38">
        <v>187</v>
      </c>
      <c r="X118" s="122" t="s">
        <v>853</v>
      </c>
      <c r="Y118" s="275">
        <v>9192696</v>
      </c>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row>
    <row r="119" spans="1:130" s="50" customFormat="1" ht="15" x14ac:dyDescent="0.25">
      <c r="A119" s="693"/>
      <c r="B119" s="767"/>
      <c r="C119" s="690"/>
      <c r="D119" s="737"/>
      <c r="E119" s="690"/>
      <c r="F119" s="711"/>
      <c r="G119" s="735"/>
      <c r="H119" s="735"/>
      <c r="I119" s="693"/>
      <c r="J119" s="693"/>
      <c r="K119" s="693"/>
      <c r="L119" s="711"/>
      <c r="M119" s="763"/>
      <c r="N119" s="743"/>
      <c r="O119" s="257"/>
      <c r="P119" s="258"/>
      <c r="Q119" s="257"/>
      <c r="R119" s="260"/>
      <c r="S119" s="46"/>
      <c r="T119" s="38"/>
      <c r="U119" s="122"/>
      <c r="V119" s="66"/>
      <c r="W119" s="38">
        <v>208</v>
      </c>
      <c r="X119" s="122" t="s">
        <v>853</v>
      </c>
      <c r="Y119" s="275">
        <v>10267167</v>
      </c>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row>
    <row r="120" spans="1:130" s="50" customFormat="1" ht="15" x14ac:dyDescent="0.25">
      <c r="A120" s="693"/>
      <c r="B120" s="767"/>
      <c r="C120" s="690"/>
      <c r="D120" s="737"/>
      <c r="E120" s="690"/>
      <c r="F120" s="711"/>
      <c r="G120" s="735"/>
      <c r="H120" s="735"/>
      <c r="I120" s="693"/>
      <c r="J120" s="693"/>
      <c r="K120" s="693"/>
      <c r="L120" s="711"/>
      <c r="M120" s="763"/>
      <c r="N120" s="743"/>
      <c r="O120" s="257"/>
      <c r="P120" s="258"/>
      <c r="Q120" s="257"/>
      <c r="R120" s="260"/>
      <c r="S120" s="46"/>
      <c r="T120" s="38"/>
      <c r="U120" s="122"/>
      <c r="V120" s="66"/>
      <c r="W120" s="38">
        <v>209</v>
      </c>
      <c r="X120" s="122" t="s">
        <v>853</v>
      </c>
      <c r="Y120" s="275">
        <v>9192696</v>
      </c>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row>
    <row r="121" spans="1:130" s="50" customFormat="1" ht="15" x14ac:dyDescent="0.25">
      <c r="A121" s="693"/>
      <c r="B121" s="767"/>
      <c r="C121" s="690"/>
      <c r="D121" s="737"/>
      <c r="E121" s="690"/>
      <c r="F121" s="711"/>
      <c r="G121" s="735"/>
      <c r="H121" s="735"/>
      <c r="I121" s="693"/>
      <c r="J121" s="693"/>
      <c r="K121" s="693"/>
      <c r="L121" s="711"/>
      <c r="M121" s="763"/>
      <c r="N121" s="743"/>
      <c r="O121" s="257"/>
      <c r="P121" s="258"/>
      <c r="Q121" s="257"/>
      <c r="R121" s="260"/>
      <c r="S121" s="46"/>
      <c r="T121" s="38"/>
      <c r="U121" s="122"/>
      <c r="V121" s="66"/>
      <c r="W121" s="38">
        <v>273</v>
      </c>
      <c r="X121" s="122" t="s">
        <v>854</v>
      </c>
      <c r="Y121" s="275">
        <v>9013618</v>
      </c>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row>
    <row r="122" spans="1:130" s="50" customFormat="1" ht="15" x14ac:dyDescent="0.25">
      <c r="A122" s="693"/>
      <c r="B122" s="767"/>
      <c r="C122" s="690"/>
      <c r="D122" s="737"/>
      <c r="E122" s="690"/>
      <c r="F122" s="711"/>
      <c r="G122" s="735"/>
      <c r="H122" s="735"/>
      <c r="I122" s="693"/>
      <c r="J122" s="693"/>
      <c r="K122" s="693"/>
      <c r="L122" s="711"/>
      <c r="M122" s="763"/>
      <c r="N122" s="743"/>
      <c r="O122" s="257"/>
      <c r="P122" s="258"/>
      <c r="Q122" s="257"/>
      <c r="R122" s="260"/>
      <c r="S122" s="46"/>
      <c r="T122" s="38"/>
      <c r="U122" s="122"/>
      <c r="V122" s="66"/>
      <c r="W122" s="38">
        <v>308</v>
      </c>
      <c r="X122" s="122" t="s">
        <v>855</v>
      </c>
      <c r="Y122" s="275">
        <v>8834539</v>
      </c>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row>
    <row r="123" spans="1:130" s="50" customFormat="1" ht="15" x14ac:dyDescent="0.25">
      <c r="A123" s="693"/>
      <c r="B123" s="767"/>
      <c r="C123" s="690"/>
      <c r="D123" s="737"/>
      <c r="E123" s="690"/>
      <c r="F123" s="711"/>
      <c r="G123" s="735"/>
      <c r="H123" s="735"/>
      <c r="I123" s="693"/>
      <c r="J123" s="693"/>
      <c r="K123" s="693"/>
      <c r="L123" s="711"/>
      <c r="M123" s="763"/>
      <c r="N123" s="743"/>
      <c r="O123" s="257"/>
      <c r="P123" s="821"/>
      <c r="Q123" s="816"/>
      <c r="R123" s="735"/>
      <c r="S123" s="46"/>
      <c r="T123" s="38"/>
      <c r="U123" s="122"/>
      <c r="V123" s="66"/>
      <c r="W123" s="38">
        <v>974</v>
      </c>
      <c r="X123" s="122" t="s">
        <v>856</v>
      </c>
      <c r="Y123" s="275">
        <v>8177918</v>
      </c>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row>
    <row r="124" spans="1:130" s="50" customFormat="1" ht="15" x14ac:dyDescent="0.25">
      <c r="A124" s="693"/>
      <c r="B124" s="767"/>
      <c r="C124" s="690"/>
      <c r="D124" s="737"/>
      <c r="E124" s="690"/>
      <c r="F124" s="711"/>
      <c r="G124" s="735"/>
      <c r="H124" s="735"/>
      <c r="I124" s="693"/>
      <c r="J124" s="693"/>
      <c r="K124" s="693"/>
      <c r="L124" s="711"/>
      <c r="M124" s="763"/>
      <c r="N124" s="743"/>
      <c r="O124" s="816"/>
      <c r="P124" s="821"/>
      <c r="Q124" s="816"/>
      <c r="R124" s="735"/>
      <c r="S124" s="46"/>
      <c r="T124" s="38"/>
      <c r="U124" s="122"/>
      <c r="V124" s="66"/>
      <c r="W124" s="38">
        <v>1053</v>
      </c>
      <c r="X124" s="122" t="s">
        <v>856</v>
      </c>
      <c r="Y124" s="275">
        <v>8177918</v>
      </c>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row>
    <row r="125" spans="1:130" s="50" customFormat="1" ht="15" x14ac:dyDescent="0.25">
      <c r="A125" s="693"/>
      <c r="B125" s="767"/>
      <c r="C125" s="690"/>
      <c r="D125" s="737"/>
      <c r="E125" s="690"/>
      <c r="F125" s="711"/>
      <c r="G125" s="735"/>
      <c r="H125" s="735"/>
      <c r="I125" s="693"/>
      <c r="J125" s="693"/>
      <c r="K125" s="693"/>
      <c r="L125" s="711"/>
      <c r="M125" s="763"/>
      <c r="N125" s="743"/>
      <c r="O125" s="817"/>
      <c r="P125" s="822"/>
      <c r="Q125" s="817"/>
      <c r="R125" s="729"/>
      <c r="S125" s="46"/>
      <c r="T125" s="286">
        <v>772</v>
      </c>
      <c r="U125" s="273">
        <v>44742</v>
      </c>
      <c r="V125" s="274">
        <v>102152975</v>
      </c>
      <c r="W125" s="286">
        <v>3445</v>
      </c>
      <c r="X125" s="273" t="s">
        <v>2879</v>
      </c>
      <c r="Y125" s="275">
        <v>8309109</v>
      </c>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row>
    <row r="126" spans="1:130" s="50" customFormat="1" ht="15" x14ac:dyDescent="0.25">
      <c r="A126" s="693"/>
      <c r="B126" s="767"/>
      <c r="C126" s="690"/>
      <c r="D126" s="737"/>
      <c r="E126" s="690"/>
      <c r="F126" s="711"/>
      <c r="G126" s="735"/>
      <c r="H126" s="735"/>
      <c r="I126" s="693"/>
      <c r="J126" s="693"/>
      <c r="K126" s="693"/>
      <c r="L126" s="711"/>
      <c r="M126" s="763"/>
      <c r="N126" s="743"/>
      <c r="O126" s="387"/>
      <c r="P126" s="389"/>
      <c r="Q126" s="387"/>
      <c r="R126" s="384"/>
      <c r="S126" s="46"/>
      <c r="T126" s="391"/>
      <c r="U126" s="273"/>
      <c r="V126" s="274"/>
      <c r="W126" s="391">
        <v>3446</v>
      </c>
      <c r="X126" s="273" t="s">
        <v>2879</v>
      </c>
      <c r="Y126" s="275">
        <v>9968703</v>
      </c>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row>
    <row r="127" spans="1:130" s="50" customFormat="1" ht="15" x14ac:dyDescent="0.25">
      <c r="A127" s="693"/>
      <c r="B127" s="767"/>
      <c r="C127" s="690"/>
      <c r="D127" s="737"/>
      <c r="E127" s="690"/>
      <c r="F127" s="711"/>
      <c r="G127" s="735"/>
      <c r="H127" s="735"/>
      <c r="I127" s="693"/>
      <c r="J127" s="693"/>
      <c r="K127" s="693"/>
      <c r="L127" s="711"/>
      <c r="M127" s="763"/>
      <c r="N127" s="743"/>
      <c r="O127" s="387"/>
      <c r="P127" s="389"/>
      <c r="Q127" s="387"/>
      <c r="R127" s="384"/>
      <c r="S127" s="46"/>
      <c r="T127" s="391"/>
      <c r="U127" s="273"/>
      <c r="V127" s="274"/>
      <c r="W127" s="391">
        <v>3447</v>
      </c>
      <c r="X127" s="273" t="s">
        <v>2879</v>
      </c>
      <c r="Y127" s="275">
        <v>11281946</v>
      </c>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row>
    <row r="128" spans="1:130" s="50" customFormat="1" ht="15" x14ac:dyDescent="0.25">
      <c r="A128" s="693"/>
      <c r="B128" s="767"/>
      <c r="C128" s="690"/>
      <c r="D128" s="737"/>
      <c r="E128" s="690"/>
      <c r="F128" s="711"/>
      <c r="G128" s="735"/>
      <c r="H128" s="735"/>
      <c r="I128" s="693"/>
      <c r="J128" s="693"/>
      <c r="K128" s="693"/>
      <c r="L128" s="711"/>
      <c r="M128" s="763"/>
      <c r="N128" s="743"/>
      <c r="O128" s="387"/>
      <c r="P128" s="389"/>
      <c r="Q128" s="387"/>
      <c r="R128" s="384"/>
      <c r="S128" s="46"/>
      <c r="T128" s="391"/>
      <c r="U128" s="273"/>
      <c r="V128" s="274"/>
      <c r="W128" s="391">
        <v>3448</v>
      </c>
      <c r="X128" s="273" t="s">
        <v>2879</v>
      </c>
      <c r="Y128" s="275">
        <v>9968703</v>
      </c>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row>
    <row r="129" spans="1:130" s="50" customFormat="1" ht="15" x14ac:dyDescent="0.25">
      <c r="A129" s="693"/>
      <c r="B129" s="767"/>
      <c r="C129" s="690"/>
      <c r="D129" s="737"/>
      <c r="E129" s="690"/>
      <c r="F129" s="711"/>
      <c r="G129" s="735"/>
      <c r="H129" s="735"/>
      <c r="I129" s="693"/>
      <c r="J129" s="693"/>
      <c r="K129" s="693"/>
      <c r="L129" s="711"/>
      <c r="M129" s="763"/>
      <c r="N129" s="743"/>
      <c r="O129" s="387"/>
      <c r="P129" s="389"/>
      <c r="Q129" s="387"/>
      <c r="R129" s="384"/>
      <c r="S129" s="46"/>
      <c r="T129" s="391"/>
      <c r="U129" s="273"/>
      <c r="V129" s="274"/>
      <c r="W129" s="391">
        <v>3449</v>
      </c>
      <c r="X129" s="273" t="s">
        <v>2879</v>
      </c>
      <c r="Y129" s="275">
        <v>9968703</v>
      </c>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row>
    <row r="130" spans="1:130" s="50" customFormat="1" ht="15" x14ac:dyDescent="0.25">
      <c r="A130" s="693"/>
      <c r="B130" s="767"/>
      <c r="C130" s="690"/>
      <c r="D130" s="737"/>
      <c r="E130" s="690"/>
      <c r="F130" s="711"/>
      <c r="G130" s="735"/>
      <c r="H130" s="735"/>
      <c r="I130" s="693"/>
      <c r="J130" s="693"/>
      <c r="K130" s="693"/>
      <c r="L130" s="711"/>
      <c r="M130" s="763"/>
      <c r="N130" s="743"/>
      <c r="O130" s="387"/>
      <c r="P130" s="389"/>
      <c r="Q130" s="387"/>
      <c r="R130" s="384"/>
      <c r="S130" s="46"/>
      <c r="T130" s="391"/>
      <c r="U130" s="273"/>
      <c r="V130" s="274"/>
      <c r="W130" s="391">
        <v>3450</v>
      </c>
      <c r="X130" s="273" t="s">
        <v>2879</v>
      </c>
      <c r="Y130" s="275">
        <v>10386553</v>
      </c>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row>
    <row r="131" spans="1:130" s="50" customFormat="1" ht="15" x14ac:dyDescent="0.25">
      <c r="A131" s="693"/>
      <c r="B131" s="767"/>
      <c r="C131" s="690"/>
      <c r="D131" s="737"/>
      <c r="E131" s="690"/>
      <c r="F131" s="711"/>
      <c r="G131" s="735"/>
      <c r="H131" s="735"/>
      <c r="I131" s="693"/>
      <c r="J131" s="693"/>
      <c r="K131" s="693"/>
      <c r="L131" s="711"/>
      <c r="M131" s="763"/>
      <c r="N131" s="743"/>
      <c r="O131" s="387"/>
      <c r="P131" s="389"/>
      <c r="Q131" s="387"/>
      <c r="R131" s="384"/>
      <c r="S131" s="46"/>
      <c r="T131" s="391"/>
      <c r="U131" s="273"/>
      <c r="V131" s="274"/>
      <c r="W131" s="391">
        <v>3459</v>
      </c>
      <c r="X131" s="273" t="s">
        <v>2884</v>
      </c>
      <c r="Y131" s="275">
        <v>4277987</v>
      </c>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row>
    <row r="132" spans="1:130" s="50" customFormat="1" ht="15" x14ac:dyDescent="0.25">
      <c r="A132" s="693"/>
      <c r="B132" s="767"/>
      <c r="C132" s="690"/>
      <c r="D132" s="737"/>
      <c r="E132" s="690"/>
      <c r="F132" s="711"/>
      <c r="G132" s="735"/>
      <c r="H132" s="735"/>
      <c r="I132" s="693"/>
      <c r="J132" s="693"/>
      <c r="K132" s="693"/>
      <c r="L132" s="711"/>
      <c r="M132" s="763"/>
      <c r="N132" s="743"/>
      <c r="O132" s="387"/>
      <c r="P132" s="389"/>
      <c r="Q132" s="387"/>
      <c r="R132" s="384"/>
      <c r="S132" s="46"/>
      <c r="T132" s="391"/>
      <c r="U132" s="273"/>
      <c r="V132" s="274"/>
      <c r="W132" s="391">
        <v>3460</v>
      </c>
      <c r="X132" s="273" t="s">
        <v>2884</v>
      </c>
      <c r="Y132" s="275">
        <v>9909010</v>
      </c>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row>
    <row r="133" spans="1:130" s="50" customFormat="1" ht="15" x14ac:dyDescent="0.25">
      <c r="A133" s="693"/>
      <c r="B133" s="767"/>
      <c r="C133" s="690"/>
      <c r="D133" s="737"/>
      <c r="E133" s="690"/>
      <c r="F133" s="711"/>
      <c r="G133" s="735"/>
      <c r="H133" s="735"/>
      <c r="I133" s="693"/>
      <c r="J133" s="693"/>
      <c r="K133" s="693"/>
      <c r="L133" s="711"/>
      <c r="M133" s="763"/>
      <c r="N133" s="743"/>
      <c r="O133" s="387"/>
      <c r="P133" s="389"/>
      <c r="Q133" s="387"/>
      <c r="R133" s="384"/>
      <c r="S133" s="46"/>
      <c r="T133" s="391"/>
      <c r="U133" s="273"/>
      <c r="V133" s="274"/>
      <c r="W133" s="391">
        <v>3461</v>
      </c>
      <c r="X133" s="273" t="s">
        <v>2884</v>
      </c>
      <c r="Y133" s="275">
        <v>3163720</v>
      </c>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row>
    <row r="134" spans="1:130" s="50" customFormat="1" ht="15" x14ac:dyDescent="0.25">
      <c r="A134" s="693"/>
      <c r="B134" s="767"/>
      <c r="C134" s="690"/>
      <c r="D134" s="737"/>
      <c r="E134" s="690"/>
      <c r="F134" s="711"/>
      <c r="G134" s="735"/>
      <c r="H134" s="735"/>
      <c r="I134" s="693"/>
      <c r="J134" s="693"/>
      <c r="K134" s="693"/>
      <c r="L134" s="711"/>
      <c r="M134" s="763"/>
      <c r="N134" s="743"/>
      <c r="O134" s="387"/>
      <c r="P134" s="389"/>
      <c r="Q134" s="387"/>
      <c r="R134" s="384"/>
      <c r="S134" s="46"/>
      <c r="T134" s="391"/>
      <c r="U134" s="273"/>
      <c r="V134" s="274"/>
      <c r="W134" s="391">
        <v>3464</v>
      </c>
      <c r="X134" s="273" t="s">
        <v>2885</v>
      </c>
      <c r="Y134" s="275">
        <v>9729931</v>
      </c>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row>
    <row r="135" spans="1:130" s="50" customFormat="1" ht="15" x14ac:dyDescent="0.25">
      <c r="A135" s="693"/>
      <c r="B135" s="767"/>
      <c r="C135" s="690"/>
      <c r="D135" s="737"/>
      <c r="E135" s="690"/>
      <c r="F135" s="711"/>
      <c r="G135" s="735"/>
      <c r="H135" s="735"/>
      <c r="I135" s="693"/>
      <c r="J135" s="693"/>
      <c r="K135" s="693"/>
      <c r="L135" s="711"/>
      <c r="M135" s="763"/>
      <c r="N135" s="743"/>
      <c r="O135" s="387"/>
      <c r="P135" s="389"/>
      <c r="Q135" s="387"/>
      <c r="R135" s="384"/>
      <c r="S135" s="46"/>
      <c r="T135" s="391"/>
      <c r="U135" s="273"/>
      <c r="V135" s="274"/>
      <c r="W135" s="391">
        <v>3909</v>
      </c>
      <c r="X135" s="273" t="s">
        <v>2886</v>
      </c>
      <c r="Y135" s="275">
        <v>4966667</v>
      </c>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row>
    <row r="136" spans="1:130" s="50" customFormat="1" ht="15" x14ac:dyDescent="0.25">
      <c r="A136" s="693"/>
      <c r="B136" s="767"/>
      <c r="C136" s="690"/>
      <c r="D136" s="737"/>
      <c r="E136" s="690"/>
      <c r="F136" s="711"/>
      <c r="G136" s="735"/>
      <c r="H136" s="735"/>
      <c r="I136" s="693"/>
      <c r="J136" s="693"/>
      <c r="K136" s="693"/>
      <c r="L136" s="711"/>
      <c r="M136" s="763"/>
      <c r="N136" s="743"/>
      <c r="O136" s="387"/>
      <c r="P136" s="389"/>
      <c r="Q136" s="387"/>
      <c r="R136" s="384"/>
      <c r="S136" s="46"/>
      <c r="T136" s="391"/>
      <c r="U136" s="273"/>
      <c r="V136" s="274"/>
      <c r="W136" s="391">
        <v>4849</v>
      </c>
      <c r="X136" s="273" t="s">
        <v>2844</v>
      </c>
      <c r="Y136" s="275">
        <v>6745290</v>
      </c>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row>
    <row r="137" spans="1:130" s="50" customFormat="1" ht="15" x14ac:dyDescent="0.25">
      <c r="A137" s="693"/>
      <c r="B137" s="767"/>
      <c r="C137" s="690"/>
      <c r="D137" s="738"/>
      <c r="E137" s="691"/>
      <c r="F137" s="712"/>
      <c r="G137" s="729"/>
      <c r="H137" s="729"/>
      <c r="I137" s="694"/>
      <c r="J137" s="694"/>
      <c r="K137" s="694"/>
      <c r="L137" s="712"/>
      <c r="M137" s="759"/>
      <c r="N137" s="743"/>
      <c r="O137" s="387"/>
      <c r="P137" s="389"/>
      <c r="Q137" s="387"/>
      <c r="R137" s="384"/>
      <c r="S137" s="46"/>
      <c r="T137" s="391"/>
      <c r="U137" s="273"/>
      <c r="V137" s="274"/>
      <c r="W137" s="391">
        <v>5197</v>
      </c>
      <c r="X137" s="273" t="s">
        <v>2856</v>
      </c>
      <c r="Y137" s="275">
        <v>3476653</v>
      </c>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row>
    <row r="138" spans="1:130" s="50" customFormat="1" ht="15" x14ac:dyDescent="0.25">
      <c r="A138" s="693"/>
      <c r="B138" s="767"/>
      <c r="C138" s="690"/>
      <c r="D138" s="736" t="s">
        <v>857</v>
      </c>
      <c r="E138" s="689" t="s">
        <v>134</v>
      </c>
      <c r="F138" s="710">
        <v>13154167</v>
      </c>
      <c r="G138" s="728">
        <v>0</v>
      </c>
      <c r="H138" s="728"/>
      <c r="I138" s="692"/>
      <c r="J138" s="692"/>
      <c r="K138" s="710">
        <v>1300000</v>
      </c>
      <c r="L138" s="692"/>
      <c r="M138" s="758">
        <f>+F138+G138+H138:H148+J138+I138+K138-L138</f>
        <v>14454167</v>
      </c>
      <c r="N138" s="743"/>
      <c r="O138" s="256" t="s">
        <v>331</v>
      </c>
      <c r="P138" s="482">
        <v>6</v>
      </c>
      <c r="Q138" s="256" t="s">
        <v>400</v>
      </c>
      <c r="R138" s="274">
        <v>6581149</v>
      </c>
      <c r="S138" s="46"/>
      <c r="T138" s="38">
        <v>32</v>
      </c>
      <c r="U138" s="122">
        <v>44605</v>
      </c>
      <c r="V138" s="66">
        <v>6581149</v>
      </c>
      <c r="W138" s="38">
        <v>151</v>
      </c>
      <c r="X138" s="122" t="s">
        <v>852</v>
      </c>
      <c r="Y138" s="275">
        <v>632727</v>
      </c>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row>
    <row r="139" spans="1:130" s="50" customFormat="1" ht="15" x14ac:dyDescent="0.25">
      <c r="A139" s="693"/>
      <c r="B139" s="767"/>
      <c r="C139" s="690"/>
      <c r="D139" s="737"/>
      <c r="E139" s="690"/>
      <c r="F139" s="711"/>
      <c r="G139" s="735"/>
      <c r="H139" s="735"/>
      <c r="I139" s="693"/>
      <c r="J139" s="693"/>
      <c r="K139" s="711"/>
      <c r="L139" s="693"/>
      <c r="M139" s="763"/>
      <c r="N139" s="743"/>
      <c r="O139" s="257" t="s">
        <v>1451</v>
      </c>
      <c r="P139" s="484" t="s">
        <v>1452</v>
      </c>
      <c r="Q139" s="257" t="s">
        <v>1453</v>
      </c>
      <c r="R139" s="274">
        <v>7151402</v>
      </c>
      <c r="S139" s="46"/>
      <c r="T139" s="38"/>
      <c r="U139" s="122"/>
      <c r="V139" s="66"/>
      <c r="W139" s="38">
        <v>152</v>
      </c>
      <c r="X139" s="122" t="s">
        <v>852</v>
      </c>
      <c r="Y139" s="275">
        <v>632727</v>
      </c>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row>
    <row r="140" spans="1:130" s="50" customFormat="1" ht="15" x14ac:dyDescent="0.25">
      <c r="A140" s="693"/>
      <c r="B140" s="767"/>
      <c r="C140" s="690"/>
      <c r="D140" s="737"/>
      <c r="E140" s="690"/>
      <c r="F140" s="711"/>
      <c r="G140" s="735"/>
      <c r="H140" s="735"/>
      <c r="I140" s="693"/>
      <c r="J140" s="693"/>
      <c r="K140" s="711"/>
      <c r="L140" s="693"/>
      <c r="M140" s="763"/>
      <c r="N140" s="743"/>
      <c r="O140" s="257"/>
      <c r="P140" s="255"/>
      <c r="Q140" s="257"/>
      <c r="R140" s="260"/>
      <c r="S140" s="46"/>
      <c r="T140" s="38"/>
      <c r="U140" s="122"/>
      <c r="V140" s="66"/>
      <c r="W140" s="38">
        <v>182</v>
      </c>
      <c r="X140" s="122" t="s">
        <v>852</v>
      </c>
      <c r="Y140" s="275">
        <v>601482</v>
      </c>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row>
    <row r="141" spans="1:130" s="50" customFormat="1" ht="15" x14ac:dyDescent="0.25">
      <c r="A141" s="693"/>
      <c r="B141" s="767"/>
      <c r="C141" s="690"/>
      <c r="D141" s="737"/>
      <c r="E141" s="690"/>
      <c r="F141" s="711"/>
      <c r="G141" s="735"/>
      <c r="H141" s="735"/>
      <c r="I141" s="693"/>
      <c r="J141" s="693"/>
      <c r="K141" s="711"/>
      <c r="L141" s="693"/>
      <c r="M141" s="763"/>
      <c r="N141" s="743"/>
      <c r="O141" s="257"/>
      <c r="P141" s="255"/>
      <c r="Q141" s="257"/>
      <c r="R141" s="260"/>
      <c r="S141" s="46"/>
      <c r="T141" s="38"/>
      <c r="U141" s="122"/>
      <c r="V141" s="66"/>
      <c r="W141" s="38">
        <v>183</v>
      </c>
      <c r="X141" s="122" t="s">
        <v>852</v>
      </c>
      <c r="Y141" s="275">
        <v>601482</v>
      </c>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row>
    <row r="142" spans="1:130" s="50" customFormat="1" ht="15" x14ac:dyDescent="0.25">
      <c r="A142" s="693"/>
      <c r="B142" s="767"/>
      <c r="C142" s="690"/>
      <c r="D142" s="737"/>
      <c r="E142" s="690"/>
      <c r="F142" s="711"/>
      <c r="G142" s="735"/>
      <c r="H142" s="735"/>
      <c r="I142" s="693"/>
      <c r="J142" s="693"/>
      <c r="K142" s="711"/>
      <c r="L142" s="693"/>
      <c r="M142" s="763"/>
      <c r="N142" s="743"/>
      <c r="O142" s="257"/>
      <c r="P142" s="255"/>
      <c r="Q142" s="257"/>
      <c r="R142" s="260"/>
      <c r="S142" s="46"/>
      <c r="T142" s="38"/>
      <c r="U142" s="122"/>
      <c r="V142" s="66"/>
      <c r="W142" s="38">
        <v>187</v>
      </c>
      <c r="X142" s="122" t="s">
        <v>853</v>
      </c>
      <c r="Y142" s="275">
        <v>601482</v>
      </c>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row>
    <row r="143" spans="1:130" s="50" customFormat="1" ht="15" x14ac:dyDescent="0.25">
      <c r="A143" s="693"/>
      <c r="B143" s="767"/>
      <c r="C143" s="690"/>
      <c r="D143" s="737"/>
      <c r="E143" s="690"/>
      <c r="F143" s="711"/>
      <c r="G143" s="735"/>
      <c r="H143" s="735"/>
      <c r="I143" s="693"/>
      <c r="J143" s="693"/>
      <c r="K143" s="711"/>
      <c r="L143" s="693"/>
      <c r="M143" s="763"/>
      <c r="N143" s="743"/>
      <c r="O143" s="257"/>
      <c r="P143" s="255"/>
      <c r="Q143" s="257"/>
      <c r="R143" s="260"/>
      <c r="S143" s="46"/>
      <c r="T143" s="38"/>
      <c r="U143" s="122"/>
      <c r="V143" s="66"/>
      <c r="W143" s="38">
        <v>208</v>
      </c>
      <c r="X143" s="122" t="s">
        <v>853</v>
      </c>
      <c r="Y143" s="275">
        <v>671784</v>
      </c>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row>
    <row r="144" spans="1:130" s="50" customFormat="1" ht="15" x14ac:dyDescent="0.25">
      <c r="A144" s="693"/>
      <c r="B144" s="767"/>
      <c r="C144" s="690"/>
      <c r="D144" s="737"/>
      <c r="E144" s="690"/>
      <c r="F144" s="711"/>
      <c r="G144" s="735"/>
      <c r="H144" s="735"/>
      <c r="I144" s="693"/>
      <c r="J144" s="693"/>
      <c r="K144" s="711"/>
      <c r="L144" s="693"/>
      <c r="M144" s="763"/>
      <c r="N144" s="743"/>
      <c r="O144" s="257"/>
      <c r="P144" s="255"/>
      <c r="Q144" s="257"/>
      <c r="R144" s="260"/>
      <c r="S144" s="46"/>
      <c r="T144" s="38"/>
      <c r="U144" s="122"/>
      <c r="V144" s="66"/>
      <c r="W144" s="38">
        <v>209</v>
      </c>
      <c r="X144" s="122" t="s">
        <v>853</v>
      </c>
      <c r="Y144" s="275">
        <v>601482</v>
      </c>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row>
    <row r="145" spans="1:130" s="50" customFormat="1" ht="15" x14ac:dyDescent="0.25">
      <c r="A145" s="693"/>
      <c r="B145" s="767"/>
      <c r="C145" s="690"/>
      <c r="D145" s="737"/>
      <c r="E145" s="690"/>
      <c r="F145" s="711"/>
      <c r="G145" s="735"/>
      <c r="H145" s="735"/>
      <c r="I145" s="693"/>
      <c r="J145" s="693"/>
      <c r="K145" s="711"/>
      <c r="L145" s="693"/>
      <c r="M145" s="763"/>
      <c r="N145" s="743"/>
      <c r="O145" s="257"/>
      <c r="P145" s="255"/>
      <c r="Q145" s="257"/>
      <c r="R145" s="260"/>
      <c r="S145" s="46"/>
      <c r="T145" s="38"/>
      <c r="U145" s="122"/>
      <c r="V145" s="66"/>
      <c r="W145" s="38">
        <v>273</v>
      </c>
      <c r="X145" s="122" t="s">
        <v>854</v>
      </c>
      <c r="Y145" s="275">
        <v>589765</v>
      </c>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row>
    <row r="146" spans="1:130" s="50" customFormat="1" ht="15" x14ac:dyDescent="0.25">
      <c r="A146" s="693"/>
      <c r="B146" s="767"/>
      <c r="C146" s="690"/>
      <c r="D146" s="737"/>
      <c r="E146" s="690"/>
      <c r="F146" s="711"/>
      <c r="G146" s="735"/>
      <c r="H146" s="735"/>
      <c r="I146" s="693"/>
      <c r="J146" s="693"/>
      <c r="K146" s="711"/>
      <c r="L146" s="693"/>
      <c r="M146" s="763"/>
      <c r="N146" s="743"/>
      <c r="O146" s="257"/>
      <c r="P146" s="255"/>
      <c r="Q146" s="257"/>
      <c r="R146" s="260"/>
      <c r="S146" s="46"/>
      <c r="T146" s="38"/>
      <c r="U146" s="122"/>
      <c r="V146" s="66"/>
      <c r="W146" s="38">
        <v>308</v>
      </c>
      <c r="X146" s="122" t="s">
        <v>855</v>
      </c>
      <c r="Y146" s="275">
        <v>578048</v>
      </c>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row>
    <row r="147" spans="1:130" s="50" customFormat="1" ht="15" x14ac:dyDescent="0.25">
      <c r="A147" s="693"/>
      <c r="B147" s="767"/>
      <c r="C147" s="690"/>
      <c r="D147" s="737"/>
      <c r="E147" s="690"/>
      <c r="F147" s="711"/>
      <c r="G147" s="735"/>
      <c r="H147" s="735"/>
      <c r="I147" s="693"/>
      <c r="J147" s="693"/>
      <c r="K147" s="711"/>
      <c r="L147" s="693"/>
      <c r="M147" s="763"/>
      <c r="N147" s="743"/>
      <c r="O147" s="816"/>
      <c r="P147" s="693"/>
      <c r="Q147" s="816"/>
      <c r="R147" s="735"/>
      <c r="S147" s="46"/>
      <c r="T147" s="38"/>
      <c r="U147" s="122"/>
      <c r="V147" s="66"/>
      <c r="W147" s="38">
        <v>974</v>
      </c>
      <c r="X147" s="122" t="s">
        <v>856</v>
      </c>
      <c r="Y147" s="275">
        <v>535085</v>
      </c>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row>
    <row r="148" spans="1:130" s="50" customFormat="1" ht="15" x14ac:dyDescent="0.25">
      <c r="A148" s="693"/>
      <c r="B148" s="767"/>
      <c r="C148" s="690"/>
      <c r="D148" s="737"/>
      <c r="E148" s="690"/>
      <c r="F148" s="711"/>
      <c r="G148" s="735"/>
      <c r="H148" s="735"/>
      <c r="I148" s="693"/>
      <c r="J148" s="693"/>
      <c r="K148" s="711"/>
      <c r="L148" s="693"/>
      <c r="M148" s="763"/>
      <c r="N148" s="743"/>
      <c r="O148" s="816"/>
      <c r="P148" s="693"/>
      <c r="Q148" s="816"/>
      <c r="R148" s="735"/>
      <c r="S148" s="46"/>
      <c r="T148" s="38"/>
      <c r="U148" s="122"/>
      <c r="V148" s="66"/>
      <c r="W148" s="38">
        <v>1053</v>
      </c>
      <c r="X148" s="122" t="s">
        <v>856</v>
      </c>
      <c r="Y148" s="275">
        <v>535085</v>
      </c>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row>
    <row r="149" spans="1:130" s="50" customFormat="1" ht="15" x14ac:dyDescent="0.25">
      <c r="A149" s="693"/>
      <c r="B149" s="767"/>
      <c r="C149" s="690"/>
      <c r="D149" s="737"/>
      <c r="E149" s="690"/>
      <c r="F149" s="711"/>
      <c r="G149" s="735"/>
      <c r="H149" s="735"/>
      <c r="I149" s="693"/>
      <c r="J149" s="693"/>
      <c r="K149" s="711"/>
      <c r="L149" s="693"/>
      <c r="M149" s="763"/>
      <c r="N149" s="743"/>
      <c r="O149" s="817"/>
      <c r="P149" s="694"/>
      <c r="Q149" s="817"/>
      <c r="R149" s="729"/>
      <c r="S149" s="46"/>
      <c r="T149" s="286">
        <v>772</v>
      </c>
      <c r="U149" s="273">
        <v>44742</v>
      </c>
      <c r="V149" s="274">
        <v>7151402</v>
      </c>
      <c r="W149" s="286">
        <v>3445</v>
      </c>
      <c r="X149" s="273" t="s">
        <v>2879</v>
      </c>
      <c r="Y149" s="275">
        <v>679598</v>
      </c>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row>
    <row r="150" spans="1:130" s="50" customFormat="1" ht="15" x14ac:dyDescent="0.25">
      <c r="A150" s="693"/>
      <c r="B150" s="767"/>
      <c r="C150" s="690"/>
      <c r="D150" s="737"/>
      <c r="E150" s="690"/>
      <c r="F150" s="711"/>
      <c r="G150" s="735"/>
      <c r="H150" s="735"/>
      <c r="I150" s="693"/>
      <c r="J150" s="693"/>
      <c r="K150" s="711"/>
      <c r="L150" s="693"/>
      <c r="M150" s="763"/>
      <c r="N150" s="743"/>
      <c r="O150" s="387"/>
      <c r="P150" s="382"/>
      <c r="Q150" s="387"/>
      <c r="R150" s="384"/>
      <c r="S150" s="46"/>
      <c r="T150" s="391"/>
      <c r="U150" s="273"/>
      <c r="V150" s="274"/>
      <c r="W150" s="391">
        <v>3446</v>
      </c>
      <c r="X150" s="273" t="s">
        <v>2879</v>
      </c>
      <c r="Y150" s="275">
        <v>652258</v>
      </c>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row>
    <row r="151" spans="1:130" s="50" customFormat="1" ht="15" x14ac:dyDescent="0.25">
      <c r="A151" s="693"/>
      <c r="B151" s="767"/>
      <c r="C151" s="690"/>
      <c r="D151" s="737"/>
      <c r="E151" s="690"/>
      <c r="F151" s="711"/>
      <c r="G151" s="735"/>
      <c r="H151" s="735"/>
      <c r="I151" s="693"/>
      <c r="J151" s="693"/>
      <c r="K151" s="711"/>
      <c r="L151" s="693"/>
      <c r="M151" s="763"/>
      <c r="N151" s="743"/>
      <c r="O151" s="387"/>
      <c r="P151" s="382"/>
      <c r="Q151" s="387"/>
      <c r="R151" s="384"/>
      <c r="S151" s="46"/>
      <c r="T151" s="391"/>
      <c r="U151" s="273"/>
      <c r="V151" s="274"/>
      <c r="W151" s="391">
        <v>3447</v>
      </c>
      <c r="X151" s="273" t="s">
        <v>2879</v>
      </c>
      <c r="Y151" s="275">
        <v>738184</v>
      </c>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row>
    <row r="152" spans="1:130" s="50" customFormat="1" ht="15" x14ac:dyDescent="0.25">
      <c r="A152" s="693"/>
      <c r="B152" s="767"/>
      <c r="C152" s="690"/>
      <c r="D152" s="737"/>
      <c r="E152" s="690"/>
      <c r="F152" s="711"/>
      <c r="G152" s="735"/>
      <c r="H152" s="735"/>
      <c r="I152" s="693"/>
      <c r="J152" s="693"/>
      <c r="K152" s="711"/>
      <c r="L152" s="693"/>
      <c r="M152" s="763"/>
      <c r="N152" s="743"/>
      <c r="O152" s="387"/>
      <c r="P152" s="382"/>
      <c r="Q152" s="387"/>
      <c r="R152" s="384"/>
      <c r="S152" s="46"/>
      <c r="T152" s="391"/>
      <c r="U152" s="273"/>
      <c r="V152" s="274"/>
      <c r="W152" s="391">
        <v>3448</v>
      </c>
      <c r="X152" s="273" t="s">
        <v>2879</v>
      </c>
      <c r="Y152" s="275">
        <v>652258</v>
      </c>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row>
    <row r="153" spans="1:130" s="50" customFormat="1" ht="15" x14ac:dyDescent="0.25">
      <c r="A153" s="693"/>
      <c r="B153" s="767"/>
      <c r="C153" s="690"/>
      <c r="D153" s="737"/>
      <c r="E153" s="690"/>
      <c r="F153" s="711"/>
      <c r="G153" s="735"/>
      <c r="H153" s="735"/>
      <c r="I153" s="693"/>
      <c r="J153" s="693"/>
      <c r="K153" s="711"/>
      <c r="L153" s="693"/>
      <c r="M153" s="763"/>
      <c r="N153" s="743"/>
      <c r="O153" s="387"/>
      <c r="P153" s="382"/>
      <c r="Q153" s="387"/>
      <c r="R153" s="384"/>
      <c r="S153" s="46"/>
      <c r="T153" s="391"/>
      <c r="U153" s="273"/>
      <c r="V153" s="274"/>
      <c r="W153" s="391">
        <v>3449</v>
      </c>
      <c r="X153" s="273" t="s">
        <v>2879</v>
      </c>
      <c r="Y153" s="275">
        <v>652258</v>
      </c>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row>
    <row r="154" spans="1:130" s="50" customFormat="1" ht="15" x14ac:dyDescent="0.25">
      <c r="A154" s="693"/>
      <c r="B154" s="767"/>
      <c r="C154" s="690"/>
      <c r="D154" s="737"/>
      <c r="E154" s="690"/>
      <c r="F154" s="711"/>
      <c r="G154" s="735"/>
      <c r="H154" s="735"/>
      <c r="I154" s="693"/>
      <c r="J154" s="693"/>
      <c r="K154" s="711"/>
      <c r="L154" s="693"/>
      <c r="M154" s="763"/>
      <c r="N154" s="743"/>
      <c r="O154" s="387"/>
      <c r="P154" s="382"/>
      <c r="Q154" s="387"/>
      <c r="R154" s="384"/>
      <c r="S154" s="46"/>
      <c r="T154" s="391"/>
      <c r="U154" s="273"/>
      <c r="V154" s="274"/>
      <c r="W154" s="391">
        <v>3450</v>
      </c>
      <c r="X154" s="273" t="s">
        <v>2879</v>
      </c>
      <c r="Y154" s="275">
        <v>679598</v>
      </c>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row>
    <row r="155" spans="1:130" s="50" customFormat="1" ht="15" x14ac:dyDescent="0.25">
      <c r="A155" s="693"/>
      <c r="B155" s="767"/>
      <c r="C155" s="690"/>
      <c r="D155" s="737"/>
      <c r="E155" s="690"/>
      <c r="F155" s="711"/>
      <c r="G155" s="735"/>
      <c r="H155" s="735"/>
      <c r="I155" s="693"/>
      <c r="J155" s="693"/>
      <c r="K155" s="711"/>
      <c r="L155" s="693"/>
      <c r="M155" s="763"/>
      <c r="N155" s="743"/>
      <c r="O155" s="387"/>
      <c r="P155" s="382"/>
      <c r="Q155" s="387"/>
      <c r="R155" s="384"/>
      <c r="S155" s="46"/>
      <c r="T155" s="391"/>
      <c r="U155" s="273"/>
      <c r="V155" s="274"/>
      <c r="W155" s="391">
        <v>3459</v>
      </c>
      <c r="X155" s="273" t="s">
        <v>2884</v>
      </c>
      <c r="Y155" s="275">
        <v>269496</v>
      </c>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row>
    <row r="156" spans="1:130" s="50" customFormat="1" ht="15" x14ac:dyDescent="0.25">
      <c r="A156" s="693"/>
      <c r="B156" s="767"/>
      <c r="C156" s="690"/>
      <c r="D156" s="737"/>
      <c r="E156" s="690"/>
      <c r="F156" s="711"/>
      <c r="G156" s="735"/>
      <c r="H156" s="735"/>
      <c r="I156" s="693"/>
      <c r="J156" s="693"/>
      <c r="K156" s="711"/>
      <c r="L156" s="693"/>
      <c r="M156" s="763"/>
      <c r="N156" s="743"/>
      <c r="O156" s="387"/>
      <c r="P156" s="382"/>
      <c r="Q156" s="387"/>
      <c r="R156" s="384"/>
      <c r="S156" s="46"/>
      <c r="T156" s="391"/>
      <c r="U156" s="273"/>
      <c r="V156" s="274"/>
      <c r="W156" s="391">
        <v>3460</v>
      </c>
      <c r="X156" s="273" t="s">
        <v>2884</v>
      </c>
      <c r="Y156" s="275">
        <v>648352</v>
      </c>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row>
    <row r="157" spans="1:130" s="50" customFormat="1" ht="15" x14ac:dyDescent="0.25">
      <c r="A157" s="693"/>
      <c r="B157" s="767"/>
      <c r="C157" s="690"/>
      <c r="D157" s="737"/>
      <c r="E157" s="690"/>
      <c r="F157" s="711"/>
      <c r="G157" s="735"/>
      <c r="H157" s="735"/>
      <c r="I157" s="693"/>
      <c r="J157" s="693"/>
      <c r="K157" s="711"/>
      <c r="L157" s="693"/>
      <c r="M157" s="763"/>
      <c r="N157" s="743"/>
      <c r="O157" s="387"/>
      <c r="P157" s="382"/>
      <c r="Q157" s="387"/>
      <c r="R157" s="384"/>
      <c r="S157" s="46"/>
      <c r="T157" s="391"/>
      <c r="U157" s="273"/>
      <c r="V157" s="274"/>
      <c r="W157" s="391">
        <v>3461</v>
      </c>
      <c r="X157" s="273" t="s">
        <v>2884</v>
      </c>
      <c r="Y157" s="275">
        <v>207004</v>
      </c>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row>
    <row r="158" spans="1:130" s="50" customFormat="1" ht="15" x14ac:dyDescent="0.25">
      <c r="A158" s="693"/>
      <c r="B158" s="767"/>
      <c r="C158" s="690"/>
      <c r="D158" s="737"/>
      <c r="E158" s="690"/>
      <c r="F158" s="711"/>
      <c r="G158" s="735"/>
      <c r="H158" s="735"/>
      <c r="I158" s="693"/>
      <c r="J158" s="693"/>
      <c r="K158" s="711"/>
      <c r="L158" s="693"/>
      <c r="M158" s="763"/>
      <c r="N158" s="743"/>
      <c r="O158" s="387"/>
      <c r="P158" s="382"/>
      <c r="Q158" s="387"/>
      <c r="R158" s="384"/>
      <c r="S158" s="46"/>
      <c r="T158" s="391"/>
      <c r="U158" s="273"/>
      <c r="V158" s="274"/>
      <c r="W158" s="391">
        <v>3464</v>
      </c>
      <c r="X158" s="273" t="s">
        <v>2885</v>
      </c>
      <c r="Y158" s="275">
        <v>636635</v>
      </c>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row>
    <row r="159" spans="1:130" s="50" customFormat="1" ht="15" x14ac:dyDescent="0.25">
      <c r="A159" s="693"/>
      <c r="B159" s="767"/>
      <c r="C159" s="690"/>
      <c r="D159" s="737"/>
      <c r="E159" s="690"/>
      <c r="F159" s="711"/>
      <c r="G159" s="735"/>
      <c r="H159" s="735"/>
      <c r="I159" s="693"/>
      <c r="J159" s="693"/>
      <c r="K159" s="711"/>
      <c r="L159" s="693"/>
      <c r="M159" s="763"/>
      <c r="N159" s="743"/>
      <c r="O159" s="387"/>
      <c r="P159" s="382"/>
      <c r="Q159" s="387"/>
      <c r="R159" s="384"/>
      <c r="S159" s="46"/>
      <c r="T159" s="391"/>
      <c r="U159" s="273"/>
      <c r="V159" s="274"/>
      <c r="W159" s="391">
        <v>3909</v>
      </c>
      <c r="X159" s="273" t="s">
        <v>2886</v>
      </c>
      <c r="Y159" s="275">
        <v>581954</v>
      </c>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row>
    <row r="160" spans="1:130" s="50" customFormat="1" ht="15" x14ac:dyDescent="0.25">
      <c r="A160" s="693"/>
      <c r="B160" s="767"/>
      <c r="C160" s="690"/>
      <c r="D160" s="737"/>
      <c r="E160" s="690"/>
      <c r="F160" s="711"/>
      <c r="G160" s="735"/>
      <c r="H160" s="735"/>
      <c r="I160" s="693"/>
      <c r="J160" s="693"/>
      <c r="K160" s="711"/>
      <c r="L160" s="693"/>
      <c r="M160" s="763"/>
      <c r="N160" s="743"/>
      <c r="O160" s="387"/>
      <c r="P160" s="382"/>
      <c r="Q160" s="387"/>
      <c r="R160" s="384"/>
      <c r="S160" s="46"/>
      <c r="T160" s="391"/>
      <c r="U160" s="273"/>
      <c r="V160" s="274"/>
      <c r="W160" s="391">
        <v>4849</v>
      </c>
      <c r="X160" s="273" t="s">
        <v>2844</v>
      </c>
      <c r="Y160" s="275">
        <v>441348</v>
      </c>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row>
    <row r="161" spans="1:130" s="50" customFormat="1" ht="15" x14ac:dyDescent="0.25">
      <c r="A161" s="693"/>
      <c r="B161" s="767"/>
      <c r="C161" s="690"/>
      <c r="D161" s="738"/>
      <c r="E161" s="691"/>
      <c r="F161" s="712"/>
      <c r="G161" s="729"/>
      <c r="H161" s="729"/>
      <c r="I161" s="694"/>
      <c r="J161" s="694"/>
      <c r="K161" s="712"/>
      <c r="L161" s="694"/>
      <c r="M161" s="759"/>
      <c r="N161" s="743"/>
      <c r="O161" s="387"/>
      <c r="P161" s="382"/>
      <c r="Q161" s="387"/>
      <c r="R161" s="384"/>
      <c r="S161" s="46"/>
      <c r="T161" s="391"/>
      <c r="U161" s="273"/>
      <c r="V161" s="274"/>
      <c r="W161" s="391">
        <v>5197</v>
      </c>
      <c r="X161" s="273" t="s">
        <v>2856</v>
      </c>
      <c r="Y161" s="275">
        <v>312459</v>
      </c>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row>
    <row r="162" spans="1:130" s="50" customFormat="1" ht="15" x14ac:dyDescent="0.25">
      <c r="A162" s="693"/>
      <c r="B162" s="767"/>
      <c r="C162" s="690"/>
      <c r="D162" s="692" t="s">
        <v>819</v>
      </c>
      <c r="E162" s="689" t="s">
        <v>135</v>
      </c>
      <c r="F162" s="710">
        <v>18168662</v>
      </c>
      <c r="G162" s="728">
        <v>0</v>
      </c>
      <c r="H162" s="728"/>
      <c r="I162" s="692"/>
      <c r="J162" s="692"/>
      <c r="K162" s="710">
        <v>300000</v>
      </c>
      <c r="L162" s="692"/>
      <c r="M162" s="758">
        <f>+F162+G162+I162+H162+J162+K162-L162</f>
        <v>18468662</v>
      </c>
      <c r="N162" s="743"/>
      <c r="O162" s="256" t="s">
        <v>332</v>
      </c>
      <c r="P162" s="482">
        <v>7</v>
      </c>
      <c r="Q162" s="256" t="s">
        <v>442</v>
      </c>
      <c r="R162" s="274">
        <v>8421225</v>
      </c>
      <c r="S162" s="46"/>
      <c r="T162" s="38">
        <v>32</v>
      </c>
      <c r="U162" s="122">
        <v>44605</v>
      </c>
      <c r="V162" s="66">
        <v>8421225</v>
      </c>
      <c r="W162" s="38">
        <v>151</v>
      </c>
      <c r="X162" s="122" t="s">
        <v>852</v>
      </c>
      <c r="Y162" s="275">
        <v>502727</v>
      </c>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row>
    <row r="163" spans="1:130" s="50" customFormat="1" ht="15" x14ac:dyDescent="0.25">
      <c r="A163" s="693"/>
      <c r="B163" s="767"/>
      <c r="C163" s="690"/>
      <c r="D163" s="693"/>
      <c r="E163" s="690"/>
      <c r="F163" s="711"/>
      <c r="G163" s="735"/>
      <c r="H163" s="735"/>
      <c r="I163" s="693"/>
      <c r="J163" s="693"/>
      <c r="K163" s="711"/>
      <c r="L163" s="693"/>
      <c r="M163" s="763"/>
      <c r="N163" s="743"/>
      <c r="O163" s="256" t="s">
        <v>1457</v>
      </c>
      <c r="P163" s="485" t="s">
        <v>1458</v>
      </c>
      <c r="Q163" s="256" t="s">
        <v>1459</v>
      </c>
      <c r="R163" s="274">
        <v>9111332</v>
      </c>
      <c r="S163" s="46"/>
      <c r="T163" s="38"/>
      <c r="U163" s="122"/>
      <c r="V163" s="66"/>
      <c r="W163" s="38">
        <v>152</v>
      </c>
      <c r="X163" s="122" t="s">
        <v>852</v>
      </c>
      <c r="Y163" s="275">
        <v>858581</v>
      </c>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row>
    <row r="164" spans="1:130" s="50" customFormat="1" ht="15" x14ac:dyDescent="0.25">
      <c r="A164" s="693"/>
      <c r="B164" s="767"/>
      <c r="C164" s="690"/>
      <c r="D164" s="693"/>
      <c r="E164" s="690"/>
      <c r="F164" s="711"/>
      <c r="G164" s="735"/>
      <c r="H164" s="735"/>
      <c r="I164" s="693"/>
      <c r="J164" s="693"/>
      <c r="K164" s="711"/>
      <c r="L164" s="693"/>
      <c r="M164" s="763"/>
      <c r="N164" s="743"/>
      <c r="O164" s="257"/>
      <c r="P164" s="255"/>
      <c r="Q164" s="257"/>
      <c r="R164" s="260"/>
      <c r="S164" s="46"/>
      <c r="T164" s="38"/>
      <c r="U164" s="122"/>
      <c r="V164" s="66"/>
      <c r="W164" s="38">
        <v>182</v>
      </c>
      <c r="X164" s="122" t="s">
        <v>852</v>
      </c>
      <c r="Y164" s="275">
        <v>662960</v>
      </c>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row>
    <row r="165" spans="1:130" s="50" customFormat="1" ht="15" x14ac:dyDescent="0.25">
      <c r="A165" s="693"/>
      <c r="B165" s="767"/>
      <c r="C165" s="690"/>
      <c r="D165" s="693"/>
      <c r="E165" s="690"/>
      <c r="F165" s="711"/>
      <c r="G165" s="735"/>
      <c r="H165" s="735"/>
      <c r="I165" s="693"/>
      <c r="J165" s="693"/>
      <c r="K165" s="711"/>
      <c r="L165" s="693"/>
      <c r="M165" s="763"/>
      <c r="N165" s="743"/>
      <c r="O165" s="257"/>
      <c r="P165" s="255"/>
      <c r="Q165" s="257"/>
      <c r="R165" s="260"/>
      <c r="S165" s="46"/>
      <c r="T165" s="38"/>
      <c r="U165" s="122"/>
      <c r="V165" s="66"/>
      <c r="W165" s="38">
        <v>183</v>
      </c>
      <c r="X165" s="122" t="s">
        <v>852</v>
      </c>
      <c r="Y165" s="275">
        <v>816182</v>
      </c>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row>
    <row r="166" spans="1:130" s="50" customFormat="1" ht="15" x14ac:dyDescent="0.25">
      <c r="A166" s="693"/>
      <c r="B166" s="767"/>
      <c r="C166" s="690"/>
      <c r="D166" s="693"/>
      <c r="E166" s="690"/>
      <c r="F166" s="711"/>
      <c r="G166" s="735"/>
      <c r="H166" s="735"/>
      <c r="I166" s="693"/>
      <c r="J166" s="693"/>
      <c r="K166" s="711"/>
      <c r="L166" s="693"/>
      <c r="M166" s="763"/>
      <c r="N166" s="743"/>
      <c r="O166" s="257"/>
      <c r="P166" s="255"/>
      <c r="Q166" s="257"/>
      <c r="R166" s="260"/>
      <c r="S166" s="46"/>
      <c r="T166" s="38"/>
      <c r="U166" s="122"/>
      <c r="V166" s="66"/>
      <c r="W166" s="38">
        <v>187</v>
      </c>
      <c r="X166" s="122" t="s">
        <v>853</v>
      </c>
      <c r="Y166" s="275">
        <v>816182</v>
      </c>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row>
    <row r="167" spans="1:130" s="50" customFormat="1" ht="15" x14ac:dyDescent="0.25">
      <c r="A167" s="693"/>
      <c r="B167" s="767"/>
      <c r="C167" s="690"/>
      <c r="D167" s="693"/>
      <c r="E167" s="690"/>
      <c r="F167" s="711"/>
      <c r="G167" s="735"/>
      <c r="H167" s="735"/>
      <c r="I167" s="693"/>
      <c r="J167" s="693"/>
      <c r="K167" s="711"/>
      <c r="L167" s="693"/>
      <c r="M167" s="763"/>
      <c r="N167" s="743"/>
      <c r="O167" s="257"/>
      <c r="P167" s="255"/>
      <c r="Q167" s="257"/>
      <c r="R167" s="260"/>
      <c r="S167" s="46"/>
      <c r="T167" s="38"/>
      <c r="U167" s="122"/>
      <c r="V167" s="66"/>
      <c r="W167" s="38">
        <v>208</v>
      </c>
      <c r="X167" s="122" t="s">
        <v>853</v>
      </c>
      <c r="Y167" s="275">
        <v>911579</v>
      </c>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row>
    <row r="168" spans="1:130" s="50" customFormat="1" ht="15" x14ac:dyDescent="0.25">
      <c r="A168" s="693"/>
      <c r="B168" s="767"/>
      <c r="C168" s="690"/>
      <c r="D168" s="693"/>
      <c r="E168" s="690"/>
      <c r="F168" s="711"/>
      <c r="G168" s="735"/>
      <c r="H168" s="735"/>
      <c r="I168" s="693"/>
      <c r="J168" s="693"/>
      <c r="K168" s="711"/>
      <c r="L168" s="693"/>
      <c r="M168" s="763"/>
      <c r="N168" s="743"/>
      <c r="O168" s="257"/>
      <c r="P168" s="255"/>
      <c r="Q168" s="257"/>
      <c r="R168" s="260"/>
      <c r="S168" s="46"/>
      <c r="T168" s="38"/>
      <c r="U168" s="122"/>
      <c r="V168" s="66"/>
      <c r="W168" s="38">
        <v>209</v>
      </c>
      <c r="X168" s="122" t="s">
        <v>853</v>
      </c>
      <c r="Y168" s="275">
        <v>816182</v>
      </c>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row>
    <row r="169" spans="1:130" s="50" customFormat="1" ht="15" x14ac:dyDescent="0.25">
      <c r="A169" s="693"/>
      <c r="B169" s="767"/>
      <c r="C169" s="690"/>
      <c r="D169" s="693"/>
      <c r="E169" s="690"/>
      <c r="F169" s="711"/>
      <c r="G169" s="735"/>
      <c r="H169" s="735"/>
      <c r="I169" s="693"/>
      <c r="J169" s="693"/>
      <c r="K169" s="711"/>
      <c r="L169" s="693"/>
      <c r="M169" s="763"/>
      <c r="N169" s="743"/>
      <c r="O169" s="257"/>
      <c r="P169" s="255"/>
      <c r="Q169" s="257"/>
      <c r="R169" s="260"/>
      <c r="S169" s="46"/>
      <c r="T169" s="38"/>
      <c r="U169" s="122"/>
      <c r="V169" s="66"/>
      <c r="W169" s="38">
        <v>273</v>
      </c>
      <c r="X169" s="122" t="s">
        <v>854</v>
      </c>
      <c r="Y169" s="275">
        <v>800282</v>
      </c>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row>
    <row r="170" spans="1:130" s="50" customFormat="1" ht="15" x14ac:dyDescent="0.25">
      <c r="A170" s="693"/>
      <c r="B170" s="767"/>
      <c r="C170" s="690"/>
      <c r="D170" s="693"/>
      <c r="E170" s="690"/>
      <c r="F170" s="711"/>
      <c r="G170" s="735"/>
      <c r="H170" s="735"/>
      <c r="I170" s="693"/>
      <c r="J170" s="693"/>
      <c r="K170" s="711"/>
      <c r="L170" s="693"/>
      <c r="M170" s="763"/>
      <c r="N170" s="743"/>
      <c r="O170" s="257"/>
      <c r="P170" s="255"/>
      <c r="Q170" s="257"/>
      <c r="R170" s="260"/>
      <c r="S170" s="46"/>
      <c r="T170" s="38"/>
      <c r="U170" s="122"/>
      <c r="V170" s="66"/>
      <c r="W170" s="38">
        <v>308</v>
      </c>
      <c r="X170" s="122" t="s">
        <v>855</v>
      </c>
      <c r="Y170" s="275">
        <v>784382</v>
      </c>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row>
    <row r="171" spans="1:130" s="50" customFormat="1" ht="15" x14ac:dyDescent="0.25">
      <c r="A171" s="693"/>
      <c r="B171" s="767"/>
      <c r="C171" s="690"/>
      <c r="D171" s="693"/>
      <c r="E171" s="690"/>
      <c r="F171" s="711"/>
      <c r="G171" s="735"/>
      <c r="H171" s="735"/>
      <c r="I171" s="693"/>
      <c r="J171" s="693"/>
      <c r="K171" s="711"/>
      <c r="L171" s="693"/>
      <c r="M171" s="763"/>
      <c r="N171" s="743"/>
      <c r="O171" s="816"/>
      <c r="P171" s="255"/>
      <c r="Q171" s="816"/>
      <c r="R171" s="260"/>
      <c r="S171" s="46"/>
      <c r="T171" s="38"/>
      <c r="U171" s="122"/>
      <c r="V171" s="66"/>
      <c r="W171" s="38">
        <v>974</v>
      </c>
      <c r="X171" s="122" t="s">
        <v>856</v>
      </c>
      <c r="Y171" s="275">
        <v>726084</v>
      </c>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row>
    <row r="172" spans="1:130" s="50" customFormat="1" ht="15" x14ac:dyDescent="0.25">
      <c r="A172" s="693"/>
      <c r="B172" s="767"/>
      <c r="C172" s="690"/>
      <c r="D172" s="693"/>
      <c r="E172" s="690"/>
      <c r="F172" s="711"/>
      <c r="G172" s="735"/>
      <c r="H172" s="735"/>
      <c r="I172" s="693"/>
      <c r="J172" s="693"/>
      <c r="K172" s="711"/>
      <c r="L172" s="693"/>
      <c r="M172" s="763"/>
      <c r="N172" s="743"/>
      <c r="O172" s="816"/>
      <c r="P172" s="693"/>
      <c r="Q172" s="816"/>
      <c r="R172" s="735"/>
      <c r="S172" s="46"/>
      <c r="T172" s="38"/>
      <c r="U172" s="122"/>
      <c r="V172" s="66"/>
      <c r="W172" s="38">
        <v>1053</v>
      </c>
      <c r="X172" s="122" t="s">
        <v>856</v>
      </c>
      <c r="Y172" s="275">
        <v>726084</v>
      </c>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row>
    <row r="173" spans="1:130" s="50" customFormat="1" ht="15" x14ac:dyDescent="0.25">
      <c r="A173" s="693"/>
      <c r="B173" s="767"/>
      <c r="C173" s="690"/>
      <c r="D173" s="693"/>
      <c r="E173" s="690"/>
      <c r="F173" s="711"/>
      <c r="G173" s="735"/>
      <c r="H173" s="735"/>
      <c r="I173" s="693"/>
      <c r="J173" s="693"/>
      <c r="K173" s="711"/>
      <c r="L173" s="693"/>
      <c r="M173" s="763"/>
      <c r="N173" s="743"/>
      <c r="O173" s="817"/>
      <c r="P173" s="694"/>
      <c r="Q173" s="817"/>
      <c r="R173" s="729"/>
      <c r="S173" s="46"/>
      <c r="T173" s="286">
        <v>772</v>
      </c>
      <c r="U173" s="273">
        <v>44742</v>
      </c>
      <c r="V173" s="274">
        <v>9111332</v>
      </c>
      <c r="W173" s="286">
        <v>3445</v>
      </c>
      <c r="X173" s="273" t="s">
        <v>2879</v>
      </c>
      <c r="Y173" s="275">
        <v>749059</v>
      </c>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row>
    <row r="174" spans="1:130" s="50" customFormat="1" ht="15" x14ac:dyDescent="0.25">
      <c r="A174" s="693"/>
      <c r="B174" s="767"/>
      <c r="C174" s="690"/>
      <c r="D174" s="693"/>
      <c r="E174" s="690"/>
      <c r="F174" s="711"/>
      <c r="G174" s="735"/>
      <c r="H174" s="735"/>
      <c r="I174" s="693"/>
      <c r="J174" s="693"/>
      <c r="K174" s="711"/>
      <c r="L174" s="693"/>
      <c r="M174" s="763"/>
      <c r="N174" s="743"/>
      <c r="O174" s="387"/>
      <c r="P174" s="382"/>
      <c r="Q174" s="387"/>
      <c r="R174" s="384"/>
      <c r="S174" s="46"/>
      <c r="T174" s="391"/>
      <c r="U174" s="273"/>
      <c r="V174" s="274"/>
      <c r="W174" s="391">
        <v>3446</v>
      </c>
      <c r="X174" s="273" t="s">
        <v>2879</v>
      </c>
      <c r="Y174" s="275">
        <v>885080</v>
      </c>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row>
    <row r="175" spans="1:130" s="50" customFormat="1" ht="15" x14ac:dyDescent="0.25">
      <c r="A175" s="693"/>
      <c r="B175" s="767"/>
      <c r="C175" s="690"/>
      <c r="D175" s="693"/>
      <c r="E175" s="690"/>
      <c r="F175" s="711"/>
      <c r="G175" s="735"/>
      <c r="H175" s="735"/>
      <c r="I175" s="693"/>
      <c r="J175" s="693"/>
      <c r="K175" s="711"/>
      <c r="L175" s="693"/>
      <c r="M175" s="763"/>
      <c r="N175" s="743"/>
      <c r="O175" s="387"/>
      <c r="P175" s="382"/>
      <c r="Q175" s="387"/>
      <c r="R175" s="384"/>
      <c r="S175" s="46"/>
      <c r="T175" s="391"/>
      <c r="U175" s="273"/>
      <c r="V175" s="274"/>
      <c r="W175" s="391">
        <v>3447</v>
      </c>
      <c r="X175" s="273" t="s">
        <v>2879</v>
      </c>
      <c r="Y175" s="275">
        <v>1001677</v>
      </c>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row>
    <row r="176" spans="1:130" s="50" customFormat="1" ht="15" x14ac:dyDescent="0.25">
      <c r="A176" s="693"/>
      <c r="B176" s="767"/>
      <c r="C176" s="690"/>
      <c r="D176" s="693"/>
      <c r="E176" s="690"/>
      <c r="F176" s="711"/>
      <c r="G176" s="735"/>
      <c r="H176" s="735"/>
      <c r="I176" s="693"/>
      <c r="J176" s="693"/>
      <c r="K176" s="711"/>
      <c r="L176" s="693"/>
      <c r="M176" s="763"/>
      <c r="N176" s="743"/>
      <c r="O176" s="387"/>
      <c r="P176" s="382"/>
      <c r="Q176" s="387"/>
      <c r="R176" s="384"/>
      <c r="S176" s="46"/>
      <c r="T176" s="391"/>
      <c r="U176" s="273"/>
      <c r="V176" s="274"/>
      <c r="W176" s="391">
        <v>3448</v>
      </c>
      <c r="X176" s="273" t="s">
        <v>2879</v>
      </c>
      <c r="Y176" s="275">
        <v>885080</v>
      </c>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row>
    <row r="177" spans="1:130" s="50" customFormat="1" ht="15" x14ac:dyDescent="0.25">
      <c r="A177" s="693"/>
      <c r="B177" s="767"/>
      <c r="C177" s="690"/>
      <c r="D177" s="693"/>
      <c r="E177" s="690"/>
      <c r="F177" s="711"/>
      <c r="G177" s="735"/>
      <c r="H177" s="735"/>
      <c r="I177" s="693"/>
      <c r="J177" s="693"/>
      <c r="K177" s="711"/>
      <c r="L177" s="693"/>
      <c r="M177" s="763"/>
      <c r="N177" s="743"/>
      <c r="O177" s="387"/>
      <c r="P177" s="382"/>
      <c r="Q177" s="387"/>
      <c r="R177" s="384"/>
      <c r="S177" s="46"/>
      <c r="T177" s="391"/>
      <c r="U177" s="273"/>
      <c r="V177" s="274"/>
      <c r="W177" s="391">
        <v>3449</v>
      </c>
      <c r="X177" s="273" t="s">
        <v>2879</v>
      </c>
      <c r="Y177" s="275">
        <v>885080</v>
      </c>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row>
    <row r="178" spans="1:130" s="50" customFormat="1" ht="15" x14ac:dyDescent="0.25">
      <c r="A178" s="693"/>
      <c r="B178" s="767"/>
      <c r="C178" s="690"/>
      <c r="D178" s="693"/>
      <c r="E178" s="690"/>
      <c r="F178" s="711"/>
      <c r="G178" s="735"/>
      <c r="H178" s="735"/>
      <c r="I178" s="693"/>
      <c r="J178" s="693"/>
      <c r="K178" s="711"/>
      <c r="L178" s="693"/>
      <c r="M178" s="763"/>
      <c r="N178" s="743"/>
      <c r="O178" s="387"/>
      <c r="P178" s="382"/>
      <c r="Q178" s="387"/>
      <c r="R178" s="384"/>
      <c r="S178" s="46"/>
      <c r="T178" s="391"/>
      <c r="U178" s="273"/>
      <c r="V178" s="274"/>
      <c r="W178" s="391">
        <v>3450</v>
      </c>
      <c r="X178" s="273" t="s">
        <v>2879</v>
      </c>
      <c r="Y178" s="275">
        <v>922179</v>
      </c>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row>
    <row r="179" spans="1:130" s="50" customFormat="1" ht="15" x14ac:dyDescent="0.25">
      <c r="A179" s="693"/>
      <c r="B179" s="767"/>
      <c r="C179" s="690"/>
      <c r="D179" s="693"/>
      <c r="E179" s="690"/>
      <c r="F179" s="711"/>
      <c r="G179" s="735"/>
      <c r="H179" s="735"/>
      <c r="I179" s="693"/>
      <c r="J179" s="693"/>
      <c r="K179" s="711"/>
      <c r="L179" s="693"/>
      <c r="M179" s="763"/>
      <c r="N179" s="743"/>
      <c r="O179" s="387"/>
      <c r="P179" s="382"/>
      <c r="Q179" s="387"/>
      <c r="R179" s="384"/>
      <c r="S179" s="46"/>
      <c r="T179" s="391"/>
      <c r="U179" s="273"/>
      <c r="V179" s="274"/>
      <c r="W179" s="391">
        <v>3459</v>
      </c>
      <c r="X179" s="273" t="s">
        <v>2884</v>
      </c>
      <c r="Y179" s="275">
        <v>381591</v>
      </c>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row>
    <row r="180" spans="1:130" s="50" customFormat="1" ht="15" x14ac:dyDescent="0.25">
      <c r="A180" s="693"/>
      <c r="B180" s="767"/>
      <c r="C180" s="690"/>
      <c r="D180" s="693"/>
      <c r="E180" s="690"/>
      <c r="F180" s="711"/>
      <c r="G180" s="735"/>
      <c r="H180" s="735"/>
      <c r="I180" s="693"/>
      <c r="J180" s="693"/>
      <c r="K180" s="711"/>
      <c r="L180" s="693"/>
      <c r="M180" s="763"/>
      <c r="N180" s="743"/>
      <c r="O180" s="387"/>
      <c r="P180" s="382"/>
      <c r="Q180" s="387"/>
      <c r="R180" s="384"/>
      <c r="S180" s="46"/>
      <c r="T180" s="391"/>
      <c r="U180" s="273"/>
      <c r="V180" s="274"/>
      <c r="W180" s="391">
        <v>3460</v>
      </c>
      <c r="X180" s="273" t="s">
        <v>2884</v>
      </c>
      <c r="Y180" s="275">
        <v>879780</v>
      </c>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row>
    <row r="181" spans="1:130" s="50" customFormat="1" ht="15" x14ac:dyDescent="0.25">
      <c r="A181" s="693"/>
      <c r="B181" s="767"/>
      <c r="C181" s="690"/>
      <c r="D181" s="693"/>
      <c r="E181" s="690"/>
      <c r="F181" s="711"/>
      <c r="G181" s="735"/>
      <c r="H181" s="735"/>
      <c r="I181" s="693"/>
      <c r="J181" s="693"/>
      <c r="K181" s="711"/>
      <c r="L181" s="693"/>
      <c r="M181" s="763"/>
      <c r="N181" s="743"/>
      <c r="O181" s="387"/>
      <c r="P181" s="382"/>
      <c r="Q181" s="387"/>
      <c r="R181" s="384"/>
      <c r="S181" s="46"/>
      <c r="T181" s="391"/>
      <c r="U181" s="273"/>
      <c r="V181" s="274"/>
      <c r="W181" s="391">
        <v>3461</v>
      </c>
      <c r="X181" s="273" t="s">
        <v>2884</v>
      </c>
      <c r="Y181" s="275">
        <v>280894</v>
      </c>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row>
    <row r="182" spans="1:130" s="50" customFormat="1" ht="15" x14ac:dyDescent="0.25">
      <c r="A182" s="693"/>
      <c r="B182" s="767"/>
      <c r="C182" s="690"/>
      <c r="D182" s="693"/>
      <c r="E182" s="690"/>
      <c r="F182" s="711"/>
      <c r="G182" s="735"/>
      <c r="H182" s="735"/>
      <c r="I182" s="693"/>
      <c r="J182" s="693"/>
      <c r="K182" s="711"/>
      <c r="L182" s="693"/>
      <c r="M182" s="763"/>
      <c r="N182" s="743"/>
      <c r="O182" s="387"/>
      <c r="P182" s="382"/>
      <c r="Q182" s="387"/>
      <c r="R182" s="384"/>
      <c r="S182" s="46"/>
      <c r="T182" s="391"/>
      <c r="U182" s="273"/>
      <c r="V182" s="274"/>
      <c r="W182" s="391">
        <v>3464</v>
      </c>
      <c r="X182" s="273" t="s">
        <v>2885</v>
      </c>
      <c r="Y182" s="275">
        <v>863881</v>
      </c>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row>
    <row r="183" spans="1:130" s="50" customFormat="1" ht="15" x14ac:dyDescent="0.25">
      <c r="A183" s="693"/>
      <c r="B183" s="767"/>
      <c r="C183" s="690"/>
      <c r="D183" s="693"/>
      <c r="E183" s="690"/>
      <c r="F183" s="711"/>
      <c r="G183" s="735"/>
      <c r="H183" s="735"/>
      <c r="I183" s="693"/>
      <c r="J183" s="693"/>
      <c r="K183" s="711"/>
      <c r="L183" s="693"/>
      <c r="M183" s="763"/>
      <c r="N183" s="743"/>
      <c r="O183" s="387"/>
      <c r="P183" s="382"/>
      <c r="Q183" s="387"/>
      <c r="R183" s="384"/>
      <c r="S183" s="46"/>
      <c r="T183" s="391"/>
      <c r="U183" s="273"/>
      <c r="V183" s="274"/>
      <c r="W183" s="391">
        <v>3909</v>
      </c>
      <c r="X183" s="273" t="s">
        <v>2886</v>
      </c>
      <c r="Y183" s="275">
        <v>462385</v>
      </c>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row>
    <row r="184" spans="1:130" s="50" customFormat="1" ht="15" x14ac:dyDescent="0.25">
      <c r="A184" s="693"/>
      <c r="B184" s="767"/>
      <c r="C184" s="690"/>
      <c r="D184" s="693"/>
      <c r="E184" s="690"/>
      <c r="F184" s="711"/>
      <c r="G184" s="735"/>
      <c r="H184" s="735"/>
      <c r="I184" s="693"/>
      <c r="J184" s="693"/>
      <c r="K184" s="711"/>
      <c r="L184" s="693"/>
      <c r="M184" s="763"/>
      <c r="N184" s="743"/>
      <c r="O184" s="387"/>
      <c r="P184" s="382"/>
      <c r="Q184" s="387"/>
      <c r="R184" s="384"/>
      <c r="S184" s="46"/>
      <c r="T184" s="391"/>
      <c r="U184" s="273"/>
      <c r="V184" s="274"/>
      <c r="W184" s="391">
        <v>4849</v>
      </c>
      <c r="X184" s="273" t="s">
        <v>2844</v>
      </c>
      <c r="Y184" s="275">
        <v>598887</v>
      </c>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row>
    <row r="185" spans="1:130" s="50" customFormat="1" ht="15" x14ac:dyDescent="0.25">
      <c r="A185" s="693"/>
      <c r="B185" s="767"/>
      <c r="C185" s="690"/>
      <c r="D185" s="694"/>
      <c r="E185" s="691"/>
      <c r="F185" s="712"/>
      <c r="G185" s="729"/>
      <c r="H185" s="729"/>
      <c r="I185" s="694"/>
      <c r="J185" s="694"/>
      <c r="K185" s="712"/>
      <c r="L185" s="694"/>
      <c r="M185" s="759"/>
      <c r="N185" s="743"/>
      <c r="O185" s="387"/>
      <c r="P185" s="382"/>
      <c r="Q185" s="387"/>
      <c r="R185" s="384"/>
      <c r="S185" s="46"/>
      <c r="T185" s="391"/>
      <c r="U185" s="273"/>
      <c r="V185" s="274"/>
      <c r="W185" s="391">
        <v>5197</v>
      </c>
      <c r="X185" s="273" t="s">
        <v>2856</v>
      </c>
      <c r="Y185" s="275">
        <v>315759</v>
      </c>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row>
    <row r="186" spans="1:130" s="50" customFormat="1" ht="15" x14ac:dyDescent="0.25">
      <c r="A186" s="693"/>
      <c r="B186" s="767"/>
      <c r="C186" s="690"/>
      <c r="D186" s="692" t="s">
        <v>820</v>
      </c>
      <c r="E186" s="689" t="s">
        <v>136</v>
      </c>
      <c r="F186" s="710">
        <v>18168662</v>
      </c>
      <c r="G186" s="728">
        <v>0</v>
      </c>
      <c r="H186" s="728"/>
      <c r="I186" s="692"/>
      <c r="J186" s="692"/>
      <c r="K186" s="710">
        <v>1300000</v>
      </c>
      <c r="L186" s="692"/>
      <c r="M186" s="818">
        <f>+F186+G186+I186+H186+J186+K186-L186</f>
        <v>19468662</v>
      </c>
      <c r="N186" s="743"/>
      <c r="O186" s="256" t="s">
        <v>333</v>
      </c>
      <c r="P186" s="482">
        <v>8</v>
      </c>
      <c r="Q186" s="256" t="s">
        <v>399</v>
      </c>
      <c r="R186" s="275">
        <v>8852015</v>
      </c>
      <c r="S186" s="46"/>
      <c r="T186" s="38">
        <v>32</v>
      </c>
      <c r="U186" s="122">
        <v>44605</v>
      </c>
      <c r="V186" s="275">
        <v>8852015</v>
      </c>
      <c r="W186" s="38">
        <v>151</v>
      </c>
      <c r="X186" s="122" t="s">
        <v>852</v>
      </c>
      <c r="Y186" s="275">
        <v>529874</v>
      </c>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row>
    <row r="187" spans="1:130" s="50" customFormat="1" ht="15" x14ac:dyDescent="0.25">
      <c r="A187" s="693"/>
      <c r="B187" s="767"/>
      <c r="C187" s="690"/>
      <c r="D187" s="693"/>
      <c r="E187" s="690"/>
      <c r="F187" s="711"/>
      <c r="G187" s="735"/>
      <c r="H187" s="735"/>
      <c r="I187" s="693"/>
      <c r="J187" s="693"/>
      <c r="K187" s="711"/>
      <c r="L187" s="693"/>
      <c r="M187" s="819"/>
      <c r="N187" s="743"/>
      <c r="O187" s="261" t="s">
        <v>1448</v>
      </c>
      <c r="P187" s="483" t="s">
        <v>1449</v>
      </c>
      <c r="Q187" s="261" t="s">
        <v>1450</v>
      </c>
      <c r="R187" s="274">
        <v>9582858</v>
      </c>
      <c r="S187" s="46"/>
      <c r="T187" s="38"/>
      <c r="U187" s="122"/>
      <c r="V187" s="66"/>
      <c r="W187" s="38">
        <v>152</v>
      </c>
      <c r="X187" s="122" t="s">
        <v>852</v>
      </c>
      <c r="Y187" s="275">
        <v>904944</v>
      </c>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row>
    <row r="188" spans="1:130" s="50" customFormat="1" ht="15" x14ac:dyDescent="0.25">
      <c r="A188" s="693"/>
      <c r="B188" s="767"/>
      <c r="C188" s="690"/>
      <c r="D188" s="693"/>
      <c r="E188" s="690"/>
      <c r="F188" s="711"/>
      <c r="G188" s="735"/>
      <c r="H188" s="735"/>
      <c r="I188" s="693"/>
      <c r="J188" s="693"/>
      <c r="K188" s="711"/>
      <c r="L188" s="693"/>
      <c r="M188" s="819"/>
      <c r="N188" s="743"/>
      <c r="O188" s="257"/>
      <c r="P188" s="255"/>
      <c r="Q188" s="257"/>
      <c r="R188" s="260"/>
      <c r="S188" s="46"/>
      <c r="T188" s="38"/>
      <c r="U188" s="122"/>
      <c r="V188" s="66"/>
      <c r="W188" s="38">
        <v>182</v>
      </c>
      <c r="X188" s="122" t="s">
        <v>852</v>
      </c>
      <c r="Y188" s="275">
        <v>696992</v>
      </c>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row>
    <row r="189" spans="1:130" s="50" customFormat="1" ht="15" x14ac:dyDescent="0.25">
      <c r="A189" s="693"/>
      <c r="B189" s="767"/>
      <c r="C189" s="690"/>
      <c r="D189" s="693"/>
      <c r="E189" s="690"/>
      <c r="F189" s="711"/>
      <c r="G189" s="735"/>
      <c r="H189" s="735"/>
      <c r="I189" s="693"/>
      <c r="J189" s="693"/>
      <c r="K189" s="711"/>
      <c r="L189" s="693"/>
      <c r="M189" s="819"/>
      <c r="N189" s="743"/>
      <c r="O189" s="257"/>
      <c r="P189" s="255"/>
      <c r="Q189" s="257"/>
      <c r="R189" s="260"/>
      <c r="S189" s="46"/>
      <c r="T189" s="38"/>
      <c r="U189" s="122"/>
      <c r="V189" s="66"/>
      <c r="W189" s="38">
        <v>183</v>
      </c>
      <c r="X189" s="122" t="s">
        <v>852</v>
      </c>
      <c r="Y189" s="275">
        <v>858079</v>
      </c>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row>
    <row r="190" spans="1:130" s="50" customFormat="1" ht="15" x14ac:dyDescent="0.25">
      <c r="A190" s="693"/>
      <c r="B190" s="767"/>
      <c r="C190" s="690"/>
      <c r="D190" s="693"/>
      <c r="E190" s="690"/>
      <c r="F190" s="711"/>
      <c r="G190" s="735"/>
      <c r="H190" s="735"/>
      <c r="I190" s="693"/>
      <c r="J190" s="693"/>
      <c r="K190" s="711"/>
      <c r="L190" s="693"/>
      <c r="M190" s="819"/>
      <c r="N190" s="743"/>
      <c r="O190" s="257"/>
      <c r="P190" s="255"/>
      <c r="Q190" s="257"/>
      <c r="R190" s="260"/>
      <c r="S190" s="46"/>
      <c r="T190" s="38"/>
      <c r="U190" s="122"/>
      <c r="V190" s="66"/>
      <c r="W190" s="38">
        <v>187</v>
      </c>
      <c r="X190" s="122" t="s">
        <v>853</v>
      </c>
      <c r="Y190" s="275">
        <v>858079</v>
      </c>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row>
    <row r="191" spans="1:130" s="50" customFormat="1" ht="15" x14ac:dyDescent="0.25">
      <c r="A191" s="693"/>
      <c r="B191" s="767"/>
      <c r="C191" s="690"/>
      <c r="D191" s="693"/>
      <c r="E191" s="690"/>
      <c r="F191" s="711"/>
      <c r="G191" s="735"/>
      <c r="H191" s="735"/>
      <c r="I191" s="693"/>
      <c r="J191" s="693"/>
      <c r="K191" s="711"/>
      <c r="L191" s="693"/>
      <c r="M191" s="819"/>
      <c r="N191" s="743"/>
      <c r="O191" s="257"/>
      <c r="P191" s="255"/>
      <c r="Q191" s="257"/>
      <c r="R191" s="260"/>
      <c r="S191" s="46"/>
      <c r="T191" s="38"/>
      <c r="U191" s="122"/>
      <c r="V191" s="66"/>
      <c r="W191" s="38">
        <v>208</v>
      </c>
      <c r="X191" s="122" t="s">
        <v>853</v>
      </c>
      <c r="Y191" s="275">
        <v>963843</v>
      </c>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row>
    <row r="192" spans="1:130" s="50" customFormat="1" ht="15" x14ac:dyDescent="0.25">
      <c r="A192" s="693"/>
      <c r="B192" s="767"/>
      <c r="C192" s="690"/>
      <c r="D192" s="693"/>
      <c r="E192" s="690"/>
      <c r="F192" s="711"/>
      <c r="G192" s="735"/>
      <c r="H192" s="735"/>
      <c r="I192" s="693"/>
      <c r="J192" s="693"/>
      <c r="K192" s="711"/>
      <c r="L192" s="693"/>
      <c r="M192" s="819"/>
      <c r="N192" s="743"/>
      <c r="O192" s="257"/>
      <c r="P192" s="255"/>
      <c r="Q192" s="257"/>
      <c r="R192" s="260"/>
      <c r="S192" s="46"/>
      <c r="T192" s="38"/>
      <c r="U192" s="122"/>
      <c r="V192" s="66"/>
      <c r="W192" s="38">
        <v>209</v>
      </c>
      <c r="X192" s="122" t="s">
        <v>853</v>
      </c>
      <c r="Y192" s="275">
        <v>858079</v>
      </c>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row>
    <row r="193" spans="1:130" s="50" customFormat="1" ht="15" x14ac:dyDescent="0.25">
      <c r="A193" s="693"/>
      <c r="B193" s="767"/>
      <c r="C193" s="690"/>
      <c r="D193" s="693"/>
      <c r="E193" s="690"/>
      <c r="F193" s="711"/>
      <c r="G193" s="735"/>
      <c r="H193" s="735"/>
      <c r="I193" s="693"/>
      <c r="J193" s="693"/>
      <c r="K193" s="711"/>
      <c r="L193" s="693"/>
      <c r="M193" s="819"/>
      <c r="N193" s="743"/>
      <c r="O193" s="257"/>
      <c r="P193" s="255"/>
      <c r="Q193" s="257"/>
      <c r="R193" s="260"/>
      <c r="S193" s="46"/>
      <c r="T193" s="38"/>
      <c r="U193" s="122"/>
      <c r="V193" s="66"/>
      <c r="W193" s="38">
        <v>273</v>
      </c>
      <c r="X193" s="122" t="s">
        <v>854</v>
      </c>
      <c r="Y193" s="275">
        <v>840563</v>
      </c>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row>
    <row r="194" spans="1:130" s="50" customFormat="1" ht="15" x14ac:dyDescent="0.25">
      <c r="A194" s="693"/>
      <c r="B194" s="767"/>
      <c r="C194" s="690"/>
      <c r="D194" s="693"/>
      <c r="E194" s="690"/>
      <c r="F194" s="711"/>
      <c r="G194" s="735"/>
      <c r="H194" s="735"/>
      <c r="I194" s="693"/>
      <c r="J194" s="693"/>
      <c r="K194" s="711"/>
      <c r="L194" s="693"/>
      <c r="M194" s="819"/>
      <c r="N194" s="743"/>
      <c r="O194" s="257"/>
      <c r="P194" s="255"/>
      <c r="Q194" s="816"/>
      <c r="R194" s="260"/>
      <c r="S194" s="46"/>
      <c r="T194" s="38"/>
      <c r="U194" s="122"/>
      <c r="V194" s="66"/>
      <c r="W194" s="38">
        <v>308</v>
      </c>
      <c r="X194" s="122" t="s">
        <v>855</v>
      </c>
      <c r="Y194" s="275">
        <v>823078</v>
      </c>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row>
    <row r="195" spans="1:130" s="50" customFormat="1" ht="15" x14ac:dyDescent="0.25">
      <c r="A195" s="693"/>
      <c r="B195" s="767"/>
      <c r="C195" s="690"/>
      <c r="D195" s="693"/>
      <c r="E195" s="690"/>
      <c r="F195" s="711"/>
      <c r="G195" s="735"/>
      <c r="H195" s="735"/>
      <c r="I195" s="693"/>
      <c r="J195" s="693"/>
      <c r="K195" s="711"/>
      <c r="L195" s="693"/>
      <c r="M195" s="819"/>
      <c r="N195" s="743"/>
      <c r="O195" s="816"/>
      <c r="P195" s="693"/>
      <c r="Q195" s="816"/>
      <c r="R195" s="735"/>
      <c r="S195" s="46"/>
      <c r="T195" s="38"/>
      <c r="U195" s="122"/>
      <c r="V195" s="66"/>
      <c r="W195" s="38">
        <v>974</v>
      </c>
      <c r="X195" s="122" t="s">
        <v>856</v>
      </c>
      <c r="Y195" s="275">
        <v>759242</v>
      </c>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row>
    <row r="196" spans="1:130" s="50" customFormat="1" ht="15" x14ac:dyDescent="0.25">
      <c r="A196" s="693"/>
      <c r="B196" s="767"/>
      <c r="C196" s="690"/>
      <c r="D196" s="693"/>
      <c r="E196" s="690"/>
      <c r="F196" s="711"/>
      <c r="G196" s="735"/>
      <c r="H196" s="735"/>
      <c r="I196" s="693"/>
      <c r="J196" s="693"/>
      <c r="K196" s="711"/>
      <c r="L196" s="693"/>
      <c r="M196" s="819"/>
      <c r="N196" s="743"/>
      <c r="O196" s="816"/>
      <c r="P196" s="693"/>
      <c r="Q196" s="816"/>
      <c r="R196" s="735"/>
      <c r="S196" s="46"/>
      <c r="T196" s="38"/>
      <c r="U196" s="122"/>
      <c r="V196" s="66"/>
      <c r="W196" s="38">
        <v>1053</v>
      </c>
      <c r="X196" s="122" t="s">
        <v>856</v>
      </c>
      <c r="Y196" s="275">
        <v>759242</v>
      </c>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row>
    <row r="197" spans="1:130" s="50" customFormat="1" ht="15" x14ac:dyDescent="0.25">
      <c r="A197" s="693"/>
      <c r="B197" s="767"/>
      <c r="C197" s="690"/>
      <c r="D197" s="693"/>
      <c r="E197" s="690"/>
      <c r="F197" s="711"/>
      <c r="G197" s="735"/>
      <c r="H197" s="735"/>
      <c r="I197" s="693"/>
      <c r="J197" s="693"/>
      <c r="K197" s="711"/>
      <c r="L197" s="693"/>
      <c r="M197" s="819"/>
      <c r="N197" s="743"/>
      <c r="O197" s="817"/>
      <c r="P197" s="694"/>
      <c r="Q197" s="817"/>
      <c r="R197" s="729"/>
      <c r="S197" s="46"/>
      <c r="T197" s="286">
        <v>772</v>
      </c>
      <c r="U197" s="273">
        <v>44742</v>
      </c>
      <c r="V197" s="274">
        <v>9582858</v>
      </c>
      <c r="W197" s="286">
        <v>3445</v>
      </c>
      <c r="X197" s="273" t="s">
        <v>2879</v>
      </c>
      <c r="Y197" s="275">
        <v>792504</v>
      </c>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row>
    <row r="198" spans="1:130" s="50" customFormat="1" ht="15" x14ac:dyDescent="0.25">
      <c r="A198" s="693"/>
      <c r="B198" s="767"/>
      <c r="C198" s="690"/>
      <c r="D198" s="693"/>
      <c r="E198" s="690"/>
      <c r="F198" s="711"/>
      <c r="G198" s="735"/>
      <c r="H198" s="735"/>
      <c r="I198" s="693"/>
      <c r="J198" s="693"/>
      <c r="K198" s="711"/>
      <c r="L198" s="693"/>
      <c r="M198" s="819"/>
      <c r="N198" s="743"/>
      <c r="O198" s="387"/>
      <c r="P198" s="382"/>
      <c r="Q198" s="387"/>
      <c r="R198" s="384"/>
      <c r="S198" s="46"/>
      <c r="T198" s="391"/>
      <c r="U198" s="273"/>
      <c r="V198" s="274"/>
      <c r="W198" s="391">
        <v>3446</v>
      </c>
      <c r="X198" s="273" t="s">
        <v>2879</v>
      </c>
      <c r="Y198" s="275">
        <v>934349</v>
      </c>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row>
    <row r="199" spans="1:130" s="50" customFormat="1" ht="15" x14ac:dyDescent="0.25">
      <c r="A199" s="693"/>
      <c r="B199" s="767"/>
      <c r="C199" s="690"/>
      <c r="D199" s="693"/>
      <c r="E199" s="690"/>
      <c r="F199" s="711"/>
      <c r="G199" s="735"/>
      <c r="H199" s="735"/>
      <c r="I199" s="693"/>
      <c r="J199" s="693"/>
      <c r="K199" s="711"/>
      <c r="L199" s="693"/>
      <c r="M199" s="819"/>
      <c r="N199" s="743"/>
      <c r="O199" s="387"/>
      <c r="P199" s="382"/>
      <c r="Q199" s="387"/>
      <c r="R199" s="384"/>
      <c r="S199" s="46"/>
      <c r="T199" s="391"/>
      <c r="U199" s="273"/>
      <c r="V199" s="274"/>
      <c r="W199" s="391">
        <v>3447</v>
      </c>
      <c r="X199" s="273" t="s">
        <v>2879</v>
      </c>
      <c r="Y199" s="275">
        <v>1064783</v>
      </c>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row>
    <row r="200" spans="1:130" s="50" customFormat="1" ht="15" x14ac:dyDescent="0.25">
      <c r="A200" s="693"/>
      <c r="B200" s="767"/>
      <c r="C200" s="690"/>
      <c r="D200" s="693"/>
      <c r="E200" s="690"/>
      <c r="F200" s="711"/>
      <c r="G200" s="735"/>
      <c r="H200" s="735"/>
      <c r="I200" s="693"/>
      <c r="J200" s="693"/>
      <c r="K200" s="711"/>
      <c r="L200" s="693"/>
      <c r="M200" s="819"/>
      <c r="N200" s="743"/>
      <c r="O200" s="387"/>
      <c r="P200" s="382"/>
      <c r="Q200" s="387"/>
      <c r="R200" s="384"/>
      <c r="S200" s="46"/>
      <c r="T200" s="391"/>
      <c r="U200" s="273"/>
      <c r="V200" s="274"/>
      <c r="W200" s="391">
        <v>3448</v>
      </c>
      <c r="X200" s="273" t="s">
        <v>2879</v>
      </c>
      <c r="Y200" s="275">
        <v>934349</v>
      </c>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row>
    <row r="201" spans="1:130" s="50" customFormat="1" ht="15" x14ac:dyDescent="0.25">
      <c r="A201" s="693"/>
      <c r="B201" s="767"/>
      <c r="C201" s="690"/>
      <c r="D201" s="693"/>
      <c r="E201" s="690"/>
      <c r="F201" s="711"/>
      <c r="G201" s="735"/>
      <c r="H201" s="735"/>
      <c r="I201" s="693"/>
      <c r="J201" s="693"/>
      <c r="K201" s="711"/>
      <c r="L201" s="693"/>
      <c r="M201" s="819"/>
      <c r="N201" s="743"/>
      <c r="O201" s="387"/>
      <c r="P201" s="382"/>
      <c r="Q201" s="387"/>
      <c r="R201" s="384"/>
      <c r="S201" s="46"/>
      <c r="T201" s="391"/>
      <c r="U201" s="273"/>
      <c r="V201" s="274"/>
      <c r="W201" s="391">
        <v>3449</v>
      </c>
      <c r="X201" s="273" t="s">
        <v>2879</v>
      </c>
      <c r="Y201" s="275">
        <v>934349</v>
      </c>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row>
    <row r="202" spans="1:130" s="50" customFormat="1" ht="15" x14ac:dyDescent="0.25">
      <c r="A202" s="693"/>
      <c r="B202" s="767"/>
      <c r="C202" s="690"/>
      <c r="D202" s="693"/>
      <c r="E202" s="690"/>
      <c r="F202" s="711"/>
      <c r="G202" s="735"/>
      <c r="H202" s="735"/>
      <c r="I202" s="693"/>
      <c r="J202" s="693"/>
      <c r="K202" s="711"/>
      <c r="L202" s="693"/>
      <c r="M202" s="819"/>
      <c r="N202" s="743"/>
      <c r="O202" s="387"/>
      <c r="P202" s="382"/>
      <c r="Q202" s="387"/>
      <c r="R202" s="384"/>
      <c r="S202" s="46"/>
      <c r="T202" s="391"/>
      <c r="U202" s="273"/>
      <c r="V202" s="274"/>
      <c r="W202" s="391">
        <v>3450</v>
      </c>
      <c r="X202" s="273" t="s">
        <v>2879</v>
      </c>
      <c r="Y202" s="275">
        <v>975665</v>
      </c>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row>
    <row r="203" spans="1:130" s="50" customFormat="1" ht="15" x14ac:dyDescent="0.25">
      <c r="A203" s="693"/>
      <c r="B203" s="767"/>
      <c r="C203" s="690"/>
      <c r="D203" s="693"/>
      <c r="E203" s="690"/>
      <c r="F203" s="711"/>
      <c r="G203" s="735"/>
      <c r="H203" s="735"/>
      <c r="I203" s="693"/>
      <c r="J203" s="693"/>
      <c r="K203" s="711"/>
      <c r="L203" s="693"/>
      <c r="M203" s="819"/>
      <c r="N203" s="743"/>
      <c r="O203" s="387"/>
      <c r="P203" s="382"/>
      <c r="Q203" s="387"/>
      <c r="R203" s="384"/>
      <c r="S203" s="46"/>
      <c r="T203" s="391"/>
      <c r="U203" s="273"/>
      <c r="V203" s="274"/>
      <c r="W203" s="391">
        <v>3459</v>
      </c>
      <c r="X203" s="273" t="s">
        <v>2884</v>
      </c>
      <c r="Y203" s="275">
        <v>390749</v>
      </c>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row>
    <row r="204" spans="1:130" s="50" customFormat="1" ht="15" x14ac:dyDescent="0.25">
      <c r="A204" s="693"/>
      <c r="B204" s="767"/>
      <c r="C204" s="690"/>
      <c r="D204" s="693"/>
      <c r="E204" s="690"/>
      <c r="F204" s="711"/>
      <c r="G204" s="735"/>
      <c r="H204" s="735"/>
      <c r="I204" s="693"/>
      <c r="J204" s="693"/>
      <c r="K204" s="711"/>
      <c r="L204" s="693"/>
      <c r="M204" s="819"/>
      <c r="N204" s="743"/>
      <c r="O204" s="387"/>
      <c r="P204" s="382"/>
      <c r="Q204" s="387"/>
      <c r="R204" s="384"/>
      <c r="S204" s="46"/>
      <c r="T204" s="391"/>
      <c r="U204" s="273"/>
      <c r="V204" s="274"/>
      <c r="W204" s="391">
        <v>3460</v>
      </c>
      <c r="X204" s="273" t="s">
        <v>2884</v>
      </c>
      <c r="Y204" s="275">
        <v>928461</v>
      </c>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row>
    <row r="205" spans="1:130" s="50" customFormat="1" ht="15" x14ac:dyDescent="0.25">
      <c r="A205" s="693"/>
      <c r="B205" s="767"/>
      <c r="C205" s="690"/>
      <c r="D205" s="693"/>
      <c r="E205" s="690"/>
      <c r="F205" s="711"/>
      <c r="G205" s="735"/>
      <c r="H205" s="735"/>
      <c r="I205" s="693"/>
      <c r="J205" s="693"/>
      <c r="K205" s="711"/>
      <c r="L205" s="693"/>
      <c r="M205" s="819"/>
      <c r="N205" s="743"/>
      <c r="O205" s="387"/>
      <c r="P205" s="382"/>
      <c r="Q205" s="387"/>
      <c r="R205" s="384"/>
      <c r="S205" s="46"/>
      <c r="T205" s="391"/>
      <c r="U205" s="273"/>
      <c r="V205" s="274"/>
      <c r="W205" s="391">
        <v>3461</v>
      </c>
      <c r="X205" s="273" t="s">
        <v>2884</v>
      </c>
      <c r="Y205" s="275">
        <v>285856</v>
      </c>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row>
    <row r="206" spans="1:130" s="50" customFormat="1" ht="15" x14ac:dyDescent="0.25">
      <c r="A206" s="693"/>
      <c r="B206" s="767"/>
      <c r="C206" s="690"/>
      <c r="D206" s="693"/>
      <c r="E206" s="690"/>
      <c r="F206" s="711"/>
      <c r="G206" s="735"/>
      <c r="H206" s="735"/>
      <c r="I206" s="693"/>
      <c r="J206" s="693"/>
      <c r="K206" s="711"/>
      <c r="L206" s="693"/>
      <c r="M206" s="819"/>
      <c r="N206" s="743"/>
      <c r="O206" s="387"/>
      <c r="P206" s="382"/>
      <c r="Q206" s="387"/>
      <c r="R206" s="384"/>
      <c r="S206" s="46"/>
      <c r="T206" s="391"/>
      <c r="U206" s="273"/>
      <c r="V206" s="274"/>
      <c r="W206" s="391">
        <v>3464</v>
      </c>
      <c r="X206" s="273" t="s">
        <v>2885</v>
      </c>
      <c r="Y206" s="275">
        <v>910819</v>
      </c>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row>
    <row r="207" spans="1:130" s="50" customFormat="1" ht="15" x14ac:dyDescent="0.25">
      <c r="A207" s="693"/>
      <c r="B207" s="767"/>
      <c r="C207" s="690"/>
      <c r="D207" s="693"/>
      <c r="E207" s="690"/>
      <c r="F207" s="711"/>
      <c r="G207" s="735"/>
      <c r="H207" s="735"/>
      <c r="I207" s="693"/>
      <c r="J207" s="693"/>
      <c r="K207" s="711"/>
      <c r="L207" s="693"/>
      <c r="M207" s="819"/>
      <c r="N207" s="743"/>
      <c r="O207" s="387"/>
      <c r="P207" s="382"/>
      <c r="Q207" s="387"/>
      <c r="R207" s="384"/>
      <c r="S207" s="46"/>
      <c r="T207" s="391"/>
      <c r="U207" s="273"/>
      <c r="V207" s="274"/>
      <c r="W207" s="391">
        <v>3909</v>
      </c>
      <c r="X207" s="273" t="s">
        <v>2886</v>
      </c>
      <c r="Y207" s="275">
        <v>485350</v>
      </c>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row>
    <row r="208" spans="1:130" s="50" customFormat="1" ht="15" x14ac:dyDescent="0.25">
      <c r="A208" s="693"/>
      <c r="B208" s="767"/>
      <c r="C208" s="690"/>
      <c r="D208" s="693"/>
      <c r="E208" s="690"/>
      <c r="F208" s="711"/>
      <c r="G208" s="735"/>
      <c r="H208" s="735"/>
      <c r="I208" s="693"/>
      <c r="J208" s="693"/>
      <c r="K208" s="711"/>
      <c r="L208" s="693"/>
      <c r="M208" s="819"/>
      <c r="N208" s="743"/>
      <c r="O208" s="387"/>
      <c r="P208" s="382"/>
      <c r="Q208" s="387"/>
      <c r="R208" s="384"/>
      <c r="S208" s="46"/>
      <c r="T208" s="391"/>
      <c r="U208" s="273"/>
      <c r="V208" s="274"/>
      <c r="W208" s="391">
        <v>4849</v>
      </c>
      <c r="X208" s="273" t="s">
        <v>2844</v>
      </c>
      <c r="Y208" s="275">
        <v>621445</v>
      </c>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row>
    <row r="209" spans="1:130" s="50" customFormat="1" ht="15" x14ac:dyDescent="0.25">
      <c r="A209" s="693"/>
      <c r="B209" s="767"/>
      <c r="C209" s="690"/>
      <c r="D209" s="693"/>
      <c r="E209" s="690"/>
      <c r="F209" s="711"/>
      <c r="G209" s="735"/>
      <c r="H209" s="735"/>
      <c r="I209" s="693"/>
      <c r="J209" s="693"/>
      <c r="K209" s="711"/>
      <c r="L209" s="693"/>
      <c r="M209" s="819"/>
      <c r="N209" s="743"/>
      <c r="O209" s="387"/>
      <c r="P209" s="382"/>
      <c r="Q209" s="387"/>
      <c r="R209" s="384"/>
      <c r="S209" s="46"/>
      <c r="T209" s="391"/>
      <c r="U209" s="273"/>
      <c r="V209" s="274"/>
      <c r="W209" s="391">
        <v>5197</v>
      </c>
      <c r="X209" s="273" t="s">
        <v>2856</v>
      </c>
      <c r="Y209" s="275">
        <v>324179</v>
      </c>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row>
    <row r="210" spans="1:130" s="50" customFormat="1" ht="15" x14ac:dyDescent="0.25">
      <c r="A210" s="693"/>
      <c r="B210" s="767"/>
      <c r="C210" s="690"/>
      <c r="D210" s="693"/>
      <c r="E210" s="690"/>
      <c r="F210" s="711"/>
      <c r="G210" s="735"/>
      <c r="H210" s="735"/>
      <c r="I210" s="693"/>
      <c r="J210" s="693"/>
      <c r="K210" s="711"/>
      <c r="L210" s="693"/>
      <c r="M210" s="819"/>
      <c r="N210" s="743"/>
      <c r="O210" s="387"/>
      <c r="P210" s="382"/>
      <c r="Q210" s="387"/>
      <c r="R210" s="384"/>
      <c r="S210" s="46"/>
      <c r="T210" s="391"/>
      <c r="U210" s="273"/>
      <c r="V210" s="274"/>
      <c r="W210" s="391"/>
      <c r="X210" s="273"/>
      <c r="Y210" s="275"/>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row>
    <row r="211" spans="1:130" s="50" customFormat="1" ht="15" x14ac:dyDescent="0.25">
      <c r="A211" s="693"/>
      <c r="B211" s="767"/>
      <c r="C211" s="690"/>
      <c r="D211" s="693"/>
      <c r="E211" s="690"/>
      <c r="F211" s="711"/>
      <c r="G211" s="735"/>
      <c r="H211" s="735"/>
      <c r="I211" s="693"/>
      <c r="J211" s="693"/>
      <c r="K211" s="711"/>
      <c r="L211" s="693"/>
      <c r="M211" s="819"/>
      <c r="N211" s="743"/>
      <c r="O211" s="387"/>
      <c r="P211" s="382"/>
      <c r="Q211" s="387"/>
      <c r="R211" s="384"/>
      <c r="S211" s="46"/>
      <c r="T211" s="391"/>
      <c r="U211" s="273"/>
      <c r="V211" s="274"/>
      <c r="W211" s="391"/>
      <c r="X211" s="273"/>
      <c r="Y211" s="275"/>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row>
    <row r="212" spans="1:130" s="50" customFormat="1" ht="15" x14ac:dyDescent="0.25">
      <c r="A212" s="693"/>
      <c r="B212" s="767"/>
      <c r="C212" s="690"/>
      <c r="D212" s="694"/>
      <c r="E212" s="691"/>
      <c r="F212" s="712"/>
      <c r="G212" s="729"/>
      <c r="H212" s="729"/>
      <c r="I212" s="694"/>
      <c r="J212" s="694"/>
      <c r="K212" s="712"/>
      <c r="L212" s="694"/>
      <c r="M212" s="820"/>
      <c r="N212" s="743"/>
      <c r="O212" s="387"/>
      <c r="P212" s="382"/>
      <c r="Q212" s="387"/>
      <c r="R212" s="384"/>
      <c r="S212" s="46"/>
      <c r="T212" s="391"/>
      <c r="U212" s="273"/>
      <c r="V212" s="274"/>
      <c r="W212" s="391"/>
      <c r="X212" s="273"/>
      <c r="Y212" s="275"/>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row>
    <row r="213" spans="1:130" s="50" customFormat="1" ht="15" customHeight="1" x14ac:dyDescent="0.25">
      <c r="A213" s="693"/>
      <c r="B213" s="767"/>
      <c r="C213" s="690"/>
      <c r="D213" s="692" t="s">
        <v>821</v>
      </c>
      <c r="E213" s="689" t="s">
        <v>137</v>
      </c>
      <c r="F213" s="710">
        <v>8536243</v>
      </c>
      <c r="G213" s="728">
        <v>0</v>
      </c>
      <c r="H213" s="728"/>
      <c r="I213" s="692"/>
      <c r="J213" s="692"/>
      <c r="K213" s="710">
        <v>100000</v>
      </c>
      <c r="L213" s="692"/>
      <c r="M213" s="818">
        <f>+F213+G213+I213+H213+J213+K213-L213</f>
        <v>8636243</v>
      </c>
      <c r="N213" s="743"/>
      <c r="O213" s="256" t="s">
        <v>334</v>
      </c>
      <c r="P213" s="482">
        <v>9</v>
      </c>
      <c r="Q213" s="256" t="s">
        <v>508</v>
      </c>
      <c r="R213" s="274">
        <v>3936398</v>
      </c>
      <c r="S213" s="46"/>
      <c r="T213" s="38">
        <v>32</v>
      </c>
      <c r="U213" s="122">
        <v>44605</v>
      </c>
      <c r="V213" s="66">
        <v>3936398</v>
      </c>
      <c r="W213" s="38">
        <v>151</v>
      </c>
      <c r="X213" s="122" t="s">
        <v>852</v>
      </c>
      <c r="Y213" s="275">
        <v>225000</v>
      </c>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row>
    <row r="214" spans="1:130" s="50" customFormat="1" ht="15" x14ac:dyDescent="0.25">
      <c r="A214" s="693"/>
      <c r="B214" s="767"/>
      <c r="C214" s="690"/>
      <c r="D214" s="693"/>
      <c r="E214" s="690"/>
      <c r="F214" s="711"/>
      <c r="G214" s="735"/>
      <c r="H214" s="735"/>
      <c r="I214" s="693"/>
      <c r="J214" s="693"/>
      <c r="K214" s="711"/>
      <c r="L214" s="693"/>
      <c r="M214" s="819"/>
      <c r="N214" s="743"/>
      <c r="O214" s="257" t="s">
        <v>1454</v>
      </c>
      <c r="P214" s="488" t="s">
        <v>1455</v>
      </c>
      <c r="Q214" s="257" t="s">
        <v>1456</v>
      </c>
      <c r="R214" s="274">
        <v>4257205</v>
      </c>
      <c r="S214" s="46"/>
      <c r="T214" s="38"/>
      <c r="U214" s="122"/>
      <c r="V214" s="66"/>
      <c r="W214" s="38">
        <v>152</v>
      </c>
      <c r="X214" s="122" t="s">
        <v>852</v>
      </c>
      <c r="Y214" s="275">
        <v>402927</v>
      </c>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row>
    <row r="215" spans="1:130" s="50" customFormat="1" ht="15" x14ac:dyDescent="0.25">
      <c r="A215" s="693"/>
      <c r="B215" s="767"/>
      <c r="C215" s="690"/>
      <c r="D215" s="693"/>
      <c r="E215" s="690"/>
      <c r="F215" s="711"/>
      <c r="G215" s="735"/>
      <c r="H215" s="735"/>
      <c r="I215" s="693"/>
      <c r="J215" s="693"/>
      <c r="K215" s="711"/>
      <c r="L215" s="693"/>
      <c r="M215" s="819"/>
      <c r="N215" s="743"/>
      <c r="O215" s="257"/>
      <c r="P215" s="255"/>
      <c r="Q215" s="257"/>
      <c r="R215" s="260"/>
      <c r="S215" s="46"/>
      <c r="T215" s="38"/>
      <c r="U215" s="122"/>
      <c r="V215" s="66"/>
      <c r="W215" s="38">
        <v>182</v>
      </c>
      <c r="X215" s="122" t="s">
        <v>852</v>
      </c>
      <c r="Y215" s="275">
        <v>306418</v>
      </c>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row>
    <row r="216" spans="1:130" s="50" customFormat="1" ht="15" x14ac:dyDescent="0.25">
      <c r="A216" s="693"/>
      <c r="B216" s="767"/>
      <c r="C216" s="690"/>
      <c r="D216" s="693"/>
      <c r="E216" s="690"/>
      <c r="F216" s="711"/>
      <c r="G216" s="735"/>
      <c r="H216" s="735"/>
      <c r="I216" s="693"/>
      <c r="J216" s="693"/>
      <c r="K216" s="711"/>
      <c r="L216" s="693"/>
      <c r="M216" s="819"/>
      <c r="N216" s="743"/>
      <c r="O216" s="257"/>
      <c r="P216" s="255"/>
      <c r="Q216" s="257"/>
      <c r="R216" s="260"/>
      <c r="S216" s="46"/>
      <c r="T216" s="38"/>
      <c r="U216" s="122"/>
      <c r="V216" s="66"/>
      <c r="W216" s="38">
        <v>183</v>
      </c>
      <c r="X216" s="122" t="s">
        <v>852</v>
      </c>
      <c r="Y216" s="275">
        <v>383029</v>
      </c>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row>
    <row r="217" spans="1:130" s="50" customFormat="1" ht="15" x14ac:dyDescent="0.25">
      <c r="A217" s="693"/>
      <c r="B217" s="767"/>
      <c r="C217" s="690"/>
      <c r="D217" s="693"/>
      <c r="E217" s="690"/>
      <c r="F217" s="711"/>
      <c r="G217" s="735"/>
      <c r="H217" s="735"/>
      <c r="I217" s="693"/>
      <c r="J217" s="693"/>
      <c r="K217" s="711"/>
      <c r="L217" s="693"/>
      <c r="M217" s="819"/>
      <c r="N217" s="743"/>
      <c r="O217" s="257"/>
      <c r="P217" s="693"/>
      <c r="Q217" s="257"/>
      <c r="R217" s="260"/>
      <c r="S217" s="46"/>
      <c r="T217" s="38"/>
      <c r="U217" s="122"/>
      <c r="V217" s="66"/>
      <c r="W217" s="38">
        <v>187</v>
      </c>
      <c r="X217" s="122" t="s">
        <v>853</v>
      </c>
      <c r="Y217" s="275">
        <v>383029</v>
      </c>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row>
    <row r="218" spans="1:130" s="50" customFormat="1" ht="15" x14ac:dyDescent="0.25">
      <c r="A218" s="693"/>
      <c r="B218" s="767"/>
      <c r="C218" s="690"/>
      <c r="D218" s="693"/>
      <c r="E218" s="690"/>
      <c r="F218" s="711"/>
      <c r="G218" s="735"/>
      <c r="H218" s="735"/>
      <c r="I218" s="693"/>
      <c r="J218" s="693"/>
      <c r="K218" s="711"/>
      <c r="L218" s="693"/>
      <c r="M218" s="819"/>
      <c r="N218" s="743"/>
      <c r="O218" s="257"/>
      <c r="P218" s="693"/>
      <c r="Q218" s="257"/>
      <c r="R218" s="260"/>
      <c r="S218" s="46"/>
      <c r="T218" s="38"/>
      <c r="U218" s="122"/>
      <c r="V218" s="66"/>
      <c r="W218" s="38">
        <v>208</v>
      </c>
      <c r="X218" s="122" t="s">
        <v>853</v>
      </c>
      <c r="Y218" s="275">
        <v>427799</v>
      </c>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row>
    <row r="219" spans="1:130" s="50" customFormat="1" ht="15" x14ac:dyDescent="0.25">
      <c r="A219" s="693"/>
      <c r="B219" s="767"/>
      <c r="C219" s="690"/>
      <c r="D219" s="693"/>
      <c r="E219" s="690"/>
      <c r="F219" s="711"/>
      <c r="G219" s="735"/>
      <c r="H219" s="735"/>
      <c r="I219" s="693"/>
      <c r="J219" s="693"/>
      <c r="K219" s="711"/>
      <c r="L219" s="693"/>
      <c r="M219" s="819"/>
      <c r="N219" s="743"/>
      <c r="O219" s="257"/>
      <c r="P219" s="693"/>
      <c r="Q219" s="257"/>
      <c r="R219" s="260"/>
      <c r="S219" s="46"/>
      <c r="T219" s="38"/>
      <c r="U219" s="122"/>
      <c r="V219" s="66"/>
      <c r="W219" s="38">
        <v>209</v>
      </c>
      <c r="X219" s="122" t="s">
        <v>853</v>
      </c>
      <c r="Y219" s="275">
        <v>383029</v>
      </c>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row>
    <row r="220" spans="1:130" s="50" customFormat="1" ht="15" x14ac:dyDescent="0.25">
      <c r="A220" s="693"/>
      <c r="B220" s="767"/>
      <c r="C220" s="690"/>
      <c r="D220" s="693"/>
      <c r="E220" s="690"/>
      <c r="F220" s="711"/>
      <c r="G220" s="735"/>
      <c r="H220" s="735"/>
      <c r="I220" s="693"/>
      <c r="J220" s="693"/>
      <c r="K220" s="711"/>
      <c r="L220" s="693"/>
      <c r="M220" s="819"/>
      <c r="N220" s="743"/>
      <c r="O220" s="257"/>
      <c r="P220" s="693"/>
      <c r="Q220" s="816"/>
      <c r="R220" s="260"/>
      <c r="S220" s="46"/>
      <c r="T220" s="38"/>
      <c r="U220" s="122"/>
      <c r="V220" s="66"/>
      <c r="W220" s="38">
        <v>273</v>
      </c>
      <c r="X220" s="122" t="s">
        <v>854</v>
      </c>
      <c r="Y220" s="275">
        <v>375567</v>
      </c>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row>
    <row r="221" spans="1:130" s="50" customFormat="1" ht="15" x14ac:dyDescent="0.25">
      <c r="A221" s="693"/>
      <c r="B221" s="767"/>
      <c r="C221" s="690"/>
      <c r="D221" s="693"/>
      <c r="E221" s="690"/>
      <c r="F221" s="711"/>
      <c r="G221" s="735"/>
      <c r="H221" s="735"/>
      <c r="I221" s="693"/>
      <c r="J221" s="693"/>
      <c r="K221" s="711"/>
      <c r="L221" s="693"/>
      <c r="M221" s="819"/>
      <c r="N221" s="743"/>
      <c r="O221" s="257"/>
      <c r="P221" s="693"/>
      <c r="Q221" s="816"/>
      <c r="R221" s="260"/>
      <c r="S221" s="46"/>
      <c r="T221" s="38"/>
      <c r="U221" s="122"/>
      <c r="V221" s="66"/>
      <c r="W221" s="38">
        <v>308</v>
      </c>
      <c r="X221" s="122" t="s">
        <v>855</v>
      </c>
      <c r="Y221" s="275">
        <v>368106</v>
      </c>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row>
    <row r="222" spans="1:130" s="50" customFormat="1" ht="15" x14ac:dyDescent="0.25">
      <c r="A222" s="693"/>
      <c r="B222" s="767"/>
      <c r="C222" s="690"/>
      <c r="D222" s="693"/>
      <c r="E222" s="690"/>
      <c r="F222" s="711"/>
      <c r="G222" s="735"/>
      <c r="H222" s="735"/>
      <c r="I222" s="693"/>
      <c r="J222" s="693"/>
      <c r="K222" s="711"/>
      <c r="L222" s="693"/>
      <c r="M222" s="819"/>
      <c r="N222" s="743"/>
      <c r="O222" s="816"/>
      <c r="P222" s="693"/>
      <c r="Q222" s="816"/>
      <c r="R222" s="735"/>
      <c r="S222" s="46"/>
      <c r="T222" s="38"/>
      <c r="U222" s="122"/>
      <c r="V222" s="66"/>
      <c r="W222" s="38">
        <v>974</v>
      </c>
      <c r="X222" s="122" t="s">
        <v>856</v>
      </c>
      <c r="Y222" s="275">
        <v>340747</v>
      </c>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row>
    <row r="223" spans="1:130" s="50" customFormat="1" ht="15" x14ac:dyDescent="0.25">
      <c r="A223" s="693"/>
      <c r="B223" s="767"/>
      <c r="C223" s="690"/>
      <c r="D223" s="693"/>
      <c r="E223" s="690"/>
      <c r="F223" s="711"/>
      <c r="G223" s="735"/>
      <c r="H223" s="735"/>
      <c r="I223" s="693"/>
      <c r="J223" s="693"/>
      <c r="K223" s="711"/>
      <c r="L223" s="693"/>
      <c r="M223" s="819"/>
      <c r="N223" s="743"/>
      <c r="O223" s="816"/>
      <c r="P223" s="693"/>
      <c r="Q223" s="816"/>
      <c r="R223" s="735"/>
      <c r="S223" s="46"/>
      <c r="T223" s="38"/>
      <c r="U223" s="122"/>
      <c r="V223" s="66"/>
      <c r="W223" s="38">
        <v>1053</v>
      </c>
      <c r="X223" s="122" t="s">
        <v>856</v>
      </c>
      <c r="Y223" s="275">
        <v>340747</v>
      </c>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row>
    <row r="224" spans="1:130" s="50" customFormat="1" ht="15" x14ac:dyDescent="0.25">
      <c r="A224" s="693"/>
      <c r="B224" s="767"/>
      <c r="C224" s="690"/>
      <c r="D224" s="693"/>
      <c r="E224" s="690"/>
      <c r="F224" s="711"/>
      <c r="G224" s="735"/>
      <c r="H224" s="735"/>
      <c r="I224" s="693"/>
      <c r="J224" s="693"/>
      <c r="K224" s="711"/>
      <c r="L224" s="693"/>
      <c r="M224" s="819"/>
      <c r="N224" s="743"/>
      <c r="O224" s="817"/>
      <c r="P224" s="694"/>
      <c r="Q224" s="817"/>
      <c r="R224" s="729"/>
      <c r="S224" s="46"/>
      <c r="T224" s="286">
        <v>772</v>
      </c>
      <c r="U224" s="273">
        <v>44742</v>
      </c>
      <c r="V224" s="274">
        <v>4257205</v>
      </c>
      <c r="W224" s="286">
        <v>3445</v>
      </c>
      <c r="X224" s="273" t="s">
        <v>2879</v>
      </c>
      <c r="Y224" s="275">
        <v>346213</v>
      </c>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row>
    <row r="225" spans="1:130" s="50" customFormat="1" ht="15" x14ac:dyDescent="0.25">
      <c r="A225" s="693"/>
      <c r="B225" s="767"/>
      <c r="C225" s="690"/>
      <c r="D225" s="693"/>
      <c r="E225" s="690"/>
      <c r="F225" s="711"/>
      <c r="G225" s="735"/>
      <c r="H225" s="735"/>
      <c r="I225" s="693"/>
      <c r="J225" s="693"/>
      <c r="K225" s="711"/>
      <c r="L225" s="693"/>
      <c r="M225" s="819"/>
      <c r="N225" s="743"/>
      <c r="O225" s="388"/>
      <c r="P225" s="381"/>
      <c r="Q225" s="388"/>
      <c r="R225" s="385"/>
      <c r="S225" s="46"/>
      <c r="T225" s="391"/>
      <c r="U225" s="273"/>
      <c r="V225" s="274"/>
      <c r="W225" s="391">
        <v>3446</v>
      </c>
      <c r="X225" s="273" t="s">
        <v>2879</v>
      </c>
      <c r="Y225" s="275">
        <v>415363</v>
      </c>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row>
    <row r="226" spans="1:130" s="50" customFormat="1" ht="15" x14ac:dyDescent="0.25">
      <c r="A226" s="693"/>
      <c r="B226" s="767"/>
      <c r="C226" s="690"/>
      <c r="D226" s="693"/>
      <c r="E226" s="690"/>
      <c r="F226" s="711"/>
      <c r="G226" s="735"/>
      <c r="H226" s="735"/>
      <c r="I226" s="693"/>
      <c r="J226" s="693"/>
      <c r="K226" s="711"/>
      <c r="L226" s="693"/>
      <c r="M226" s="819"/>
      <c r="N226" s="743"/>
      <c r="O226" s="388"/>
      <c r="P226" s="381"/>
      <c r="Q226" s="388"/>
      <c r="R226" s="385"/>
      <c r="S226" s="46"/>
      <c r="T226" s="391"/>
      <c r="U226" s="273"/>
      <c r="V226" s="274"/>
      <c r="W226" s="391">
        <v>3447</v>
      </c>
      <c r="X226" s="273" t="s">
        <v>2879</v>
      </c>
      <c r="Y226" s="275">
        <v>470081</v>
      </c>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row>
    <row r="227" spans="1:130" s="50" customFormat="1" ht="15" x14ac:dyDescent="0.25">
      <c r="A227" s="693"/>
      <c r="B227" s="767"/>
      <c r="C227" s="690"/>
      <c r="D227" s="693"/>
      <c r="E227" s="690"/>
      <c r="F227" s="711"/>
      <c r="G227" s="735"/>
      <c r="H227" s="735"/>
      <c r="I227" s="693"/>
      <c r="J227" s="693"/>
      <c r="K227" s="711"/>
      <c r="L227" s="693"/>
      <c r="M227" s="819"/>
      <c r="N227" s="743"/>
      <c r="O227" s="388"/>
      <c r="P227" s="381"/>
      <c r="Q227" s="388"/>
      <c r="R227" s="385"/>
      <c r="S227" s="46"/>
      <c r="T227" s="391"/>
      <c r="U227" s="273"/>
      <c r="V227" s="274"/>
      <c r="W227" s="391">
        <v>3448</v>
      </c>
      <c r="X227" s="273" t="s">
        <v>2879</v>
      </c>
      <c r="Y227" s="275">
        <v>415363</v>
      </c>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row>
    <row r="228" spans="1:130" s="50" customFormat="1" ht="15" x14ac:dyDescent="0.25">
      <c r="A228" s="693"/>
      <c r="B228" s="767"/>
      <c r="C228" s="690"/>
      <c r="D228" s="693"/>
      <c r="E228" s="690"/>
      <c r="F228" s="711"/>
      <c r="G228" s="735"/>
      <c r="H228" s="735"/>
      <c r="I228" s="693"/>
      <c r="J228" s="693"/>
      <c r="K228" s="711"/>
      <c r="L228" s="693"/>
      <c r="M228" s="819"/>
      <c r="N228" s="743"/>
      <c r="O228" s="388"/>
      <c r="P228" s="381"/>
      <c r="Q228" s="388"/>
      <c r="R228" s="385"/>
      <c r="S228" s="46"/>
      <c r="T228" s="391"/>
      <c r="U228" s="273"/>
      <c r="V228" s="274"/>
      <c r="W228" s="391">
        <v>3449</v>
      </c>
      <c r="X228" s="273" t="s">
        <v>2879</v>
      </c>
      <c r="Y228" s="275">
        <v>415363</v>
      </c>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row>
    <row r="229" spans="1:130" s="50" customFormat="1" ht="15" x14ac:dyDescent="0.25">
      <c r="A229" s="693"/>
      <c r="B229" s="767"/>
      <c r="C229" s="690"/>
      <c r="D229" s="693"/>
      <c r="E229" s="690"/>
      <c r="F229" s="711"/>
      <c r="G229" s="735"/>
      <c r="H229" s="735"/>
      <c r="I229" s="693"/>
      <c r="J229" s="693"/>
      <c r="K229" s="711"/>
      <c r="L229" s="693"/>
      <c r="M229" s="819"/>
      <c r="N229" s="743"/>
      <c r="O229" s="388"/>
      <c r="P229" s="381"/>
      <c r="Q229" s="388"/>
      <c r="R229" s="385"/>
      <c r="S229" s="46"/>
      <c r="T229" s="391"/>
      <c r="U229" s="273"/>
      <c r="V229" s="274"/>
      <c r="W229" s="391">
        <v>3450</v>
      </c>
      <c r="X229" s="273" t="s">
        <v>2879</v>
      </c>
      <c r="Y229" s="275">
        <v>432773</v>
      </c>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row>
    <row r="230" spans="1:130" s="50" customFormat="1" ht="15" x14ac:dyDescent="0.25">
      <c r="A230" s="693"/>
      <c r="B230" s="767"/>
      <c r="C230" s="690"/>
      <c r="D230" s="693"/>
      <c r="E230" s="690"/>
      <c r="F230" s="711"/>
      <c r="G230" s="735"/>
      <c r="H230" s="735"/>
      <c r="I230" s="693"/>
      <c r="J230" s="693"/>
      <c r="K230" s="711"/>
      <c r="L230" s="693"/>
      <c r="M230" s="819"/>
      <c r="N230" s="743"/>
      <c r="O230" s="388"/>
      <c r="P230" s="381"/>
      <c r="Q230" s="388"/>
      <c r="R230" s="385"/>
      <c r="S230" s="46"/>
      <c r="T230" s="391"/>
      <c r="U230" s="273"/>
      <c r="V230" s="274"/>
      <c r="W230" s="391">
        <v>3459</v>
      </c>
      <c r="X230" s="273" t="s">
        <v>2884</v>
      </c>
      <c r="Y230" s="275">
        <v>179079</v>
      </c>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row>
    <row r="231" spans="1:130" s="50" customFormat="1" ht="15" x14ac:dyDescent="0.25">
      <c r="A231" s="693"/>
      <c r="B231" s="767"/>
      <c r="C231" s="690"/>
      <c r="D231" s="693"/>
      <c r="E231" s="690"/>
      <c r="F231" s="711"/>
      <c r="G231" s="735"/>
      <c r="H231" s="735"/>
      <c r="I231" s="693"/>
      <c r="J231" s="693"/>
      <c r="K231" s="711"/>
      <c r="L231" s="693"/>
      <c r="M231" s="819"/>
      <c r="N231" s="743"/>
      <c r="O231" s="388"/>
      <c r="P231" s="381"/>
      <c r="Q231" s="388"/>
      <c r="R231" s="385"/>
      <c r="S231" s="46"/>
      <c r="T231" s="391"/>
      <c r="U231" s="273"/>
      <c r="V231" s="274"/>
      <c r="W231" s="391">
        <v>3460</v>
      </c>
      <c r="X231" s="273" t="s">
        <v>2884</v>
      </c>
      <c r="Y231" s="275">
        <v>412875</v>
      </c>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row>
    <row r="232" spans="1:130" s="50" customFormat="1" ht="15" x14ac:dyDescent="0.25">
      <c r="A232" s="693"/>
      <c r="B232" s="767"/>
      <c r="C232" s="690"/>
      <c r="D232" s="693"/>
      <c r="E232" s="690"/>
      <c r="F232" s="711"/>
      <c r="G232" s="735"/>
      <c r="H232" s="735"/>
      <c r="I232" s="693"/>
      <c r="J232" s="693"/>
      <c r="K232" s="711"/>
      <c r="L232" s="693"/>
      <c r="M232" s="819"/>
      <c r="N232" s="743"/>
      <c r="O232" s="388"/>
      <c r="P232" s="381"/>
      <c r="Q232" s="388"/>
      <c r="R232" s="385"/>
      <c r="S232" s="46"/>
      <c r="T232" s="391"/>
      <c r="U232" s="273"/>
      <c r="V232" s="274"/>
      <c r="W232" s="391">
        <v>3461</v>
      </c>
      <c r="X232" s="273" t="s">
        <v>2884</v>
      </c>
      <c r="Y232" s="275">
        <v>131822</v>
      </c>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row>
    <row r="233" spans="1:130" s="50" customFormat="1" ht="15" x14ac:dyDescent="0.25">
      <c r="A233" s="693"/>
      <c r="B233" s="767"/>
      <c r="C233" s="690"/>
      <c r="D233" s="693"/>
      <c r="E233" s="690"/>
      <c r="F233" s="711"/>
      <c r="G233" s="735"/>
      <c r="H233" s="735"/>
      <c r="I233" s="693"/>
      <c r="J233" s="693"/>
      <c r="K233" s="711"/>
      <c r="L233" s="693"/>
      <c r="M233" s="819"/>
      <c r="N233" s="743"/>
      <c r="O233" s="388"/>
      <c r="P233" s="381"/>
      <c r="Q233" s="388"/>
      <c r="R233" s="385"/>
      <c r="S233" s="46"/>
      <c r="T233" s="391"/>
      <c r="U233" s="273"/>
      <c r="V233" s="274"/>
      <c r="W233" s="391">
        <v>3464</v>
      </c>
      <c r="X233" s="273" t="s">
        <v>2885</v>
      </c>
      <c r="Y233" s="275">
        <v>405414</v>
      </c>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row>
    <row r="234" spans="1:130" s="50" customFormat="1" ht="15" x14ac:dyDescent="0.25">
      <c r="A234" s="693"/>
      <c r="B234" s="767"/>
      <c r="C234" s="690"/>
      <c r="D234" s="693"/>
      <c r="E234" s="690"/>
      <c r="F234" s="711"/>
      <c r="G234" s="735"/>
      <c r="H234" s="735"/>
      <c r="I234" s="693"/>
      <c r="J234" s="693"/>
      <c r="K234" s="711"/>
      <c r="L234" s="693"/>
      <c r="M234" s="819"/>
      <c r="N234" s="743"/>
      <c r="O234" s="388"/>
      <c r="P234" s="381"/>
      <c r="Q234" s="388"/>
      <c r="R234" s="385"/>
      <c r="S234" s="46"/>
      <c r="T234" s="391"/>
      <c r="U234" s="273"/>
      <c r="V234" s="274"/>
      <c r="W234" s="391">
        <v>3909</v>
      </c>
      <c r="X234" s="273" t="s">
        <v>2886</v>
      </c>
      <c r="Y234" s="275">
        <v>206944</v>
      </c>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row>
    <row r="235" spans="1:130" s="50" customFormat="1" ht="15" x14ac:dyDescent="0.25">
      <c r="A235" s="693"/>
      <c r="B235" s="767"/>
      <c r="C235" s="690"/>
      <c r="D235" s="694"/>
      <c r="E235" s="691"/>
      <c r="F235" s="712"/>
      <c r="G235" s="729"/>
      <c r="H235" s="729"/>
      <c r="I235" s="694"/>
      <c r="J235" s="694"/>
      <c r="K235" s="712"/>
      <c r="L235" s="694"/>
      <c r="M235" s="820"/>
      <c r="N235" s="743"/>
      <c r="O235" s="388"/>
      <c r="P235" s="381"/>
      <c r="Q235" s="388"/>
      <c r="R235" s="385"/>
      <c r="S235" s="46"/>
      <c r="T235" s="391"/>
      <c r="U235" s="273"/>
      <c r="V235" s="274"/>
      <c r="W235" s="391">
        <v>4849</v>
      </c>
      <c r="X235" s="273" t="s">
        <v>2844</v>
      </c>
      <c r="Y235" s="275">
        <v>281054</v>
      </c>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row>
    <row r="236" spans="1:130" s="50" customFormat="1" ht="15" x14ac:dyDescent="0.25">
      <c r="A236" s="693"/>
      <c r="B236" s="767"/>
      <c r="C236" s="690"/>
      <c r="D236" s="661"/>
      <c r="E236" s="662"/>
      <c r="F236" s="663"/>
      <c r="G236" s="664"/>
      <c r="H236" s="664"/>
      <c r="I236" s="661"/>
      <c r="J236" s="85"/>
      <c r="K236" s="663"/>
      <c r="L236" s="661"/>
      <c r="M236" s="665"/>
      <c r="N236" s="743"/>
      <c r="O236" s="666"/>
      <c r="P236" s="661"/>
      <c r="Q236" s="666"/>
      <c r="R236" s="664"/>
      <c r="S236" s="46"/>
      <c r="T236" s="667"/>
      <c r="U236" s="273"/>
      <c r="V236" s="274"/>
      <c r="W236" s="667">
        <v>5197</v>
      </c>
      <c r="X236" s="273" t="s">
        <v>2856</v>
      </c>
      <c r="Y236" s="275">
        <v>144861</v>
      </c>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row>
    <row r="237" spans="1:130" s="50" customFormat="1" ht="40.5" x14ac:dyDescent="0.25">
      <c r="A237" s="693"/>
      <c r="B237" s="767"/>
      <c r="C237" s="690"/>
      <c r="D237" s="44" t="s">
        <v>822</v>
      </c>
      <c r="E237" s="69" t="s">
        <v>138</v>
      </c>
      <c r="F237" s="289">
        <v>392022</v>
      </c>
      <c r="G237" s="66">
        <v>0</v>
      </c>
      <c r="H237" s="66"/>
      <c r="I237" s="44"/>
      <c r="J237" s="45"/>
      <c r="K237" s="44"/>
      <c r="L237" s="44"/>
      <c r="M237" s="65">
        <f t="shared" ref="M237:M254" si="0">+F237+G237+H237+I237+J237+K237-L237</f>
        <v>392022</v>
      </c>
      <c r="N237" s="743"/>
      <c r="O237" s="80" t="s">
        <v>1565</v>
      </c>
      <c r="P237" s="154" t="s">
        <v>885</v>
      </c>
      <c r="Q237" s="80" t="s">
        <v>1961</v>
      </c>
      <c r="R237" s="345">
        <v>0</v>
      </c>
      <c r="S237" s="46"/>
      <c r="T237" s="44"/>
      <c r="U237" s="79"/>
      <c r="V237" s="345"/>
      <c r="W237" s="44"/>
      <c r="X237" s="79"/>
      <c r="Y237" s="3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row>
    <row r="238" spans="1:130" s="50" customFormat="1" ht="15" x14ac:dyDescent="0.25">
      <c r="A238" s="693"/>
      <c r="B238" s="767"/>
      <c r="C238" s="690"/>
      <c r="D238" s="330"/>
      <c r="E238" s="69"/>
      <c r="F238" s="289"/>
      <c r="G238" s="274"/>
      <c r="H238" s="274"/>
      <c r="I238" s="330"/>
      <c r="J238" s="45"/>
      <c r="K238" s="330"/>
      <c r="L238" s="330"/>
      <c r="M238" s="65"/>
      <c r="N238" s="743"/>
      <c r="O238" s="80" t="s">
        <v>2628</v>
      </c>
      <c r="P238" s="457" t="s">
        <v>2660</v>
      </c>
      <c r="Q238" s="80" t="s">
        <v>2661</v>
      </c>
      <c r="R238" s="345">
        <v>300000</v>
      </c>
      <c r="S238" s="46"/>
      <c r="T238" s="667">
        <v>1394</v>
      </c>
      <c r="U238" s="273" t="s">
        <v>2787</v>
      </c>
      <c r="V238" s="345">
        <v>300000</v>
      </c>
      <c r="W238" s="667">
        <v>5735</v>
      </c>
      <c r="X238" s="273" t="s">
        <v>2836</v>
      </c>
      <c r="Y238" s="345">
        <v>300000</v>
      </c>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row>
    <row r="239" spans="1:130" s="50" customFormat="1" ht="54" customHeight="1" x14ac:dyDescent="0.25">
      <c r="A239" s="693"/>
      <c r="B239" s="767"/>
      <c r="C239" s="690"/>
      <c r="D239" s="692" t="s">
        <v>823</v>
      </c>
      <c r="E239" s="705" t="s">
        <v>139</v>
      </c>
      <c r="F239" s="289">
        <v>300000</v>
      </c>
      <c r="G239" s="66">
        <v>0</v>
      </c>
      <c r="H239" s="289">
        <v>40000000</v>
      </c>
      <c r="I239" s="44"/>
      <c r="J239" s="45"/>
      <c r="K239" s="44"/>
      <c r="L239" s="44"/>
      <c r="M239" s="65">
        <f t="shared" si="0"/>
        <v>40300000</v>
      </c>
      <c r="N239" s="743"/>
      <c r="O239" s="78" t="s">
        <v>1565</v>
      </c>
      <c r="P239" s="154" t="s">
        <v>885</v>
      </c>
      <c r="Q239" s="80" t="s">
        <v>1803</v>
      </c>
      <c r="R239" s="345">
        <v>0</v>
      </c>
      <c r="S239" s="46"/>
      <c r="T239" s="667"/>
      <c r="U239" s="273"/>
      <c r="V239" s="345"/>
      <c r="W239" s="667"/>
      <c r="X239" s="273"/>
      <c r="Y239" s="3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row>
    <row r="240" spans="1:130" s="50" customFormat="1" ht="15" x14ac:dyDescent="0.25">
      <c r="A240" s="693"/>
      <c r="B240" s="767"/>
      <c r="C240" s="690"/>
      <c r="D240" s="693"/>
      <c r="E240" s="706"/>
      <c r="F240" s="289"/>
      <c r="G240" s="274"/>
      <c r="H240" s="289"/>
      <c r="I240" s="330"/>
      <c r="J240" s="45"/>
      <c r="K240" s="330"/>
      <c r="L240" s="330"/>
      <c r="M240" s="65"/>
      <c r="N240" s="743"/>
      <c r="O240" s="78" t="s">
        <v>2651</v>
      </c>
      <c r="P240" s="457" t="s">
        <v>2652</v>
      </c>
      <c r="Q240" s="80" t="s">
        <v>2653</v>
      </c>
      <c r="R240" s="345">
        <v>30855105</v>
      </c>
      <c r="S240" s="46"/>
      <c r="T240" s="667">
        <v>1382</v>
      </c>
      <c r="U240" s="273" t="s">
        <v>2771</v>
      </c>
      <c r="V240" s="345">
        <v>30855105</v>
      </c>
      <c r="W240" s="667">
        <v>6054</v>
      </c>
      <c r="X240" s="273" t="s">
        <v>2794</v>
      </c>
      <c r="Y240" s="345">
        <v>30855105</v>
      </c>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row>
    <row r="241" spans="1:130" s="50" customFormat="1" ht="15" x14ac:dyDescent="0.25">
      <c r="A241" s="693"/>
      <c r="B241" s="767"/>
      <c r="C241" s="690"/>
      <c r="D241" s="694"/>
      <c r="E241" s="707"/>
      <c r="F241" s="289"/>
      <c r="G241" s="274"/>
      <c r="H241" s="289"/>
      <c r="I241" s="330"/>
      <c r="J241" s="45"/>
      <c r="K241" s="330"/>
      <c r="L241" s="330"/>
      <c r="M241" s="65"/>
      <c r="N241" s="743"/>
      <c r="O241" s="78" t="s">
        <v>2651</v>
      </c>
      <c r="P241" s="457" t="s">
        <v>2654</v>
      </c>
      <c r="Q241" s="80" t="s">
        <v>2655</v>
      </c>
      <c r="R241" s="528">
        <v>46695</v>
      </c>
      <c r="S241" s="46"/>
      <c r="T241" s="667"/>
      <c r="U241" s="273"/>
      <c r="V241" s="345"/>
      <c r="W241" s="667"/>
      <c r="X241" s="273"/>
      <c r="Y241" s="3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row>
    <row r="242" spans="1:130" s="50" customFormat="1" ht="40.5" x14ac:dyDescent="0.25">
      <c r="A242" s="693"/>
      <c r="B242" s="767"/>
      <c r="C242" s="690"/>
      <c r="D242" s="44" t="s">
        <v>824</v>
      </c>
      <c r="E242" s="69" t="s">
        <v>116</v>
      </c>
      <c r="F242" s="289">
        <v>14000000</v>
      </c>
      <c r="G242" s="66">
        <v>0</v>
      </c>
      <c r="H242" s="66"/>
      <c r="I242" s="44"/>
      <c r="J242" s="45"/>
      <c r="K242" s="274">
        <v>47000000</v>
      </c>
      <c r="L242" s="44"/>
      <c r="M242" s="65">
        <f t="shared" si="0"/>
        <v>61000000</v>
      </c>
      <c r="N242" s="743"/>
      <c r="O242" s="80" t="s">
        <v>2648</v>
      </c>
      <c r="P242" s="459" t="s">
        <v>2649</v>
      </c>
      <c r="Q242" s="80" t="s">
        <v>2650</v>
      </c>
      <c r="R242" s="274">
        <v>49944181</v>
      </c>
      <c r="S242" s="46"/>
      <c r="T242" s="667">
        <v>1451</v>
      </c>
      <c r="U242" s="273" t="s">
        <v>2782</v>
      </c>
      <c r="V242" s="274">
        <v>49944181</v>
      </c>
      <c r="W242" s="667">
        <v>6353</v>
      </c>
      <c r="X242" s="273" t="s">
        <v>2816</v>
      </c>
      <c r="Y242" s="274">
        <v>49944181</v>
      </c>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row>
    <row r="243" spans="1:130" s="50" customFormat="1" ht="15" x14ac:dyDescent="0.25">
      <c r="A243" s="693"/>
      <c r="B243" s="767"/>
      <c r="C243" s="690"/>
      <c r="D243" s="692" t="s">
        <v>825</v>
      </c>
      <c r="E243" s="689" t="s">
        <v>117</v>
      </c>
      <c r="F243" s="710">
        <v>102642645</v>
      </c>
      <c r="G243" s="728">
        <v>0</v>
      </c>
      <c r="H243" s="710">
        <v>139862101</v>
      </c>
      <c r="I243" s="692"/>
      <c r="J243" s="692"/>
      <c r="K243" s="692"/>
      <c r="L243" s="728">
        <v>57000000</v>
      </c>
      <c r="M243" s="758">
        <f t="shared" si="0"/>
        <v>185504746</v>
      </c>
      <c r="N243" s="743"/>
      <c r="O243" s="78" t="s">
        <v>994</v>
      </c>
      <c r="P243" s="457" t="s">
        <v>995</v>
      </c>
      <c r="Q243" s="669">
        <v>44658</v>
      </c>
      <c r="R243" s="66">
        <v>20650000</v>
      </c>
      <c r="S243" s="46"/>
      <c r="T243" s="667">
        <v>530</v>
      </c>
      <c r="U243" s="273">
        <v>44677</v>
      </c>
      <c r="V243" s="274">
        <v>20650000</v>
      </c>
      <c r="W243" s="667">
        <v>2745</v>
      </c>
      <c r="X243" s="273">
        <v>44707</v>
      </c>
      <c r="Y243" s="445">
        <v>20650000</v>
      </c>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row>
    <row r="244" spans="1:130" s="50" customFormat="1" ht="15" x14ac:dyDescent="0.25">
      <c r="A244" s="693"/>
      <c r="B244" s="767"/>
      <c r="C244" s="690"/>
      <c r="D244" s="693"/>
      <c r="E244" s="690"/>
      <c r="F244" s="711"/>
      <c r="G244" s="735"/>
      <c r="H244" s="711"/>
      <c r="I244" s="693"/>
      <c r="J244" s="693"/>
      <c r="K244" s="693"/>
      <c r="L244" s="735"/>
      <c r="M244" s="763"/>
      <c r="N244" s="743"/>
      <c r="O244" s="78" t="s">
        <v>1565</v>
      </c>
      <c r="P244" s="457">
        <v>471</v>
      </c>
      <c r="Q244" s="159" t="s">
        <v>1566</v>
      </c>
      <c r="R244" s="274">
        <v>4452750</v>
      </c>
      <c r="S244" s="46"/>
      <c r="T244" s="667">
        <v>975</v>
      </c>
      <c r="U244" s="273">
        <v>44778</v>
      </c>
      <c r="V244" s="274">
        <v>4452750</v>
      </c>
      <c r="W244" s="667">
        <v>4372</v>
      </c>
      <c r="X244" s="273">
        <v>44778</v>
      </c>
      <c r="Y244" s="274">
        <v>4452750</v>
      </c>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row>
    <row r="245" spans="1:130" s="50" customFormat="1" ht="15" x14ac:dyDescent="0.25">
      <c r="A245" s="693"/>
      <c r="B245" s="767"/>
      <c r="C245" s="690"/>
      <c r="D245" s="693"/>
      <c r="E245" s="690"/>
      <c r="F245" s="711"/>
      <c r="G245" s="735"/>
      <c r="H245" s="711"/>
      <c r="I245" s="693"/>
      <c r="J245" s="693"/>
      <c r="K245" s="693"/>
      <c r="L245" s="735"/>
      <c r="M245" s="763"/>
      <c r="N245" s="743"/>
      <c r="O245" s="78" t="s">
        <v>1567</v>
      </c>
      <c r="P245" s="457">
        <v>535</v>
      </c>
      <c r="Q245" s="159" t="s">
        <v>1568</v>
      </c>
      <c r="R245" s="274">
        <v>53365120</v>
      </c>
      <c r="S245" s="46"/>
      <c r="T245" s="667">
        <v>1068</v>
      </c>
      <c r="U245" s="273">
        <v>44797</v>
      </c>
      <c r="V245" s="274">
        <v>53365120</v>
      </c>
      <c r="W245" s="667">
        <v>4890</v>
      </c>
      <c r="X245" s="273">
        <v>44811</v>
      </c>
      <c r="Y245" s="274">
        <v>53365120</v>
      </c>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row>
    <row r="246" spans="1:130" s="50" customFormat="1" ht="15" x14ac:dyDescent="0.25">
      <c r="A246" s="693"/>
      <c r="B246" s="767"/>
      <c r="C246" s="690"/>
      <c r="D246" s="693"/>
      <c r="E246" s="690"/>
      <c r="F246" s="712"/>
      <c r="G246" s="729"/>
      <c r="H246" s="712"/>
      <c r="I246" s="694"/>
      <c r="J246" s="694"/>
      <c r="K246" s="694"/>
      <c r="L246" s="729"/>
      <c r="M246" s="763"/>
      <c r="N246" s="743"/>
      <c r="O246" s="78" t="s">
        <v>1569</v>
      </c>
      <c r="P246" s="457">
        <v>537</v>
      </c>
      <c r="Q246" s="159" t="s">
        <v>1570</v>
      </c>
      <c r="R246" s="274">
        <v>10513625</v>
      </c>
      <c r="S246" s="46"/>
      <c r="T246" s="667">
        <v>1025</v>
      </c>
      <c r="U246" s="273">
        <v>44785</v>
      </c>
      <c r="V246" s="274">
        <v>10513625</v>
      </c>
      <c r="W246" s="667">
        <v>4839</v>
      </c>
      <c r="X246" s="273">
        <v>44805</v>
      </c>
      <c r="Y246" s="274">
        <v>10513625</v>
      </c>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row>
    <row r="247" spans="1:130" s="50" customFormat="1" ht="15" x14ac:dyDescent="0.25">
      <c r="A247" s="693"/>
      <c r="B247" s="767"/>
      <c r="C247" s="690"/>
      <c r="D247" s="693"/>
      <c r="E247" s="690"/>
      <c r="F247" s="423"/>
      <c r="G247" s="418"/>
      <c r="H247" s="423"/>
      <c r="I247" s="410"/>
      <c r="J247" s="85"/>
      <c r="K247" s="410"/>
      <c r="L247" s="410"/>
      <c r="M247" s="763"/>
      <c r="N247" s="743"/>
      <c r="O247" s="78" t="s">
        <v>2622</v>
      </c>
      <c r="P247" s="457" t="s">
        <v>2623</v>
      </c>
      <c r="Q247" s="159" t="s">
        <v>2624</v>
      </c>
      <c r="R247" s="274">
        <v>14094700</v>
      </c>
      <c r="S247" s="46"/>
      <c r="T247" s="667">
        <v>1335</v>
      </c>
      <c r="U247" s="273" t="s">
        <v>2792</v>
      </c>
      <c r="V247" s="274">
        <v>14094700</v>
      </c>
      <c r="W247" s="667">
        <v>5895</v>
      </c>
      <c r="X247" s="273" t="s">
        <v>2793</v>
      </c>
      <c r="Y247" s="274">
        <v>14094700</v>
      </c>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row>
    <row r="248" spans="1:130" s="50" customFormat="1" ht="15" x14ac:dyDescent="0.25">
      <c r="A248" s="693"/>
      <c r="B248" s="767"/>
      <c r="C248" s="690"/>
      <c r="D248" s="693"/>
      <c r="E248" s="690"/>
      <c r="F248" s="423"/>
      <c r="G248" s="418"/>
      <c r="H248" s="423"/>
      <c r="I248" s="410"/>
      <c r="J248" s="85"/>
      <c r="K248" s="410"/>
      <c r="L248" s="410"/>
      <c r="M248" s="763"/>
      <c r="N248" s="743"/>
      <c r="O248" s="78" t="s">
        <v>2625</v>
      </c>
      <c r="P248" s="457" t="s">
        <v>2626</v>
      </c>
      <c r="Q248" s="159" t="s">
        <v>2627</v>
      </c>
      <c r="R248" s="274">
        <v>4672500</v>
      </c>
      <c r="S248" s="46"/>
      <c r="T248" s="667">
        <v>1341</v>
      </c>
      <c r="U248" s="273" t="s">
        <v>2779</v>
      </c>
      <c r="V248" s="274">
        <v>4672500</v>
      </c>
      <c r="W248" s="667">
        <v>5575</v>
      </c>
      <c r="X248" s="273" t="s">
        <v>2773</v>
      </c>
      <c r="Y248" s="274">
        <v>4672500</v>
      </c>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row>
    <row r="249" spans="1:130" s="50" customFormat="1" ht="15" x14ac:dyDescent="0.25">
      <c r="A249" s="693"/>
      <c r="B249" s="767"/>
      <c r="C249" s="690"/>
      <c r="D249" s="693"/>
      <c r="E249" s="690"/>
      <c r="F249" s="423"/>
      <c r="G249" s="418"/>
      <c r="H249" s="423"/>
      <c r="I249" s="410"/>
      <c r="J249" s="85"/>
      <c r="K249" s="410"/>
      <c r="L249" s="410"/>
      <c r="M249" s="763"/>
      <c r="N249" s="743"/>
      <c r="O249" s="78" t="s">
        <v>2628</v>
      </c>
      <c r="P249" s="457" t="s">
        <v>2629</v>
      </c>
      <c r="Q249" s="159" t="s">
        <v>2630</v>
      </c>
      <c r="R249" s="274">
        <v>1675601</v>
      </c>
      <c r="S249" s="46"/>
      <c r="T249" s="667">
        <v>1394</v>
      </c>
      <c r="U249" s="273" t="s">
        <v>2787</v>
      </c>
      <c r="V249" s="274">
        <v>1675601</v>
      </c>
      <c r="W249" s="667">
        <v>5735</v>
      </c>
      <c r="X249" s="273" t="s">
        <v>2836</v>
      </c>
      <c r="Y249" s="274">
        <v>1675601</v>
      </c>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row>
    <row r="250" spans="1:130" s="50" customFormat="1" ht="15" x14ac:dyDescent="0.25">
      <c r="A250" s="693"/>
      <c r="B250" s="767"/>
      <c r="C250" s="690"/>
      <c r="D250" s="694"/>
      <c r="E250" s="691"/>
      <c r="F250" s="423"/>
      <c r="G250" s="418"/>
      <c r="H250" s="423"/>
      <c r="I250" s="410"/>
      <c r="J250" s="85"/>
      <c r="K250" s="410"/>
      <c r="L250" s="410"/>
      <c r="M250" s="759"/>
      <c r="N250" s="743"/>
      <c r="O250" s="78" t="s">
        <v>2631</v>
      </c>
      <c r="P250" s="457" t="s">
        <v>2632</v>
      </c>
      <c r="Q250" s="159" t="s">
        <v>2633</v>
      </c>
      <c r="R250" s="274">
        <v>13999986</v>
      </c>
      <c r="S250" s="46"/>
      <c r="T250" s="667">
        <v>1432</v>
      </c>
      <c r="U250" s="273" t="s">
        <v>2772</v>
      </c>
      <c r="V250" s="274">
        <v>13999986</v>
      </c>
      <c r="W250" s="667">
        <v>5960</v>
      </c>
      <c r="X250" s="273" t="s">
        <v>2829</v>
      </c>
      <c r="Y250" s="274">
        <v>13999986</v>
      </c>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row>
    <row r="251" spans="1:130" s="50" customFormat="1" ht="27" x14ac:dyDescent="0.25">
      <c r="A251" s="693"/>
      <c r="B251" s="767"/>
      <c r="C251" s="690"/>
      <c r="D251" s="44" t="s">
        <v>826</v>
      </c>
      <c r="E251" s="69" t="s">
        <v>140</v>
      </c>
      <c r="F251" s="289">
        <v>4000000</v>
      </c>
      <c r="G251" s="66">
        <v>0</v>
      </c>
      <c r="H251" s="289">
        <v>120000000</v>
      </c>
      <c r="I251" s="44"/>
      <c r="J251" s="45"/>
      <c r="K251" s="44"/>
      <c r="L251" s="274">
        <v>114000000</v>
      </c>
      <c r="M251" s="65">
        <f t="shared" si="0"/>
        <v>10000000</v>
      </c>
      <c r="N251" s="743"/>
      <c r="O251" s="80" t="s">
        <v>2628</v>
      </c>
      <c r="P251" s="459" t="s">
        <v>2680</v>
      </c>
      <c r="Q251" s="80" t="s">
        <v>2681</v>
      </c>
      <c r="R251" s="274">
        <v>180000</v>
      </c>
      <c r="S251" s="46"/>
      <c r="T251" s="667">
        <v>1394</v>
      </c>
      <c r="U251" s="273" t="s">
        <v>2787</v>
      </c>
      <c r="V251" s="274">
        <v>180000</v>
      </c>
      <c r="W251" s="667">
        <v>5735</v>
      </c>
      <c r="X251" s="273" t="s">
        <v>2836</v>
      </c>
      <c r="Y251" s="274">
        <v>180000</v>
      </c>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row>
    <row r="252" spans="1:130" s="50" customFormat="1" ht="27" x14ac:dyDescent="0.25">
      <c r="A252" s="693"/>
      <c r="B252" s="767"/>
      <c r="C252" s="690"/>
      <c r="D252" s="44" t="s">
        <v>827</v>
      </c>
      <c r="E252" s="69" t="s">
        <v>141</v>
      </c>
      <c r="F252" s="289">
        <v>2000000</v>
      </c>
      <c r="G252" s="66">
        <v>0</v>
      </c>
      <c r="H252" s="66"/>
      <c r="I252" s="44"/>
      <c r="J252" s="45"/>
      <c r="K252" s="44"/>
      <c r="L252" s="44"/>
      <c r="M252" s="65">
        <f t="shared" si="0"/>
        <v>2000000</v>
      </c>
      <c r="N252" s="743"/>
      <c r="O252" s="78" t="s">
        <v>1565</v>
      </c>
      <c r="P252" s="457">
        <v>468</v>
      </c>
      <c r="Q252" s="80" t="s">
        <v>2187</v>
      </c>
      <c r="R252" s="345">
        <v>8500</v>
      </c>
      <c r="S252" s="46"/>
      <c r="T252" s="667">
        <v>975</v>
      </c>
      <c r="U252" s="273">
        <v>44778</v>
      </c>
      <c r="V252" s="345">
        <v>8500</v>
      </c>
      <c r="W252" s="667">
        <v>4372</v>
      </c>
      <c r="X252" s="273">
        <v>44778</v>
      </c>
      <c r="Y252" s="345">
        <v>8500</v>
      </c>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row>
    <row r="253" spans="1:130" s="50" customFormat="1" ht="25.5" x14ac:dyDescent="0.25">
      <c r="A253" s="693"/>
      <c r="B253" s="767"/>
      <c r="C253" s="690"/>
      <c r="D253" s="44" t="s">
        <v>828</v>
      </c>
      <c r="E253" s="69" t="s">
        <v>142</v>
      </c>
      <c r="F253" s="289">
        <v>2000000</v>
      </c>
      <c r="G253" s="66">
        <v>0</v>
      </c>
      <c r="H253" s="66"/>
      <c r="I253" s="44"/>
      <c r="J253" s="45"/>
      <c r="K253" s="44"/>
      <c r="L253" s="44"/>
      <c r="M253" s="65">
        <f t="shared" si="0"/>
        <v>2000000</v>
      </c>
      <c r="N253" s="743"/>
      <c r="O253" s="44"/>
      <c r="P253" s="44"/>
      <c r="Q253" s="44"/>
      <c r="R253" s="44"/>
      <c r="S253" s="46"/>
      <c r="T253" s="44"/>
      <c r="U253" s="79"/>
      <c r="V253" s="44"/>
      <c r="W253" s="44"/>
      <c r="X253" s="79"/>
      <c r="Y253" s="148"/>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row>
    <row r="254" spans="1:130" s="50" customFormat="1" ht="27" x14ac:dyDescent="0.25">
      <c r="A254" s="693"/>
      <c r="B254" s="767"/>
      <c r="C254" s="690"/>
      <c r="D254" s="44" t="s">
        <v>829</v>
      </c>
      <c r="E254" s="69" t="s">
        <v>143</v>
      </c>
      <c r="F254" s="289">
        <v>5000000</v>
      </c>
      <c r="G254" s="66">
        <v>0</v>
      </c>
      <c r="H254" s="66"/>
      <c r="I254" s="44"/>
      <c r="J254" s="45"/>
      <c r="K254" s="44"/>
      <c r="L254" s="44"/>
      <c r="M254" s="65">
        <f t="shared" si="0"/>
        <v>5000000</v>
      </c>
      <c r="N254" s="743"/>
      <c r="O254" s="44"/>
      <c r="P254" s="44"/>
      <c r="Q254" s="44"/>
      <c r="R254" s="44"/>
      <c r="S254" s="46"/>
      <c r="T254" s="44"/>
      <c r="U254" s="79"/>
      <c r="V254" s="44"/>
      <c r="W254" s="44"/>
      <c r="X254" s="79"/>
      <c r="Y254" s="148"/>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row>
    <row r="255" spans="1:130" s="50" customFormat="1" ht="15" customHeight="1" x14ac:dyDescent="0.25">
      <c r="A255" s="693"/>
      <c r="B255" s="767"/>
      <c r="C255" s="690"/>
      <c r="D255" s="736" t="s">
        <v>830</v>
      </c>
      <c r="E255" s="689" t="s">
        <v>100</v>
      </c>
      <c r="F255" s="710">
        <v>202763116</v>
      </c>
      <c r="G255" s="728">
        <v>0</v>
      </c>
      <c r="H255" s="710">
        <v>215814895</v>
      </c>
      <c r="I255" s="692"/>
      <c r="J255" s="692"/>
      <c r="K255" s="692"/>
      <c r="L255" s="692"/>
      <c r="M255" s="758">
        <f>+F255+G255+I255+H255+J255+K255-L255</f>
        <v>418578011</v>
      </c>
      <c r="N255" s="743"/>
      <c r="O255" s="78" t="s">
        <v>336</v>
      </c>
      <c r="P255" s="457" t="s">
        <v>402</v>
      </c>
      <c r="Q255" s="78" t="s">
        <v>420</v>
      </c>
      <c r="R255" s="66">
        <v>9231240</v>
      </c>
      <c r="S255" s="46"/>
      <c r="T255" s="38">
        <v>125</v>
      </c>
      <c r="U255" s="122">
        <v>44582</v>
      </c>
      <c r="V255" s="66">
        <v>9231240</v>
      </c>
      <c r="W255" s="38">
        <v>591</v>
      </c>
      <c r="X255" s="122" t="s">
        <v>858</v>
      </c>
      <c r="Y255" s="275">
        <v>9231240</v>
      </c>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row>
    <row r="256" spans="1:130" s="50" customFormat="1" ht="15" x14ac:dyDescent="0.25">
      <c r="A256" s="693"/>
      <c r="B256" s="767"/>
      <c r="C256" s="690"/>
      <c r="D256" s="737"/>
      <c r="E256" s="690"/>
      <c r="F256" s="711"/>
      <c r="G256" s="735"/>
      <c r="H256" s="711"/>
      <c r="I256" s="693"/>
      <c r="J256" s="693"/>
      <c r="K256" s="693"/>
      <c r="L256" s="693"/>
      <c r="M256" s="763"/>
      <c r="N256" s="743"/>
      <c r="O256" s="78" t="s">
        <v>338</v>
      </c>
      <c r="P256" s="457" t="s">
        <v>403</v>
      </c>
      <c r="Q256" s="78" t="s">
        <v>421</v>
      </c>
      <c r="R256" s="66">
        <v>9231240</v>
      </c>
      <c r="S256" s="46"/>
      <c r="T256" s="38">
        <v>122</v>
      </c>
      <c r="U256" s="122">
        <v>44582</v>
      </c>
      <c r="V256" s="66">
        <v>9231240</v>
      </c>
      <c r="W256" s="38">
        <v>610</v>
      </c>
      <c r="X256" s="122" t="s">
        <v>858</v>
      </c>
      <c r="Y256" s="275">
        <v>9231240</v>
      </c>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row>
    <row r="257" spans="1:130" s="50" customFormat="1" ht="15" x14ac:dyDescent="0.25">
      <c r="A257" s="693"/>
      <c r="B257" s="767"/>
      <c r="C257" s="690"/>
      <c r="D257" s="737"/>
      <c r="E257" s="690"/>
      <c r="F257" s="711"/>
      <c r="G257" s="735"/>
      <c r="H257" s="711"/>
      <c r="I257" s="693"/>
      <c r="J257" s="693"/>
      <c r="K257" s="693"/>
      <c r="L257" s="693"/>
      <c r="M257" s="763"/>
      <c r="N257" s="743"/>
      <c r="O257" s="78" t="s">
        <v>339</v>
      </c>
      <c r="P257" s="457" t="s">
        <v>404</v>
      </c>
      <c r="Q257" s="78" t="s">
        <v>422</v>
      </c>
      <c r="R257" s="66">
        <v>9231240</v>
      </c>
      <c r="S257" s="46"/>
      <c r="T257" s="38">
        <v>126</v>
      </c>
      <c r="U257" s="122">
        <v>44582</v>
      </c>
      <c r="V257" s="66">
        <v>9231240</v>
      </c>
      <c r="W257" s="38">
        <v>599</v>
      </c>
      <c r="X257" s="122" t="s">
        <v>858</v>
      </c>
      <c r="Y257" s="275">
        <v>9231240</v>
      </c>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row>
    <row r="258" spans="1:130" s="50" customFormat="1" ht="15" x14ac:dyDescent="0.25">
      <c r="A258" s="693"/>
      <c r="B258" s="767"/>
      <c r="C258" s="690"/>
      <c r="D258" s="737"/>
      <c r="E258" s="690"/>
      <c r="F258" s="711"/>
      <c r="G258" s="735"/>
      <c r="H258" s="711"/>
      <c r="I258" s="693"/>
      <c r="J258" s="693"/>
      <c r="K258" s="693"/>
      <c r="L258" s="693"/>
      <c r="M258" s="763"/>
      <c r="N258" s="743"/>
      <c r="O258" s="78" t="s">
        <v>370</v>
      </c>
      <c r="P258" s="457" t="s">
        <v>405</v>
      </c>
      <c r="Q258" s="78" t="s">
        <v>423</v>
      </c>
      <c r="R258" s="66">
        <v>5781000</v>
      </c>
      <c r="S258" s="46"/>
      <c r="T258" s="38">
        <v>120</v>
      </c>
      <c r="U258" s="122">
        <v>44582</v>
      </c>
      <c r="V258" s="66">
        <v>5781000</v>
      </c>
      <c r="W258" s="38">
        <v>597</v>
      </c>
      <c r="X258" s="122" t="s">
        <v>858</v>
      </c>
      <c r="Y258" s="275">
        <v>5781000</v>
      </c>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row>
    <row r="259" spans="1:130" s="50" customFormat="1" ht="15" x14ac:dyDescent="0.25">
      <c r="A259" s="693"/>
      <c r="B259" s="767"/>
      <c r="C259" s="690"/>
      <c r="D259" s="737"/>
      <c r="E259" s="690"/>
      <c r="F259" s="711"/>
      <c r="G259" s="735"/>
      <c r="H259" s="711"/>
      <c r="I259" s="693"/>
      <c r="J259" s="693"/>
      <c r="K259" s="693"/>
      <c r="L259" s="693"/>
      <c r="M259" s="763"/>
      <c r="N259" s="743"/>
      <c r="O259" s="78" t="s">
        <v>371</v>
      </c>
      <c r="P259" s="457" t="s">
        <v>406</v>
      </c>
      <c r="Q259" s="78" t="s">
        <v>424</v>
      </c>
      <c r="R259" s="66">
        <v>9231240</v>
      </c>
      <c r="S259" s="46"/>
      <c r="T259" s="38">
        <v>121</v>
      </c>
      <c r="U259" s="122">
        <v>44582</v>
      </c>
      <c r="V259" s="66">
        <v>9231240</v>
      </c>
      <c r="W259" s="38">
        <v>601</v>
      </c>
      <c r="X259" s="122" t="s">
        <v>858</v>
      </c>
      <c r="Y259" s="275">
        <v>9231240</v>
      </c>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row>
    <row r="260" spans="1:130" s="50" customFormat="1" ht="15" x14ac:dyDescent="0.25">
      <c r="A260" s="693"/>
      <c r="B260" s="767"/>
      <c r="C260" s="690"/>
      <c r="D260" s="737"/>
      <c r="E260" s="690"/>
      <c r="F260" s="711"/>
      <c r="G260" s="735"/>
      <c r="H260" s="711"/>
      <c r="I260" s="693"/>
      <c r="J260" s="693"/>
      <c r="K260" s="693"/>
      <c r="L260" s="693"/>
      <c r="M260" s="763"/>
      <c r="N260" s="743"/>
      <c r="O260" s="78" t="s">
        <v>374</v>
      </c>
      <c r="P260" s="457" t="s">
        <v>407</v>
      </c>
      <c r="Q260" s="78" t="s">
        <v>425</v>
      </c>
      <c r="R260" s="274">
        <v>7180140</v>
      </c>
      <c r="S260" s="46"/>
      <c r="T260" s="38">
        <v>124</v>
      </c>
      <c r="U260" s="122">
        <v>44582</v>
      </c>
      <c r="V260" s="66">
        <v>7180140</v>
      </c>
      <c r="W260" s="38">
        <v>604</v>
      </c>
      <c r="X260" s="122" t="s">
        <v>858</v>
      </c>
      <c r="Y260" s="275">
        <v>7180140</v>
      </c>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row>
    <row r="261" spans="1:130" s="50" customFormat="1" ht="15" x14ac:dyDescent="0.25">
      <c r="A261" s="693"/>
      <c r="B261" s="767"/>
      <c r="C261" s="690"/>
      <c r="D261" s="737"/>
      <c r="E261" s="690"/>
      <c r="F261" s="711"/>
      <c r="G261" s="735"/>
      <c r="H261" s="711"/>
      <c r="I261" s="693"/>
      <c r="J261" s="693"/>
      <c r="K261" s="693"/>
      <c r="L261" s="693"/>
      <c r="M261" s="763"/>
      <c r="N261" s="743"/>
      <c r="O261" s="78" t="s">
        <v>375</v>
      </c>
      <c r="P261" s="457" t="s">
        <v>408</v>
      </c>
      <c r="Q261" s="78" t="s">
        <v>426</v>
      </c>
      <c r="R261" s="66">
        <v>7026667</v>
      </c>
      <c r="S261" s="46"/>
      <c r="T261" s="38">
        <v>119</v>
      </c>
      <c r="U261" s="122">
        <v>44582</v>
      </c>
      <c r="V261" s="66">
        <v>7026667</v>
      </c>
      <c r="W261" s="38">
        <v>594</v>
      </c>
      <c r="X261" s="122" t="s">
        <v>858</v>
      </c>
      <c r="Y261" s="275">
        <v>7026667</v>
      </c>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row>
    <row r="262" spans="1:130" s="50" customFormat="1" ht="15" x14ac:dyDescent="0.25">
      <c r="A262" s="693"/>
      <c r="B262" s="767"/>
      <c r="C262" s="690"/>
      <c r="D262" s="737"/>
      <c r="E262" s="690"/>
      <c r="F262" s="711"/>
      <c r="G262" s="735"/>
      <c r="H262" s="711"/>
      <c r="I262" s="693"/>
      <c r="J262" s="693"/>
      <c r="K262" s="693"/>
      <c r="L262" s="693"/>
      <c r="M262" s="763"/>
      <c r="N262" s="743"/>
      <c r="O262" s="78" t="s">
        <v>376</v>
      </c>
      <c r="P262" s="457" t="s">
        <v>409</v>
      </c>
      <c r="Q262" s="78" t="s">
        <v>427</v>
      </c>
      <c r="R262" s="66">
        <v>6456560</v>
      </c>
      <c r="S262" s="46"/>
      <c r="T262" s="38">
        <v>127</v>
      </c>
      <c r="U262" s="122">
        <v>44582</v>
      </c>
      <c r="V262" s="66">
        <v>6456560</v>
      </c>
      <c r="W262" s="38">
        <v>595</v>
      </c>
      <c r="X262" s="122" t="s">
        <v>858</v>
      </c>
      <c r="Y262" s="275">
        <v>6456560</v>
      </c>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row>
    <row r="263" spans="1:130" s="50" customFormat="1" ht="15" x14ac:dyDescent="0.25">
      <c r="A263" s="693"/>
      <c r="B263" s="767"/>
      <c r="C263" s="690"/>
      <c r="D263" s="737"/>
      <c r="E263" s="690"/>
      <c r="F263" s="711"/>
      <c r="G263" s="735"/>
      <c r="H263" s="711"/>
      <c r="I263" s="693"/>
      <c r="J263" s="693"/>
      <c r="K263" s="693"/>
      <c r="L263" s="693"/>
      <c r="M263" s="763"/>
      <c r="N263" s="743"/>
      <c r="O263" s="78" t="s">
        <v>377</v>
      </c>
      <c r="P263" s="457" t="s">
        <v>410</v>
      </c>
      <c r="Q263" s="78" t="s">
        <v>428</v>
      </c>
      <c r="R263" s="66">
        <v>7235800</v>
      </c>
      <c r="S263" s="46"/>
      <c r="T263" s="38">
        <v>118</v>
      </c>
      <c r="U263" s="122">
        <v>44582</v>
      </c>
      <c r="V263" s="66">
        <v>7235800</v>
      </c>
      <c r="W263" s="38">
        <v>589</v>
      </c>
      <c r="X263" s="122" t="s">
        <v>858</v>
      </c>
      <c r="Y263" s="275">
        <v>7235800</v>
      </c>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row>
    <row r="264" spans="1:130" s="50" customFormat="1" ht="15" x14ac:dyDescent="0.25">
      <c r="A264" s="693"/>
      <c r="B264" s="767"/>
      <c r="C264" s="690"/>
      <c r="D264" s="737"/>
      <c r="E264" s="690"/>
      <c r="F264" s="711"/>
      <c r="G264" s="735"/>
      <c r="H264" s="711"/>
      <c r="I264" s="693"/>
      <c r="J264" s="693"/>
      <c r="K264" s="693"/>
      <c r="L264" s="693"/>
      <c r="M264" s="763"/>
      <c r="N264" s="743"/>
      <c r="O264" s="78" t="s">
        <v>378</v>
      </c>
      <c r="P264" s="457" t="s">
        <v>411</v>
      </c>
      <c r="Q264" s="78" t="s">
        <v>429</v>
      </c>
      <c r="R264" s="66">
        <v>9231240</v>
      </c>
      <c r="S264" s="46"/>
      <c r="T264" s="38">
        <v>123</v>
      </c>
      <c r="U264" s="122">
        <v>44582</v>
      </c>
      <c r="V264" s="66">
        <v>9231240</v>
      </c>
      <c r="W264" s="38">
        <v>593</v>
      </c>
      <c r="X264" s="122" t="s">
        <v>858</v>
      </c>
      <c r="Y264" s="275">
        <v>9231240</v>
      </c>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row>
    <row r="265" spans="1:130" s="50" customFormat="1" ht="15" x14ac:dyDescent="0.25">
      <c r="A265" s="693"/>
      <c r="B265" s="767"/>
      <c r="C265" s="690"/>
      <c r="D265" s="737"/>
      <c r="E265" s="690"/>
      <c r="F265" s="711"/>
      <c r="G265" s="735"/>
      <c r="H265" s="711"/>
      <c r="I265" s="693"/>
      <c r="J265" s="693"/>
      <c r="K265" s="693"/>
      <c r="L265" s="693"/>
      <c r="M265" s="763"/>
      <c r="N265" s="743"/>
      <c r="O265" s="78" t="s">
        <v>385</v>
      </c>
      <c r="P265" s="457" t="s">
        <v>412</v>
      </c>
      <c r="Q265" s="78" t="s">
        <v>430</v>
      </c>
      <c r="R265" s="66">
        <v>8300960</v>
      </c>
      <c r="S265" s="46"/>
      <c r="T265" s="38">
        <v>187</v>
      </c>
      <c r="U265" s="122">
        <v>44587</v>
      </c>
      <c r="V265" s="66">
        <v>8300960</v>
      </c>
      <c r="W265" s="38">
        <v>1247</v>
      </c>
      <c r="X265" s="122" t="s">
        <v>856</v>
      </c>
      <c r="Y265" s="275">
        <v>8300960</v>
      </c>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row>
    <row r="266" spans="1:130" s="50" customFormat="1" ht="15" x14ac:dyDescent="0.25">
      <c r="A266" s="693"/>
      <c r="B266" s="767"/>
      <c r="C266" s="690"/>
      <c r="D266" s="737"/>
      <c r="E266" s="690"/>
      <c r="F266" s="711"/>
      <c r="G266" s="735"/>
      <c r="H266" s="711"/>
      <c r="I266" s="693"/>
      <c r="J266" s="693"/>
      <c r="K266" s="693"/>
      <c r="L266" s="693"/>
      <c r="M266" s="763"/>
      <c r="N266" s="743"/>
      <c r="O266" s="78" t="s">
        <v>386</v>
      </c>
      <c r="P266" s="457" t="s">
        <v>413</v>
      </c>
      <c r="Q266" s="78" t="s">
        <v>431</v>
      </c>
      <c r="R266" s="66">
        <v>9088120</v>
      </c>
      <c r="S266" s="46"/>
      <c r="T266" s="38">
        <v>219</v>
      </c>
      <c r="U266" s="122">
        <v>44588</v>
      </c>
      <c r="V266" s="66">
        <v>9088120</v>
      </c>
      <c r="W266" s="38">
        <v>1246</v>
      </c>
      <c r="X266" s="122" t="s">
        <v>856</v>
      </c>
      <c r="Y266" s="275">
        <v>9088120</v>
      </c>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row>
    <row r="267" spans="1:130" s="50" customFormat="1" ht="15" x14ac:dyDescent="0.25">
      <c r="A267" s="693"/>
      <c r="B267" s="767"/>
      <c r="C267" s="690"/>
      <c r="D267" s="737"/>
      <c r="E267" s="690"/>
      <c r="F267" s="711"/>
      <c r="G267" s="735"/>
      <c r="H267" s="711"/>
      <c r="I267" s="693"/>
      <c r="J267" s="693"/>
      <c r="K267" s="693"/>
      <c r="L267" s="693"/>
      <c r="M267" s="763"/>
      <c r="N267" s="743"/>
      <c r="O267" s="78" t="s">
        <v>388</v>
      </c>
      <c r="P267" s="457" t="s">
        <v>414</v>
      </c>
      <c r="Q267" s="78" t="s">
        <v>432</v>
      </c>
      <c r="R267" s="66">
        <v>9088120</v>
      </c>
      <c r="S267" s="46"/>
      <c r="T267" s="38">
        <v>218</v>
      </c>
      <c r="U267" s="122">
        <v>44588</v>
      </c>
      <c r="V267" s="66">
        <v>9088120</v>
      </c>
      <c r="W267" s="38">
        <v>1249</v>
      </c>
      <c r="X267" s="122" t="s">
        <v>856</v>
      </c>
      <c r="Y267" s="275">
        <v>9088120</v>
      </c>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row>
    <row r="268" spans="1:130" s="50" customFormat="1" ht="15" x14ac:dyDescent="0.25">
      <c r="A268" s="693"/>
      <c r="B268" s="767"/>
      <c r="C268" s="690"/>
      <c r="D268" s="737"/>
      <c r="E268" s="690"/>
      <c r="F268" s="711"/>
      <c r="G268" s="735"/>
      <c r="H268" s="711"/>
      <c r="I268" s="693"/>
      <c r="J268" s="693"/>
      <c r="K268" s="693"/>
      <c r="L268" s="693"/>
      <c r="M268" s="763"/>
      <c r="N268" s="743"/>
      <c r="O268" s="78" t="s">
        <v>389</v>
      </c>
      <c r="P268" s="457" t="s">
        <v>415</v>
      </c>
      <c r="Q268" s="78" t="s">
        <v>433</v>
      </c>
      <c r="R268" s="66">
        <v>4136000</v>
      </c>
      <c r="S268" s="46"/>
      <c r="T268" s="38">
        <v>282</v>
      </c>
      <c r="U268" s="122">
        <v>44589</v>
      </c>
      <c r="V268" s="66">
        <v>4136000</v>
      </c>
      <c r="W268" s="38">
        <v>2099</v>
      </c>
      <c r="X268" s="122" t="s">
        <v>1048</v>
      </c>
      <c r="Y268" s="275">
        <v>4136000</v>
      </c>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row>
    <row r="269" spans="1:130" s="50" customFormat="1" ht="15" x14ac:dyDescent="0.25">
      <c r="A269" s="693"/>
      <c r="B269" s="767"/>
      <c r="C269" s="690"/>
      <c r="D269" s="737"/>
      <c r="E269" s="690"/>
      <c r="F269" s="711"/>
      <c r="G269" s="735"/>
      <c r="H269" s="711"/>
      <c r="I269" s="693"/>
      <c r="J269" s="693"/>
      <c r="K269" s="693"/>
      <c r="L269" s="693"/>
      <c r="M269" s="763"/>
      <c r="N269" s="743"/>
      <c r="O269" s="78" t="s">
        <v>390</v>
      </c>
      <c r="P269" s="154" t="s">
        <v>885</v>
      </c>
      <c r="Q269" s="78" t="s">
        <v>434</v>
      </c>
      <c r="R269" s="66">
        <v>0</v>
      </c>
      <c r="S269" s="46"/>
      <c r="T269" s="38"/>
      <c r="U269" s="122"/>
      <c r="V269" s="66"/>
      <c r="W269" s="44"/>
      <c r="X269" s="79"/>
      <c r="Y269" s="275"/>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row>
    <row r="270" spans="1:130" s="50" customFormat="1" ht="15" x14ac:dyDescent="0.25">
      <c r="A270" s="693"/>
      <c r="B270" s="767"/>
      <c r="C270" s="690"/>
      <c r="D270" s="737"/>
      <c r="E270" s="690"/>
      <c r="F270" s="711"/>
      <c r="G270" s="735"/>
      <c r="H270" s="711"/>
      <c r="I270" s="693"/>
      <c r="J270" s="693"/>
      <c r="K270" s="693"/>
      <c r="L270" s="693"/>
      <c r="M270" s="763"/>
      <c r="N270" s="743"/>
      <c r="O270" s="78" t="s">
        <v>391</v>
      </c>
      <c r="P270" s="457" t="s">
        <v>416</v>
      </c>
      <c r="Q270" s="78" t="s">
        <v>435</v>
      </c>
      <c r="R270" s="274">
        <v>6297280</v>
      </c>
      <c r="S270" s="46"/>
      <c r="T270" s="38">
        <v>280</v>
      </c>
      <c r="U270" s="122">
        <v>44589</v>
      </c>
      <c r="V270" s="66">
        <v>6297280</v>
      </c>
      <c r="W270" s="38">
        <v>2144</v>
      </c>
      <c r="X270" s="122" t="s">
        <v>1049</v>
      </c>
      <c r="Y270" s="275">
        <v>6297280</v>
      </c>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row>
    <row r="271" spans="1:130" s="50" customFormat="1" ht="15" x14ac:dyDescent="0.25">
      <c r="A271" s="693"/>
      <c r="B271" s="767"/>
      <c r="C271" s="690"/>
      <c r="D271" s="737"/>
      <c r="E271" s="690"/>
      <c r="F271" s="711"/>
      <c r="G271" s="735"/>
      <c r="H271" s="711"/>
      <c r="I271" s="693"/>
      <c r="J271" s="693"/>
      <c r="K271" s="693"/>
      <c r="L271" s="693"/>
      <c r="M271" s="763"/>
      <c r="N271" s="743"/>
      <c r="O271" s="78" t="s">
        <v>392</v>
      </c>
      <c r="P271" s="457" t="s">
        <v>417</v>
      </c>
      <c r="Q271" s="78" t="s">
        <v>436</v>
      </c>
      <c r="R271" s="66">
        <v>4898080</v>
      </c>
      <c r="S271" s="46"/>
      <c r="T271" s="38">
        <v>277</v>
      </c>
      <c r="U271" s="122">
        <v>44589</v>
      </c>
      <c r="V271" s="66">
        <v>4898080</v>
      </c>
      <c r="W271" s="38">
        <v>2100</v>
      </c>
      <c r="X271" s="122" t="s">
        <v>1048</v>
      </c>
      <c r="Y271" s="275">
        <v>4898080</v>
      </c>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row>
    <row r="272" spans="1:130" s="50" customFormat="1" ht="15" x14ac:dyDescent="0.25">
      <c r="A272" s="693"/>
      <c r="B272" s="767"/>
      <c r="C272" s="690"/>
      <c r="D272" s="737"/>
      <c r="E272" s="690"/>
      <c r="F272" s="711"/>
      <c r="G272" s="735"/>
      <c r="H272" s="711"/>
      <c r="I272" s="693"/>
      <c r="J272" s="693"/>
      <c r="K272" s="693"/>
      <c r="L272" s="693"/>
      <c r="M272" s="763"/>
      <c r="N272" s="743"/>
      <c r="O272" s="78" t="s">
        <v>393</v>
      </c>
      <c r="P272" s="154" t="s">
        <v>885</v>
      </c>
      <c r="Q272" s="78" t="s">
        <v>437</v>
      </c>
      <c r="R272" s="66">
        <v>0</v>
      </c>
      <c r="S272" s="46"/>
      <c r="T272" s="38"/>
      <c r="U272" s="122"/>
      <c r="V272" s="66"/>
      <c r="W272" s="44"/>
      <c r="X272" s="79"/>
      <c r="Y272" s="275"/>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row>
    <row r="273" spans="1:130" s="50" customFormat="1" ht="15" x14ac:dyDescent="0.25">
      <c r="A273" s="693"/>
      <c r="B273" s="767"/>
      <c r="C273" s="690"/>
      <c r="D273" s="737"/>
      <c r="E273" s="690"/>
      <c r="F273" s="711"/>
      <c r="G273" s="735"/>
      <c r="H273" s="711"/>
      <c r="I273" s="693"/>
      <c r="J273" s="693"/>
      <c r="K273" s="693"/>
      <c r="L273" s="693"/>
      <c r="M273" s="763"/>
      <c r="N273" s="743"/>
      <c r="O273" s="78" t="s">
        <v>394</v>
      </c>
      <c r="P273" s="154" t="s">
        <v>885</v>
      </c>
      <c r="Q273" s="78" t="s">
        <v>438</v>
      </c>
      <c r="R273" s="66">
        <v>0</v>
      </c>
      <c r="S273" s="46"/>
      <c r="T273" s="38"/>
      <c r="U273" s="122"/>
      <c r="V273" s="66"/>
      <c r="W273" s="44"/>
      <c r="X273" s="79"/>
      <c r="Y273" s="275"/>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row>
    <row r="274" spans="1:130" s="50" customFormat="1" ht="15" x14ac:dyDescent="0.25">
      <c r="A274" s="693"/>
      <c r="B274" s="767"/>
      <c r="C274" s="690"/>
      <c r="D274" s="737"/>
      <c r="E274" s="690"/>
      <c r="F274" s="711"/>
      <c r="G274" s="735"/>
      <c r="H274" s="711"/>
      <c r="I274" s="693"/>
      <c r="J274" s="693"/>
      <c r="K274" s="693"/>
      <c r="L274" s="693"/>
      <c r="M274" s="763"/>
      <c r="N274" s="743"/>
      <c r="O274" s="78" t="s">
        <v>395</v>
      </c>
      <c r="P274" s="154" t="s">
        <v>885</v>
      </c>
      <c r="Q274" s="78" t="s">
        <v>439</v>
      </c>
      <c r="R274" s="66">
        <v>0</v>
      </c>
      <c r="S274" s="46"/>
      <c r="T274" s="38"/>
      <c r="U274" s="122"/>
      <c r="V274" s="66"/>
      <c r="W274" s="44"/>
      <c r="X274" s="79"/>
      <c r="Y274" s="275"/>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row>
    <row r="275" spans="1:130" s="50" customFormat="1" ht="15" x14ac:dyDescent="0.25">
      <c r="A275" s="693"/>
      <c r="B275" s="767"/>
      <c r="C275" s="690"/>
      <c r="D275" s="737"/>
      <c r="E275" s="690"/>
      <c r="F275" s="711"/>
      <c r="G275" s="735"/>
      <c r="H275" s="711"/>
      <c r="I275" s="693"/>
      <c r="J275" s="693"/>
      <c r="K275" s="693"/>
      <c r="L275" s="693"/>
      <c r="M275" s="763"/>
      <c r="N275" s="743"/>
      <c r="O275" s="78" t="s">
        <v>396</v>
      </c>
      <c r="P275" s="457" t="s">
        <v>418</v>
      </c>
      <c r="Q275" s="78" t="s">
        <v>440</v>
      </c>
      <c r="R275" s="274">
        <v>6297280</v>
      </c>
      <c r="S275" s="46"/>
      <c r="T275" s="38">
        <v>264</v>
      </c>
      <c r="U275" s="122">
        <v>44589</v>
      </c>
      <c r="V275" s="66">
        <v>6297280</v>
      </c>
      <c r="W275" s="38">
        <v>2114</v>
      </c>
      <c r="X275" s="122" t="s">
        <v>1046</v>
      </c>
      <c r="Y275" s="275">
        <v>6297280</v>
      </c>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row>
    <row r="276" spans="1:130" s="50" customFormat="1" ht="15" x14ac:dyDescent="0.25">
      <c r="A276" s="693"/>
      <c r="B276" s="767"/>
      <c r="C276" s="690"/>
      <c r="D276" s="737"/>
      <c r="E276" s="690"/>
      <c r="F276" s="711"/>
      <c r="G276" s="735"/>
      <c r="H276" s="711"/>
      <c r="I276" s="693"/>
      <c r="J276" s="693"/>
      <c r="K276" s="693"/>
      <c r="L276" s="693"/>
      <c r="M276" s="763"/>
      <c r="N276" s="743"/>
      <c r="O276" s="78" t="s">
        <v>397</v>
      </c>
      <c r="P276" s="457" t="s">
        <v>419</v>
      </c>
      <c r="Q276" s="78" t="s">
        <v>441</v>
      </c>
      <c r="R276" s="66">
        <v>6297280</v>
      </c>
      <c r="S276" s="46"/>
      <c r="T276" s="250">
        <v>283</v>
      </c>
      <c r="U276" s="122" t="s">
        <v>856</v>
      </c>
      <c r="V276" s="66">
        <v>6297280</v>
      </c>
      <c r="W276" s="250">
        <v>2106</v>
      </c>
      <c r="X276" s="122" t="s">
        <v>1048</v>
      </c>
      <c r="Y276" s="275">
        <v>6297280</v>
      </c>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row>
    <row r="277" spans="1:130" s="50" customFormat="1" ht="15" x14ac:dyDescent="0.25">
      <c r="A277" s="693"/>
      <c r="B277" s="767"/>
      <c r="C277" s="690"/>
      <c r="D277" s="737"/>
      <c r="E277" s="690"/>
      <c r="F277" s="711"/>
      <c r="G277" s="735"/>
      <c r="H277" s="711"/>
      <c r="I277" s="693"/>
      <c r="J277" s="693"/>
      <c r="K277" s="693"/>
      <c r="L277" s="693"/>
      <c r="M277" s="763"/>
      <c r="N277" s="743"/>
      <c r="O277" s="78" t="s">
        <v>1442</v>
      </c>
      <c r="P277" s="457" t="s">
        <v>1443</v>
      </c>
      <c r="Q277" s="78" t="s">
        <v>1444</v>
      </c>
      <c r="R277" s="66">
        <v>3228280</v>
      </c>
      <c r="S277" s="46"/>
      <c r="T277" s="38">
        <v>686</v>
      </c>
      <c r="U277" s="122">
        <v>44721</v>
      </c>
      <c r="V277" s="274">
        <v>3228280</v>
      </c>
      <c r="W277" s="38">
        <v>2872</v>
      </c>
      <c r="X277" s="122">
        <v>44722</v>
      </c>
      <c r="Y277" s="275">
        <v>3228280</v>
      </c>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row>
    <row r="278" spans="1:130" s="50" customFormat="1" ht="15" x14ac:dyDescent="0.25">
      <c r="A278" s="693"/>
      <c r="B278" s="767"/>
      <c r="C278" s="690"/>
      <c r="D278" s="737"/>
      <c r="E278" s="690"/>
      <c r="F278" s="711"/>
      <c r="G278" s="735"/>
      <c r="H278" s="711"/>
      <c r="I278" s="693"/>
      <c r="J278" s="693"/>
      <c r="K278" s="693"/>
      <c r="L278" s="693"/>
      <c r="M278" s="763"/>
      <c r="N278" s="743"/>
      <c r="O278" s="78" t="s">
        <v>1851</v>
      </c>
      <c r="P278" s="457">
        <v>384</v>
      </c>
      <c r="Q278" s="78" t="s">
        <v>1852</v>
      </c>
      <c r="R278" s="274">
        <v>177844400</v>
      </c>
      <c r="S278" s="46"/>
      <c r="T278" s="329">
        <v>861</v>
      </c>
      <c r="U278" s="273">
        <v>44764</v>
      </c>
      <c r="V278" s="274">
        <v>177844400</v>
      </c>
      <c r="W278" s="329">
        <v>3816</v>
      </c>
      <c r="X278" s="273" t="s">
        <v>2859</v>
      </c>
      <c r="Y278" s="275">
        <v>9302800</v>
      </c>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row>
    <row r="279" spans="1:130" s="50" customFormat="1" ht="15" x14ac:dyDescent="0.25">
      <c r="A279" s="693"/>
      <c r="B279" s="767"/>
      <c r="C279" s="690"/>
      <c r="D279" s="737"/>
      <c r="E279" s="690"/>
      <c r="F279" s="711"/>
      <c r="G279" s="735"/>
      <c r="H279" s="711"/>
      <c r="I279" s="693"/>
      <c r="J279" s="693"/>
      <c r="K279" s="693"/>
      <c r="L279" s="693"/>
      <c r="M279" s="763"/>
      <c r="N279" s="743"/>
      <c r="O279" s="78"/>
      <c r="P279" s="148"/>
      <c r="Q279" s="78"/>
      <c r="R279" s="274"/>
      <c r="S279" s="46"/>
      <c r="T279" s="391"/>
      <c r="U279" s="273"/>
      <c r="V279" s="274"/>
      <c r="W279" s="391">
        <v>3818</v>
      </c>
      <c r="X279" s="273" t="s">
        <v>2859</v>
      </c>
      <c r="Y279" s="275">
        <v>9302800</v>
      </c>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row>
    <row r="280" spans="1:130" s="50" customFormat="1" ht="15" x14ac:dyDescent="0.25">
      <c r="A280" s="693"/>
      <c r="B280" s="767"/>
      <c r="C280" s="690"/>
      <c r="D280" s="737"/>
      <c r="E280" s="690"/>
      <c r="F280" s="711"/>
      <c r="G280" s="735"/>
      <c r="H280" s="711"/>
      <c r="I280" s="693"/>
      <c r="J280" s="693"/>
      <c r="K280" s="693"/>
      <c r="L280" s="693"/>
      <c r="M280" s="763"/>
      <c r="N280" s="743"/>
      <c r="O280" s="78"/>
      <c r="P280" s="148"/>
      <c r="Q280" s="78"/>
      <c r="R280" s="274"/>
      <c r="S280" s="46"/>
      <c r="T280" s="391"/>
      <c r="U280" s="273"/>
      <c r="V280" s="274"/>
      <c r="W280" s="391">
        <v>3819</v>
      </c>
      <c r="X280" s="273" t="s">
        <v>2859</v>
      </c>
      <c r="Y280" s="275">
        <v>9302800</v>
      </c>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row>
    <row r="281" spans="1:130" s="50" customFormat="1" ht="15" x14ac:dyDescent="0.25">
      <c r="A281" s="693"/>
      <c r="B281" s="767"/>
      <c r="C281" s="690"/>
      <c r="D281" s="737"/>
      <c r="E281" s="690"/>
      <c r="F281" s="711"/>
      <c r="G281" s="735"/>
      <c r="H281" s="711"/>
      <c r="I281" s="693"/>
      <c r="J281" s="693"/>
      <c r="K281" s="693"/>
      <c r="L281" s="693"/>
      <c r="M281" s="763"/>
      <c r="N281" s="743"/>
      <c r="O281" s="78"/>
      <c r="P281" s="148"/>
      <c r="Q281" s="78"/>
      <c r="R281" s="274"/>
      <c r="S281" s="46"/>
      <c r="T281" s="391"/>
      <c r="U281" s="273"/>
      <c r="V281" s="274"/>
      <c r="W281" s="391">
        <v>3822</v>
      </c>
      <c r="X281" s="273" t="s">
        <v>2859</v>
      </c>
      <c r="Y281" s="275">
        <v>7625420</v>
      </c>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row>
    <row r="282" spans="1:130" s="50" customFormat="1" ht="15" x14ac:dyDescent="0.25">
      <c r="A282" s="693"/>
      <c r="B282" s="767"/>
      <c r="C282" s="690"/>
      <c r="D282" s="737"/>
      <c r="E282" s="690"/>
      <c r="F282" s="711"/>
      <c r="G282" s="735"/>
      <c r="H282" s="711"/>
      <c r="I282" s="693"/>
      <c r="J282" s="693"/>
      <c r="K282" s="693"/>
      <c r="L282" s="693"/>
      <c r="M282" s="763"/>
      <c r="N282" s="743"/>
      <c r="O282" s="78"/>
      <c r="P282" s="148"/>
      <c r="Q282" s="78"/>
      <c r="R282" s="274"/>
      <c r="S282" s="46"/>
      <c r="T282" s="391"/>
      <c r="U282" s="273"/>
      <c r="V282" s="274"/>
      <c r="W282" s="391">
        <v>3826</v>
      </c>
      <c r="X282" s="273" t="s">
        <v>2859</v>
      </c>
      <c r="Y282" s="275">
        <v>9302800</v>
      </c>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row>
    <row r="283" spans="1:130" s="50" customFormat="1" ht="15" x14ac:dyDescent="0.25">
      <c r="A283" s="693"/>
      <c r="B283" s="767"/>
      <c r="C283" s="690"/>
      <c r="D283" s="737"/>
      <c r="E283" s="690"/>
      <c r="F283" s="711"/>
      <c r="G283" s="735"/>
      <c r="H283" s="711"/>
      <c r="I283" s="693"/>
      <c r="J283" s="693"/>
      <c r="K283" s="693"/>
      <c r="L283" s="693"/>
      <c r="M283" s="763"/>
      <c r="N283" s="743"/>
      <c r="O283" s="78"/>
      <c r="P283" s="148"/>
      <c r="Q283" s="78"/>
      <c r="R283" s="274"/>
      <c r="S283" s="46"/>
      <c r="T283" s="391"/>
      <c r="U283" s="273"/>
      <c r="V283" s="274"/>
      <c r="W283" s="391">
        <v>3838</v>
      </c>
      <c r="X283" s="273" t="s">
        <v>2859</v>
      </c>
      <c r="Y283" s="275">
        <v>9302800</v>
      </c>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row>
    <row r="284" spans="1:130" s="50" customFormat="1" ht="15" x14ac:dyDescent="0.25">
      <c r="A284" s="693"/>
      <c r="B284" s="767"/>
      <c r="C284" s="690"/>
      <c r="D284" s="737"/>
      <c r="E284" s="690"/>
      <c r="F284" s="711"/>
      <c r="G284" s="735"/>
      <c r="H284" s="711"/>
      <c r="I284" s="693"/>
      <c r="J284" s="693"/>
      <c r="K284" s="693"/>
      <c r="L284" s="693"/>
      <c r="M284" s="763"/>
      <c r="N284" s="743"/>
      <c r="O284" s="78"/>
      <c r="P284" s="148"/>
      <c r="Q284" s="78"/>
      <c r="R284" s="274"/>
      <c r="S284" s="46"/>
      <c r="T284" s="391"/>
      <c r="U284" s="273"/>
      <c r="V284" s="274"/>
      <c r="W284" s="391">
        <v>3839</v>
      </c>
      <c r="X284" s="273" t="s">
        <v>2859</v>
      </c>
      <c r="Y284" s="275">
        <v>6850000</v>
      </c>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row>
    <row r="285" spans="1:130" s="50" customFormat="1" ht="15" x14ac:dyDescent="0.25">
      <c r="A285" s="693"/>
      <c r="B285" s="767"/>
      <c r="C285" s="690"/>
      <c r="D285" s="737"/>
      <c r="E285" s="690"/>
      <c r="F285" s="711"/>
      <c r="G285" s="735"/>
      <c r="H285" s="711"/>
      <c r="I285" s="693"/>
      <c r="J285" s="693"/>
      <c r="K285" s="693"/>
      <c r="L285" s="693"/>
      <c r="M285" s="763"/>
      <c r="N285" s="743"/>
      <c r="O285" s="78"/>
      <c r="P285" s="148"/>
      <c r="Q285" s="78"/>
      <c r="R285" s="274"/>
      <c r="S285" s="46"/>
      <c r="T285" s="391"/>
      <c r="U285" s="273"/>
      <c r="V285" s="274"/>
      <c r="W285" s="391">
        <v>3842</v>
      </c>
      <c r="X285" s="273" t="s">
        <v>2859</v>
      </c>
      <c r="Y285" s="275">
        <v>7625420</v>
      </c>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row>
    <row r="286" spans="1:130" s="50" customFormat="1" ht="15" x14ac:dyDescent="0.25">
      <c r="A286" s="693"/>
      <c r="B286" s="767"/>
      <c r="C286" s="690"/>
      <c r="D286" s="737"/>
      <c r="E286" s="690"/>
      <c r="F286" s="711"/>
      <c r="G286" s="735"/>
      <c r="H286" s="711"/>
      <c r="I286" s="693"/>
      <c r="J286" s="693"/>
      <c r="K286" s="693"/>
      <c r="L286" s="693"/>
      <c r="M286" s="763"/>
      <c r="N286" s="743"/>
      <c r="O286" s="78"/>
      <c r="P286" s="148"/>
      <c r="Q286" s="78"/>
      <c r="R286" s="274"/>
      <c r="S286" s="46"/>
      <c r="T286" s="391"/>
      <c r="U286" s="273"/>
      <c r="V286" s="274"/>
      <c r="W286" s="391">
        <v>3846</v>
      </c>
      <c r="X286" s="273" t="s">
        <v>2859</v>
      </c>
      <c r="Y286" s="275">
        <v>9302800</v>
      </c>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row>
    <row r="287" spans="1:130" s="50" customFormat="1" ht="15" x14ac:dyDescent="0.25">
      <c r="A287" s="693"/>
      <c r="B287" s="767"/>
      <c r="C287" s="690"/>
      <c r="D287" s="737"/>
      <c r="E287" s="690"/>
      <c r="F287" s="711"/>
      <c r="G287" s="735"/>
      <c r="H287" s="711"/>
      <c r="I287" s="693"/>
      <c r="J287" s="693"/>
      <c r="K287" s="693"/>
      <c r="L287" s="693"/>
      <c r="M287" s="763"/>
      <c r="N287" s="743"/>
      <c r="O287" s="78"/>
      <c r="P287" s="148"/>
      <c r="Q287" s="78"/>
      <c r="R287" s="274"/>
      <c r="S287" s="46"/>
      <c r="T287" s="391"/>
      <c r="U287" s="273"/>
      <c r="V287" s="274"/>
      <c r="W287" s="391">
        <v>3847</v>
      </c>
      <c r="X287" s="273" t="s">
        <v>2859</v>
      </c>
      <c r="Y287" s="275">
        <v>7235800</v>
      </c>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row>
    <row r="288" spans="1:130" s="50" customFormat="1" ht="15" x14ac:dyDescent="0.25">
      <c r="A288" s="693"/>
      <c r="B288" s="767"/>
      <c r="C288" s="690"/>
      <c r="D288" s="737"/>
      <c r="E288" s="690"/>
      <c r="F288" s="711"/>
      <c r="G288" s="735"/>
      <c r="H288" s="711"/>
      <c r="I288" s="693"/>
      <c r="J288" s="693"/>
      <c r="K288" s="693"/>
      <c r="L288" s="693"/>
      <c r="M288" s="763"/>
      <c r="N288" s="743"/>
      <c r="O288" s="78"/>
      <c r="P288" s="148"/>
      <c r="Q288" s="78"/>
      <c r="R288" s="274"/>
      <c r="S288" s="46"/>
      <c r="T288" s="391"/>
      <c r="U288" s="273"/>
      <c r="V288" s="274"/>
      <c r="W288" s="391">
        <v>3949</v>
      </c>
      <c r="X288" s="273" t="s">
        <v>2862</v>
      </c>
      <c r="Y288" s="275">
        <v>15633333</v>
      </c>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row>
    <row r="289" spans="1:130" s="50" customFormat="1" ht="15" x14ac:dyDescent="0.25">
      <c r="A289" s="693"/>
      <c r="B289" s="767"/>
      <c r="C289" s="690"/>
      <c r="D289" s="737"/>
      <c r="E289" s="690"/>
      <c r="F289" s="711"/>
      <c r="G289" s="735"/>
      <c r="H289" s="711"/>
      <c r="I289" s="693"/>
      <c r="J289" s="693"/>
      <c r="K289" s="693"/>
      <c r="L289" s="693"/>
      <c r="M289" s="763"/>
      <c r="N289" s="743"/>
      <c r="O289" s="78"/>
      <c r="P289" s="148"/>
      <c r="Q289" s="78"/>
      <c r="R289" s="274"/>
      <c r="S289" s="46"/>
      <c r="T289" s="391"/>
      <c r="U289" s="273"/>
      <c r="V289" s="274"/>
      <c r="W289" s="391">
        <v>4289</v>
      </c>
      <c r="X289" s="273" t="s">
        <v>2862</v>
      </c>
      <c r="Y289" s="275">
        <v>6871667</v>
      </c>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row>
    <row r="290" spans="1:130" s="50" customFormat="1" ht="15" x14ac:dyDescent="0.25">
      <c r="A290" s="693"/>
      <c r="B290" s="767"/>
      <c r="C290" s="690"/>
      <c r="D290" s="737"/>
      <c r="E290" s="690"/>
      <c r="F290" s="711"/>
      <c r="G290" s="735"/>
      <c r="H290" s="711"/>
      <c r="I290" s="693"/>
      <c r="J290" s="693"/>
      <c r="K290" s="693"/>
      <c r="L290" s="693"/>
      <c r="M290" s="763"/>
      <c r="N290" s="743"/>
      <c r="O290" s="78"/>
      <c r="P290" s="148"/>
      <c r="Q290" s="78"/>
      <c r="R290" s="274"/>
      <c r="S290" s="46"/>
      <c r="T290" s="391"/>
      <c r="U290" s="273"/>
      <c r="V290" s="274"/>
      <c r="W290" s="391">
        <v>4343</v>
      </c>
      <c r="X290" s="273" t="s">
        <v>2887</v>
      </c>
      <c r="Y290" s="275">
        <v>5621660</v>
      </c>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row>
    <row r="291" spans="1:130" s="50" customFormat="1" ht="15" x14ac:dyDescent="0.25">
      <c r="A291" s="693"/>
      <c r="B291" s="767"/>
      <c r="C291" s="690"/>
      <c r="D291" s="737"/>
      <c r="E291" s="690"/>
      <c r="F291" s="711"/>
      <c r="G291" s="735"/>
      <c r="H291" s="711"/>
      <c r="I291" s="693"/>
      <c r="J291" s="693"/>
      <c r="K291" s="693"/>
      <c r="L291" s="693"/>
      <c r="M291" s="763"/>
      <c r="N291" s="743"/>
      <c r="O291" s="78"/>
      <c r="P291" s="148"/>
      <c r="Q291" s="78"/>
      <c r="R291" s="274"/>
      <c r="S291" s="46"/>
      <c r="T291" s="391"/>
      <c r="U291" s="273"/>
      <c r="V291" s="274"/>
      <c r="W291" s="391">
        <v>4373</v>
      </c>
      <c r="X291" s="273" t="s">
        <v>2878</v>
      </c>
      <c r="Y291" s="275">
        <v>9088120</v>
      </c>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row>
    <row r="292" spans="1:130" s="50" customFormat="1" ht="15" x14ac:dyDescent="0.25">
      <c r="A292" s="693"/>
      <c r="B292" s="767"/>
      <c r="C292" s="690"/>
      <c r="D292" s="737"/>
      <c r="E292" s="690"/>
      <c r="F292" s="711"/>
      <c r="G292" s="735"/>
      <c r="H292" s="711"/>
      <c r="I292" s="693"/>
      <c r="J292" s="693"/>
      <c r="K292" s="693"/>
      <c r="L292" s="693"/>
      <c r="M292" s="763"/>
      <c r="N292" s="743"/>
      <c r="O292" s="78"/>
      <c r="P292" s="148"/>
      <c r="Q292" s="78"/>
      <c r="R292" s="274"/>
      <c r="S292" s="46"/>
      <c r="T292" s="391"/>
      <c r="U292" s="273"/>
      <c r="V292" s="274"/>
      <c r="W292" s="391">
        <v>4449</v>
      </c>
      <c r="X292" s="273" t="s">
        <v>2868</v>
      </c>
      <c r="Y292" s="275">
        <v>8873333</v>
      </c>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row>
    <row r="293" spans="1:130" s="50" customFormat="1" ht="15" x14ac:dyDescent="0.25">
      <c r="A293" s="693"/>
      <c r="B293" s="767"/>
      <c r="C293" s="690"/>
      <c r="D293" s="737"/>
      <c r="E293" s="690"/>
      <c r="F293" s="711"/>
      <c r="G293" s="735"/>
      <c r="H293" s="711"/>
      <c r="I293" s="693"/>
      <c r="J293" s="693"/>
      <c r="K293" s="693"/>
      <c r="L293" s="693"/>
      <c r="M293" s="763"/>
      <c r="N293" s="743"/>
      <c r="O293" s="78"/>
      <c r="P293" s="148"/>
      <c r="Q293" s="78"/>
      <c r="R293" s="274"/>
      <c r="S293" s="46"/>
      <c r="T293" s="391"/>
      <c r="U293" s="273"/>
      <c r="V293" s="274"/>
      <c r="W293" s="391">
        <v>4523</v>
      </c>
      <c r="X293" s="273" t="s">
        <v>2842</v>
      </c>
      <c r="Y293" s="275">
        <v>8229400</v>
      </c>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row>
    <row r="294" spans="1:130" s="50" customFormat="1" ht="15" x14ac:dyDescent="0.25">
      <c r="A294" s="693"/>
      <c r="B294" s="767"/>
      <c r="C294" s="690"/>
      <c r="D294" s="737"/>
      <c r="E294" s="690"/>
      <c r="F294" s="711"/>
      <c r="G294" s="735"/>
      <c r="H294" s="711"/>
      <c r="I294" s="693"/>
      <c r="J294" s="693"/>
      <c r="K294" s="693"/>
      <c r="L294" s="693"/>
      <c r="M294" s="763"/>
      <c r="N294" s="743"/>
      <c r="O294" s="78"/>
      <c r="P294" s="148"/>
      <c r="Q294" s="78"/>
      <c r="R294" s="274"/>
      <c r="S294" s="46"/>
      <c r="T294" s="391"/>
      <c r="U294" s="273"/>
      <c r="V294" s="274"/>
      <c r="W294" s="391">
        <v>4524</v>
      </c>
      <c r="X294" s="273" t="s">
        <v>2842</v>
      </c>
      <c r="Y294" s="275">
        <v>8300960</v>
      </c>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row>
    <row r="295" spans="1:130" s="50" customFormat="1" ht="15" x14ac:dyDescent="0.25">
      <c r="A295" s="693"/>
      <c r="B295" s="767"/>
      <c r="C295" s="690"/>
      <c r="D295" s="737"/>
      <c r="E295" s="690"/>
      <c r="F295" s="711"/>
      <c r="G295" s="735"/>
      <c r="H295" s="711"/>
      <c r="I295" s="693"/>
      <c r="J295" s="693"/>
      <c r="K295" s="693"/>
      <c r="L295" s="693"/>
      <c r="M295" s="763"/>
      <c r="N295" s="743"/>
      <c r="O295" s="78"/>
      <c r="P295" s="148"/>
      <c r="Q295" s="78"/>
      <c r="R295" s="274"/>
      <c r="S295" s="46"/>
      <c r="T295" s="667"/>
      <c r="U295" s="273"/>
      <c r="V295" s="274"/>
      <c r="W295" s="667">
        <v>4526</v>
      </c>
      <c r="X295" s="273" t="s">
        <v>2842</v>
      </c>
      <c r="Y295" s="275">
        <v>8300960</v>
      </c>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row>
    <row r="296" spans="1:130" s="50" customFormat="1" ht="15" x14ac:dyDescent="0.25">
      <c r="A296" s="693"/>
      <c r="B296" s="767"/>
      <c r="C296" s="690"/>
      <c r="D296" s="737"/>
      <c r="E296" s="690"/>
      <c r="F296" s="711"/>
      <c r="G296" s="735"/>
      <c r="H296" s="711"/>
      <c r="I296" s="693"/>
      <c r="J296" s="693"/>
      <c r="K296" s="693"/>
      <c r="L296" s="693"/>
      <c r="M296" s="763"/>
      <c r="N296" s="743"/>
      <c r="O296" s="78"/>
      <c r="P296" s="148"/>
      <c r="Q296" s="78"/>
      <c r="R296" s="274"/>
      <c r="S296" s="46"/>
      <c r="T296" s="667"/>
      <c r="U296" s="273"/>
      <c r="V296" s="274"/>
      <c r="W296" s="667">
        <v>5216</v>
      </c>
      <c r="X296" s="273" t="s">
        <v>2856</v>
      </c>
      <c r="Y296" s="275">
        <v>5295440</v>
      </c>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row>
    <row r="297" spans="1:130" s="50" customFormat="1" ht="15" x14ac:dyDescent="0.25">
      <c r="A297" s="693"/>
      <c r="B297" s="767"/>
      <c r="C297" s="690"/>
      <c r="D297" s="737"/>
      <c r="E297" s="690"/>
      <c r="F297" s="711"/>
      <c r="G297" s="735"/>
      <c r="H297" s="711"/>
      <c r="I297" s="693"/>
      <c r="J297" s="693"/>
      <c r="K297" s="693"/>
      <c r="L297" s="693"/>
      <c r="M297" s="763"/>
      <c r="N297" s="743"/>
      <c r="O297" s="78"/>
      <c r="P297" s="148"/>
      <c r="Q297" s="78"/>
      <c r="R297" s="274"/>
      <c r="S297" s="46"/>
      <c r="T297" s="667"/>
      <c r="U297" s="273"/>
      <c r="V297" s="274"/>
      <c r="W297" s="667">
        <v>5323</v>
      </c>
      <c r="X297" s="273" t="s">
        <v>2776</v>
      </c>
      <c r="Y297" s="275">
        <v>4293600</v>
      </c>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row>
    <row r="298" spans="1:130" s="50" customFormat="1" ht="15" x14ac:dyDescent="0.25">
      <c r="A298" s="693"/>
      <c r="B298" s="767"/>
      <c r="C298" s="690"/>
      <c r="D298" s="737"/>
      <c r="E298" s="690"/>
      <c r="F298" s="711"/>
      <c r="G298" s="735"/>
      <c r="H298" s="711"/>
      <c r="I298" s="693"/>
      <c r="J298" s="693"/>
      <c r="K298" s="693"/>
      <c r="L298" s="693"/>
      <c r="M298" s="763"/>
      <c r="N298" s="743"/>
      <c r="O298" s="78"/>
      <c r="P298" s="148"/>
      <c r="Q298" s="78"/>
      <c r="R298" s="274"/>
      <c r="S298" s="46"/>
      <c r="T298" s="667"/>
      <c r="U298" s="273"/>
      <c r="V298" s="274"/>
      <c r="W298" s="667">
        <v>5346</v>
      </c>
      <c r="X298" s="273" t="s">
        <v>2811</v>
      </c>
      <c r="Y298" s="275">
        <v>4222040</v>
      </c>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row>
    <row r="299" spans="1:130" s="50" customFormat="1" ht="15" x14ac:dyDescent="0.25">
      <c r="A299" s="693"/>
      <c r="B299" s="767"/>
      <c r="C299" s="690"/>
      <c r="D299" s="737"/>
      <c r="E299" s="690"/>
      <c r="F299" s="711"/>
      <c r="G299" s="735"/>
      <c r="H299" s="711"/>
      <c r="I299" s="693"/>
      <c r="J299" s="693"/>
      <c r="K299" s="693"/>
      <c r="L299" s="693"/>
      <c r="M299" s="763"/>
      <c r="N299" s="743"/>
      <c r="O299" s="78"/>
      <c r="P299" s="148"/>
      <c r="Q299" s="78"/>
      <c r="R299" s="274"/>
      <c r="S299" s="46"/>
      <c r="T299" s="667"/>
      <c r="U299" s="273"/>
      <c r="V299" s="274"/>
      <c r="W299" s="667">
        <v>5559</v>
      </c>
      <c r="X299" s="273" t="s">
        <v>2779</v>
      </c>
      <c r="Y299" s="275">
        <v>2500000</v>
      </c>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row>
    <row r="300" spans="1:130" s="50" customFormat="1" ht="15" x14ac:dyDescent="0.25">
      <c r="A300" s="693"/>
      <c r="B300" s="767"/>
      <c r="C300" s="690"/>
      <c r="D300" s="737"/>
      <c r="E300" s="690"/>
      <c r="F300" s="711"/>
      <c r="G300" s="735"/>
      <c r="H300" s="711"/>
      <c r="I300" s="693"/>
      <c r="J300" s="693"/>
      <c r="K300" s="693"/>
      <c r="L300" s="693"/>
      <c r="M300" s="763"/>
      <c r="N300" s="743"/>
      <c r="O300" s="78"/>
      <c r="P300" s="148"/>
      <c r="Q300" s="78"/>
      <c r="R300" s="274"/>
      <c r="S300" s="46"/>
      <c r="T300" s="667"/>
      <c r="U300" s="273"/>
      <c r="V300" s="274"/>
      <c r="W300" s="667">
        <v>5821</v>
      </c>
      <c r="X300" s="273" t="s">
        <v>2788</v>
      </c>
      <c r="Y300" s="275">
        <v>3220200</v>
      </c>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row>
    <row r="301" spans="1:130" s="50" customFormat="1" ht="15" x14ac:dyDescent="0.25">
      <c r="A301" s="693"/>
      <c r="B301" s="767"/>
      <c r="C301" s="690"/>
      <c r="D301" s="737"/>
      <c r="E301" s="690"/>
      <c r="F301" s="711"/>
      <c r="G301" s="735"/>
      <c r="H301" s="711"/>
      <c r="I301" s="693"/>
      <c r="J301" s="693"/>
      <c r="K301" s="693"/>
      <c r="L301" s="693"/>
      <c r="M301" s="763"/>
      <c r="N301" s="743"/>
      <c r="O301" s="78"/>
      <c r="P301" s="148"/>
      <c r="Q301" s="78"/>
      <c r="R301" s="274"/>
      <c r="S301" s="46"/>
      <c r="T301" s="667"/>
      <c r="U301" s="273"/>
      <c r="V301" s="274"/>
      <c r="W301" s="667">
        <v>5822</v>
      </c>
      <c r="X301" s="273" t="s">
        <v>2788</v>
      </c>
      <c r="Y301" s="275">
        <v>1516667</v>
      </c>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row>
    <row r="302" spans="1:130" s="50" customFormat="1" ht="15" x14ac:dyDescent="0.25">
      <c r="A302" s="693"/>
      <c r="B302" s="767"/>
      <c r="C302" s="690"/>
      <c r="D302" s="737"/>
      <c r="E302" s="690"/>
      <c r="F302" s="711"/>
      <c r="G302" s="735"/>
      <c r="H302" s="711"/>
      <c r="I302" s="693"/>
      <c r="J302" s="693"/>
      <c r="K302" s="693"/>
      <c r="L302" s="693"/>
      <c r="M302" s="763"/>
      <c r="N302" s="743"/>
      <c r="O302" s="78"/>
      <c r="P302" s="148"/>
      <c r="Q302" s="78"/>
      <c r="R302" s="274"/>
      <c r="S302" s="46"/>
      <c r="T302" s="667"/>
      <c r="U302" s="273"/>
      <c r="V302" s="274"/>
      <c r="W302" s="667">
        <v>5823</v>
      </c>
      <c r="X302" s="273" t="s">
        <v>2788</v>
      </c>
      <c r="Y302" s="275">
        <v>723580</v>
      </c>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row>
    <row r="303" spans="1:130" s="50" customFormat="1" ht="15" x14ac:dyDescent="0.25">
      <c r="A303" s="693"/>
      <c r="B303" s="767"/>
      <c r="C303" s="690"/>
      <c r="D303" s="737"/>
      <c r="E303" s="690"/>
      <c r="F303" s="712"/>
      <c r="G303" s="729"/>
      <c r="H303" s="712"/>
      <c r="I303" s="694"/>
      <c r="J303" s="694"/>
      <c r="K303" s="694"/>
      <c r="L303" s="694"/>
      <c r="M303" s="759"/>
      <c r="N303" s="743"/>
      <c r="O303" s="78" t="s">
        <v>1565</v>
      </c>
      <c r="P303" s="457">
        <v>473</v>
      </c>
      <c r="Q303" s="78" t="s">
        <v>1853</v>
      </c>
      <c r="R303" s="274">
        <v>1646000</v>
      </c>
      <c r="S303" s="46"/>
      <c r="T303" s="329">
        <v>975</v>
      </c>
      <c r="U303" s="273">
        <v>44778</v>
      </c>
      <c r="V303" s="274">
        <v>1646000</v>
      </c>
      <c r="W303" s="329">
        <v>4372</v>
      </c>
      <c r="X303" s="273">
        <v>44778</v>
      </c>
      <c r="Y303" s="274">
        <v>1646000</v>
      </c>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row>
    <row r="304" spans="1:130" s="50" customFormat="1" ht="15" x14ac:dyDescent="0.25">
      <c r="A304" s="693"/>
      <c r="B304" s="767"/>
      <c r="C304" s="690"/>
      <c r="D304" s="737"/>
      <c r="E304" s="690"/>
      <c r="F304" s="422"/>
      <c r="G304" s="417"/>
      <c r="H304" s="422"/>
      <c r="I304" s="409"/>
      <c r="J304" s="409"/>
      <c r="K304" s="409"/>
      <c r="L304" s="409"/>
      <c r="M304" s="426"/>
      <c r="N304" s="743"/>
      <c r="O304" s="78" t="s">
        <v>2625</v>
      </c>
      <c r="P304" s="457" t="s">
        <v>2656</v>
      </c>
      <c r="Q304" s="78" t="s">
        <v>2657</v>
      </c>
      <c r="R304" s="274">
        <v>600000</v>
      </c>
      <c r="S304" s="46"/>
      <c r="T304" s="443">
        <v>1341</v>
      </c>
      <c r="U304" s="273" t="s">
        <v>2779</v>
      </c>
      <c r="V304" s="274">
        <v>600000</v>
      </c>
      <c r="W304" s="443">
        <v>5575</v>
      </c>
      <c r="X304" s="273" t="s">
        <v>2773</v>
      </c>
      <c r="Y304" s="274">
        <v>600000</v>
      </c>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row>
    <row r="305" spans="1:130" s="50" customFormat="1" ht="15" x14ac:dyDescent="0.25">
      <c r="A305" s="693"/>
      <c r="B305" s="767"/>
      <c r="C305" s="690"/>
      <c r="D305" s="738"/>
      <c r="E305" s="691"/>
      <c r="F305" s="422"/>
      <c r="G305" s="417"/>
      <c r="H305" s="422"/>
      <c r="I305" s="409"/>
      <c r="J305" s="409"/>
      <c r="K305" s="409"/>
      <c r="L305" s="409"/>
      <c r="M305" s="426"/>
      <c r="N305" s="743"/>
      <c r="O305" s="78" t="s">
        <v>2628</v>
      </c>
      <c r="P305" s="457" t="s">
        <v>2658</v>
      </c>
      <c r="Q305" s="78" t="s">
        <v>2659</v>
      </c>
      <c r="R305" s="274">
        <v>7059000</v>
      </c>
      <c r="S305" s="46"/>
      <c r="T305" s="443">
        <v>1394</v>
      </c>
      <c r="U305" s="273" t="s">
        <v>2787</v>
      </c>
      <c r="V305" s="274">
        <v>7059000</v>
      </c>
      <c r="W305" s="443">
        <v>5735</v>
      </c>
      <c r="X305" s="273" t="s">
        <v>2836</v>
      </c>
      <c r="Y305" s="274">
        <v>7059000</v>
      </c>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row>
    <row r="306" spans="1:130" s="50" customFormat="1" ht="15" x14ac:dyDescent="0.25">
      <c r="A306" s="693"/>
      <c r="B306" s="767"/>
      <c r="C306" s="690"/>
      <c r="D306" s="736" t="s">
        <v>831</v>
      </c>
      <c r="E306" s="689" t="s">
        <v>144</v>
      </c>
      <c r="F306" s="710">
        <v>207000000</v>
      </c>
      <c r="G306" s="728">
        <v>0</v>
      </c>
      <c r="H306" s="710">
        <v>251993169</v>
      </c>
      <c r="I306" s="692"/>
      <c r="J306" s="692"/>
      <c r="K306" s="692"/>
      <c r="L306" s="692"/>
      <c r="M306" s="758">
        <f>+F306+G306+I306+H306+J306+K306-L306</f>
        <v>458993169</v>
      </c>
      <c r="N306" s="743"/>
      <c r="O306" s="78" t="s">
        <v>337</v>
      </c>
      <c r="P306" s="457" t="s">
        <v>443</v>
      </c>
      <c r="Q306" s="78" t="s">
        <v>467</v>
      </c>
      <c r="R306" s="66">
        <v>4465050</v>
      </c>
      <c r="S306" s="46"/>
      <c r="T306" s="38">
        <v>183</v>
      </c>
      <c r="U306" s="122">
        <v>44587</v>
      </c>
      <c r="V306" s="66">
        <v>4465050</v>
      </c>
      <c r="W306" s="38">
        <v>1257</v>
      </c>
      <c r="X306" s="122" t="s">
        <v>856</v>
      </c>
      <c r="Y306" s="275">
        <v>4465050</v>
      </c>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row>
    <row r="307" spans="1:130" s="50" customFormat="1" ht="15" x14ac:dyDescent="0.25">
      <c r="A307" s="693"/>
      <c r="B307" s="767"/>
      <c r="C307" s="690"/>
      <c r="D307" s="737"/>
      <c r="E307" s="690"/>
      <c r="F307" s="711"/>
      <c r="G307" s="735"/>
      <c r="H307" s="711"/>
      <c r="I307" s="693"/>
      <c r="J307" s="693"/>
      <c r="K307" s="693"/>
      <c r="L307" s="693"/>
      <c r="M307" s="763"/>
      <c r="N307" s="743"/>
      <c r="O307" s="78" t="s">
        <v>340</v>
      </c>
      <c r="P307" s="457" t="s">
        <v>444</v>
      </c>
      <c r="Q307" s="78" t="s">
        <v>468</v>
      </c>
      <c r="R307" s="66">
        <v>6697575</v>
      </c>
      <c r="S307" s="46"/>
      <c r="T307" s="38">
        <v>215</v>
      </c>
      <c r="U307" s="122">
        <v>44588</v>
      </c>
      <c r="V307" s="66">
        <v>6697575</v>
      </c>
      <c r="W307" s="38">
        <v>1259</v>
      </c>
      <c r="X307" s="122" t="s">
        <v>856</v>
      </c>
      <c r="Y307" s="275">
        <v>6697575</v>
      </c>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row>
    <row r="308" spans="1:130" s="50" customFormat="1" ht="15" x14ac:dyDescent="0.25">
      <c r="A308" s="693"/>
      <c r="B308" s="767"/>
      <c r="C308" s="690"/>
      <c r="D308" s="737"/>
      <c r="E308" s="690"/>
      <c r="F308" s="711"/>
      <c r="G308" s="735"/>
      <c r="H308" s="711"/>
      <c r="I308" s="693"/>
      <c r="J308" s="693"/>
      <c r="K308" s="693"/>
      <c r="L308" s="693"/>
      <c r="M308" s="763"/>
      <c r="N308" s="743"/>
      <c r="O308" s="78" t="s">
        <v>341</v>
      </c>
      <c r="P308" s="457" t="s">
        <v>445</v>
      </c>
      <c r="Q308" s="78" t="s">
        <v>469</v>
      </c>
      <c r="R308" s="66">
        <v>4465050</v>
      </c>
      <c r="S308" s="46"/>
      <c r="T308" s="38">
        <v>214</v>
      </c>
      <c r="U308" s="122">
        <v>44588</v>
      </c>
      <c r="V308" s="66">
        <v>4465050</v>
      </c>
      <c r="W308" s="38">
        <v>1726</v>
      </c>
      <c r="X308" s="122" t="s">
        <v>1009</v>
      </c>
      <c r="Y308" s="275">
        <v>4465050</v>
      </c>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row>
    <row r="309" spans="1:130" s="50" customFormat="1" ht="15" x14ac:dyDescent="0.25">
      <c r="A309" s="693"/>
      <c r="B309" s="767"/>
      <c r="C309" s="690"/>
      <c r="D309" s="737"/>
      <c r="E309" s="690"/>
      <c r="F309" s="711"/>
      <c r="G309" s="735"/>
      <c r="H309" s="711"/>
      <c r="I309" s="693"/>
      <c r="J309" s="693"/>
      <c r="K309" s="693"/>
      <c r="L309" s="693"/>
      <c r="M309" s="763"/>
      <c r="N309" s="743"/>
      <c r="O309" s="78" t="s">
        <v>342</v>
      </c>
      <c r="P309" s="457" t="s">
        <v>446</v>
      </c>
      <c r="Q309" s="78" t="s">
        <v>470</v>
      </c>
      <c r="R309" s="66">
        <v>4465050</v>
      </c>
      <c r="S309" s="46"/>
      <c r="T309" s="38">
        <v>223</v>
      </c>
      <c r="U309" s="122">
        <v>44588</v>
      </c>
      <c r="V309" s="66">
        <v>4465050</v>
      </c>
      <c r="W309" s="38">
        <v>1730</v>
      </c>
      <c r="X309" s="122" t="s">
        <v>1009</v>
      </c>
      <c r="Y309" s="275">
        <v>4465050</v>
      </c>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row>
    <row r="310" spans="1:130" s="50" customFormat="1" ht="15" x14ac:dyDescent="0.25">
      <c r="A310" s="693"/>
      <c r="B310" s="767"/>
      <c r="C310" s="690"/>
      <c r="D310" s="737"/>
      <c r="E310" s="690"/>
      <c r="F310" s="711"/>
      <c r="G310" s="735"/>
      <c r="H310" s="711"/>
      <c r="I310" s="693"/>
      <c r="J310" s="693"/>
      <c r="K310" s="693"/>
      <c r="L310" s="693"/>
      <c r="M310" s="763"/>
      <c r="N310" s="743"/>
      <c r="O310" s="78" t="s">
        <v>343</v>
      </c>
      <c r="P310" s="457" t="s">
        <v>232</v>
      </c>
      <c r="Q310" s="78" t="s">
        <v>471</v>
      </c>
      <c r="R310" s="66">
        <v>4465050</v>
      </c>
      <c r="S310" s="46"/>
      <c r="T310" s="38">
        <v>209</v>
      </c>
      <c r="U310" s="122">
        <v>44588</v>
      </c>
      <c r="V310" s="66">
        <v>4465050</v>
      </c>
      <c r="W310" s="38">
        <v>1278</v>
      </c>
      <c r="X310" s="122" t="s">
        <v>856</v>
      </c>
      <c r="Y310" s="275">
        <v>4465050</v>
      </c>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row>
    <row r="311" spans="1:130" s="50" customFormat="1" ht="15" x14ac:dyDescent="0.25">
      <c r="A311" s="693"/>
      <c r="B311" s="767"/>
      <c r="C311" s="690"/>
      <c r="D311" s="737"/>
      <c r="E311" s="690"/>
      <c r="F311" s="711"/>
      <c r="G311" s="735"/>
      <c r="H311" s="711"/>
      <c r="I311" s="693"/>
      <c r="J311" s="693"/>
      <c r="K311" s="693"/>
      <c r="L311" s="693"/>
      <c r="M311" s="763"/>
      <c r="N311" s="743"/>
      <c r="O311" s="78" t="s">
        <v>344</v>
      </c>
      <c r="P311" s="457" t="s">
        <v>447</v>
      </c>
      <c r="Q311" s="78" t="s">
        <v>472</v>
      </c>
      <c r="R311" s="66">
        <v>4465050</v>
      </c>
      <c r="S311" s="46"/>
      <c r="T311" s="38">
        <v>234</v>
      </c>
      <c r="U311" s="122">
        <v>44588</v>
      </c>
      <c r="V311" s="66">
        <v>4465050</v>
      </c>
      <c r="W311" s="38">
        <v>1277</v>
      </c>
      <c r="X311" s="122" t="s">
        <v>856</v>
      </c>
      <c r="Y311" s="275">
        <v>4465050</v>
      </c>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row>
    <row r="312" spans="1:130" s="50" customFormat="1" ht="15" x14ac:dyDescent="0.25">
      <c r="A312" s="693"/>
      <c r="B312" s="767"/>
      <c r="C312" s="690"/>
      <c r="D312" s="737"/>
      <c r="E312" s="690"/>
      <c r="F312" s="711"/>
      <c r="G312" s="735"/>
      <c r="H312" s="711"/>
      <c r="I312" s="693"/>
      <c r="J312" s="693"/>
      <c r="K312" s="693"/>
      <c r="L312" s="693"/>
      <c r="M312" s="763"/>
      <c r="N312" s="743"/>
      <c r="O312" s="78" t="s">
        <v>345</v>
      </c>
      <c r="P312" s="457" t="s">
        <v>448</v>
      </c>
      <c r="Q312" s="78" t="s">
        <v>473</v>
      </c>
      <c r="R312" s="66">
        <v>4018545</v>
      </c>
      <c r="S312" s="46"/>
      <c r="T312" s="38">
        <v>226</v>
      </c>
      <c r="U312" s="122">
        <v>44588</v>
      </c>
      <c r="V312" s="66">
        <v>4018545</v>
      </c>
      <c r="W312" s="38">
        <v>1270</v>
      </c>
      <c r="X312" s="122" t="s">
        <v>856</v>
      </c>
      <c r="Y312" s="275">
        <v>4018545</v>
      </c>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row>
    <row r="313" spans="1:130" s="50" customFormat="1" ht="15" x14ac:dyDescent="0.25">
      <c r="A313" s="693"/>
      <c r="B313" s="767"/>
      <c r="C313" s="690"/>
      <c r="D313" s="737"/>
      <c r="E313" s="690"/>
      <c r="F313" s="711"/>
      <c r="G313" s="735"/>
      <c r="H313" s="711"/>
      <c r="I313" s="693"/>
      <c r="J313" s="693"/>
      <c r="K313" s="693"/>
      <c r="L313" s="693"/>
      <c r="M313" s="763"/>
      <c r="N313" s="743"/>
      <c r="O313" s="78" t="s">
        <v>346</v>
      </c>
      <c r="P313" s="457" t="s">
        <v>63</v>
      </c>
      <c r="Q313" s="78" t="s">
        <v>474</v>
      </c>
      <c r="R313" s="66">
        <v>4911555</v>
      </c>
      <c r="S313" s="46"/>
      <c r="T313" s="38">
        <v>207</v>
      </c>
      <c r="U313" s="122">
        <v>44588</v>
      </c>
      <c r="V313" s="66">
        <v>4911555</v>
      </c>
      <c r="W313" s="38">
        <v>1266</v>
      </c>
      <c r="X313" s="122" t="s">
        <v>856</v>
      </c>
      <c r="Y313" s="275">
        <v>4911555</v>
      </c>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row>
    <row r="314" spans="1:130" s="50" customFormat="1" ht="15" x14ac:dyDescent="0.25">
      <c r="A314" s="693"/>
      <c r="B314" s="767"/>
      <c r="C314" s="690"/>
      <c r="D314" s="737"/>
      <c r="E314" s="690"/>
      <c r="F314" s="711"/>
      <c r="G314" s="735"/>
      <c r="H314" s="711"/>
      <c r="I314" s="693"/>
      <c r="J314" s="693"/>
      <c r="K314" s="693"/>
      <c r="L314" s="693"/>
      <c r="M314" s="763"/>
      <c r="N314" s="743"/>
      <c r="O314" s="78" t="s">
        <v>347</v>
      </c>
      <c r="P314" s="457" t="s">
        <v>64</v>
      </c>
      <c r="Q314" s="78" t="s">
        <v>475</v>
      </c>
      <c r="R314" s="66">
        <v>4911555</v>
      </c>
      <c r="S314" s="46"/>
      <c r="T314" s="38">
        <v>225</v>
      </c>
      <c r="U314" s="122">
        <v>44588</v>
      </c>
      <c r="V314" s="66">
        <v>4911555</v>
      </c>
      <c r="W314" s="38">
        <v>1286</v>
      </c>
      <c r="X314" s="122" t="s">
        <v>856</v>
      </c>
      <c r="Y314" s="275">
        <v>4911555</v>
      </c>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row>
    <row r="315" spans="1:130" s="50" customFormat="1" ht="15" x14ac:dyDescent="0.25">
      <c r="A315" s="693"/>
      <c r="B315" s="767"/>
      <c r="C315" s="690"/>
      <c r="D315" s="737"/>
      <c r="E315" s="690"/>
      <c r="F315" s="711"/>
      <c r="G315" s="735"/>
      <c r="H315" s="711"/>
      <c r="I315" s="693"/>
      <c r="J315" s="693"/>
      <c r="K315" s="693"/>
      <c r="L315" s="693"/>
      <c r="M315" s="763"/>
      <c r="N315" s="743"/>
      <c r="O315" s="78" t="s">
        <v>348</v>
      </c>
      <c r="P315" s="457" t="s">
        <v>40</v>
      </c>
      <c r="Q315" s="78" t="s">
        <v>476</v>
      </c>
      <c r="R315" s="66">
        <v>4465050</v>
      </c>
      <c r="S315" s="46"/>
      <c r="T315" s="38">
        <v>192</v>
      </c>
      <c r="U315" s="122" t="s">
        <v>858</v>
      </c>
      <c r="V315" s="66">
        <v>4465050</v>
      </c>
      <c r="W315" s="38">
        <v>1279</v>
      </c>
      <c r="X315" s="122" t="s">
        <v>856</v>
      </c>
      <c r="Y315" s="275">
        <v>4465050</v>
      </c>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row>
    <row r="316" spans="1:130" s="50" customFormat="1" ht="15" x14ac:dyDescent="0.25">
      <c r="A316" s="693"/>
      <c r="B316" s="767"/>
      <c r="C316" s="690"/>
      <c r="D316" s="737"/>
      <c r="E316" s="690"/>
      <c r="F316" s="711"/>
      <c r="G316" s="735"/>
      <c r="H316" s="711"/>
      <c r="I316" s="693"/>
      <c r="J316" s="693"/>
      <c r="K316" s="693"/>
      <c r="L316" s="693"/>
      <c r="M316" s="763"/>
      <c r="N316" s="743"/>
      <c r="O316" s="78" t="s">
        <v>349</v>
      </c>
      <c r="P316" s="457" t="s">
        <v>187</v>
      </c>
      <c r="Q316" s="78" t="s">
        <v>477</v>
      </c>
      <c r="R316" s="66">
        <v>4018545</v>
      </c>
      <c r="S316" s="46"/>
      <c r="T316" s="38">
        <v>197</v>
      </c>
      <c r="U316" s="122" t="s">
        <v>858</v>
      </c>
      <c r="V316" s="66">
        <v>4018545</v>
      </c>
      <c r="W316" s="38">
        <v>1677</v>
      </c>
      <c r="X316" s="122" t="s">
        <v>1047</v>
      </c>
      <c r="Y316" s="275">
        <v>4018545</v>
      </c>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row>
    <row r="317" spans="1:130" s="50" customFormat="1" ht="15" x14ac:dyDescent="0.25">
      <c r="A317" s="693"/>
      <c r="B317" s="767"/>
      <c r="C317" s="690"/>
      <c r="D317" s="737"/>
      <c r="E317" s="690"/>
      <c r="F317" s="711"/>
      <c r="G317" s="735"/>
      <c r="H317" s="711"/>
      <c r="I317" s="693"/>
      <c r="J317" s="693"/>
      <c r="K317" s="693"/>
      <c r="L317" s="693"/>
      <c r="M317" s="763"/>
      <c r="N317" s="743"/>
      <c r="O317" s="78" t="s">
        <v>350</v>
      </c>
      <c r="P317" s="457" t="s">
        <v>449</v>
      </c>
      <c r="Q317" s="78" t="s">
        <v>478</v>
      </c>
      <c r="R317" s="66">
        <v>7590585</v>
      </c>
      <c r="S317" s="46"/>
      <c r="T317" s="38">
        <v>222</v>
      </c>
      <c r="U317" s="122" t="s">
        <v>859</v>
      </c>
      <c r="V317" s="66">
        <v>7590585</v>
      </c>
      <c r="W317" s="38">
        <v>1346</v>
      </c>
      <c r="X317" s="122" t="s">
        <v>856</v>
      </c>
      <c r="Y317" s="275">
        <v>7590585</v>
      </c>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row>
    <row r="318" spans="1:130" s="50" customFormat="1" ht="15" x14ac:dyDescent="0.25">
      <c r="A318" s="693"/>
      <c r="B318" s="767"/>
      <c r="C318" s="690"/>
      <c r="D318" s="737"/>
      <c r="E318" s="690"/>
      <c r="F318" s="711"/>
      <c r="G318" s="735"/>
      <c r="H318" s="711"/>
      <c r="I318" s="693"/>
      <c r="J318" s="693"/>
      <c r="K318" s="693"/>
      <c r="L318" s="693"/>
      <c r="M318" s="763"/>
      <c r="N318" s="743"/>
      <c r="O318" s="78" t="s">
        <v>351</v>
      </c>
      <c r="P318" s="457" t="s">
        <v>450</v>
      </c>
      <c r="Q318" s="78" t="s">
        <v>479</v>
      </c>
      <c r="R318" s="66">
        <v>4911555</v>
      </c>
      <c r="S318" s="46"/>
      <c r="T318" s="38">
        <v>200</v>
      </c>
      <c r="U318" s="122" t="s">
        <v>858</v>
      </c>
      <c r="V318" s="66">
        <v>4911555</v>
      </c>
      <c r="W318" s="38">
        <v>1268</v>
      </c>
      <c r="X318" s="122" t="s">
        <v>856</v>
      </c>
      <c r="Y318" s="275">
        <v>4911555</v>
      </c>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row>
    <row r="319" spans="1:130" s="50" customFormat="1" ht="15" x14ac:dyDescent="0.25">
      <c r="A319" s="693"/>
      <c r="B319" s="767"/>
      <c r="C319" s="690"/>
      <c r="D319" s="737"/>
      <c r="E319" s="690"/>
      <c r="F319" s="711"/>
      <c r="G319" s="735"/>
      <c r="H319" s="711"/>
      <c r="I319" s="693"/>
      <c r="J319" s="693"/>
      <c r="K319" s="693"/>
      <c r="L319" s="693"/>
      <c r="M319" s="763"/>
      <c r="N319" s="743"/>
      <c r="O319" s="78" t="s">
        <v>352</v>
      </c>
      <c r="P319" s="457" t="s">
        <v>451</v>
      </c>
      <c r="Q319" s="78" t="s">
        <v>480</v>
      </c>
      <c r="R319" s="66">
        <v>5358060</v>
      </c>
      <c r="S319" s="46"/>
      <c r="T319" s="38">
        <v>274</v>
      </c>
      <c r="U319" s="122" t="s">
        <v>856</v>
      </c>
      <c r="V319" s="66">
        <v>5358060</v>
      </c>
      <c r="W319" s="38">
        <v>1292</v>
      </c>
      <c r="X319" s="122" t="s">
        <v>856</v>
      </c>
      <c r="Y319" s="275">
        <v>5358060</v>
      </c>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row>
    <row r="320" spans="1:130" s="50" customFormat="1" ht="15" x14ac:dyDescent="0.25">
      <c r="A320" s="693"/>
      <c r="B320" s="767"/>
      <c r="C320" s="690"/>
      <c r="D320" s="737"/>
      <c r="E320" s="690"/>
      <c r="F320" s="711"/>
      <c r="G320" s="735"/>
      <c r="H320" s="711"/>
      <c r="I320" s="693"/>
      <c r="J320" s="693"/>
      <c r="K320" s="693"/>
      <c r="L320" s="693"/>
      <c r="M320" s="763"/>
      <c r="N320" s="743"/>
      <c r="O320" s="78" t="s">
        <v>353</v>
      </c>
      <c r="P320" s="457" t="s">
        <v>452</v>
      </c>
      <c r="Q320" s="78" t="s">
        <v>481</v>
      </c>
      <c r="R320" s="66">
        <v>5358060</v>
      </c>
      <c r="S320" s="46"/>
      <c r="T320" s="38">
        <v>203</v>
      </c>
      <c r="U320" s="122" t="s">
        <v>858</v>
      </c>
      <c r="V320" s="66">
        <v>5358060</v>
      </c>
      <c r="W320" s="38">
        <v>1289</v>
      </c>
      <c r="X320" s="122" t="s">
        <v>856</v>
      </c>
      <c r="Y320" s="275">
        <v>5358060</v>
      </c>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row>
    <row r="321" spans="1:130" s="50" customFormat="1" ht="15" x14ac:dyDescent="0.25">
      <c r="A321" s="693"/>
      <c r="B321" s="767"/>
      <c r="C321" s="690"/>
      <c r="D321" s="737"/>
      <c r="E321" s="690"/>
      <c r="F321" s="711"/>
      <c r="G321" s="735"/>
      <c r="H321" s="711"/>
      <c r="I321" s="693"/>
      <c r="J321" s="693"/>
      <c r="K321" s="693"/>
      <c r="L321" s="693"/>
      <c r="M321" s="763"/>
      <c r="N321" s="743"/>
      <c r="O321" s="78" t="s">
        <v>354</v>
      </c>
      <c r="P321" s="457" t="s">
        <v>453</v>
      </c>
      <c r="Q321" s="78" t="s">
        <v>482</v>
      </c>
      <c r="R321" s="66">
        <v>5358060</v>
      </c>
      <c r="S321" s="46"/>
      <c r="T321" s="38">
        <v>190</v>
      </c>
      <c r="U321" s="122">
        <v>44587</v>
      </c>
      <c r="V321" s="66">
        <v>5358060</v>
      </c>
      <c r="W321" s="38">
        <v>1265</v>
      </c>
      <c r="X321" s="122" t="s">
        <v>856</v>
      </c>
      <c r="Y321" s="275">
        <v>5358060</v>
      </c>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row>
    <row r="322" spans="1:130" s="50" customFormat="1" ht="15" x14ac:dyDescent="0.25">
      <c r="A322" s="693"/>
      <c r="B322" s="767"/>
      <c r="C322" s="690"/>
      <c r="D322" s="737"/>
      <c r="E322" s="690"/>
      <c r="F322" s="711"/>
      <c r="G322" s="735"/>
      <c r="H322" s="711"/>
      <c r="I322" s="693"/>
      <c r="J322" s="693"/>
      <c r="K322" s="693"/>
      <c r="L322" s="693"/>
      <c r="M322" s="763"/>
      <c r="N322" s="743"/>
      <c r="O322" s="78" t="s">
        <v>355</v>
      </c>
      <c r="P322" s="457" t="s">
        <v>454</v>
      </c>
      <c r="Q322" s="78" t="s">
        <v>483</v>
      </c>
      <c r="R322" s="66">
        <v>4465050</v>
      </c>
      <c r="S322" s="46"/>
      <c r="T322" s="38">
        <v>198</v>
      </c>
      <c r="U322" s="122" t="s">
        <v>858</v>
      </c>
      <c r="V322" s="66">
        <v>4465050</v>
      </c>
      <c r="W322" s="38">
        <v>1274</v>
      </c>
      <c r="X322" s="122" t="s">
        <v>856</v>
      </c>
      <c r="Y322" s="275">
        <v>4465050</v>
      </c>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row>
    <row r="323" spans="1:130" s="50" customFormat="1" ht="15" x14ac:dyDescent="0.25">
      <c r="A323" s="693"/>
      <c r="B323" s="767"/>
      <c r="C323" s="690"/>
      <c r="D323" s="737"/>
      <c r="E323" s="690"/>
      <c r="F323" s="711"/>
      <c r="G323" s="735"/>
      <c r="H323" s="711"/>
      <c r="I323" s="693"/>
      <c r="J323" s="693"/>
      <c r="K323" s="693"/>
      <c r="L323" s="693"/>
      <c r="M323" s="763"/>
      <c r="N323" s="743"/>
      <c r="O323" s="78" t="s">
        <v>356</v>
      </c>
      <c r="P323" s="457" t="s">
        <v>41</v>
      </c>
      <c r="Q323" s="78" t="s">
        <v>484</v>
      </c>
      <c r="R323" s="66">
        <v>4465050</v>
      </c>
      <c r="S323" s="46"/>
      <c r="T323" s="38">
        <v>273</v>
      </c>
      <c r="U323" s="122" t="s">
        <v>856</v>
      </c>
      <c r="V323" s="66">
        <v>4465050</v>
      </c>
      <c r="W323" s="38">
        <v>1728</v>
      </c>
      <c r="X323" s="122" t="s">
        <v>1009</v>
      </c>
      <c r="Y323" s="275">
        <v>4465050</v>
      </c>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row>
    <row r="324" spans="1:130" s="50" customFormat="1" ht="15" x14ac:dyDescent="0.25">
      <c r="A324" s="693"/>
      <c r="B324" s="767"/>
      <c r="C324" s="690"/>
      <c r="D324" s="737"/>
      <c r="E324" s="690"/>
      <c r="F324" s="711"/>
      <c r="G324" s="735"/>
      <c r="H324" s="711"/>
      <c r="I324" s="693"/>
      <c r="J324" s="693"/>
      <c r="K324" s="693"/>
      <c r="L324" s="693"/>
      <c r="M324" s="763"/>
      <c r="N324" s="743"/>
      <c r="O324" s="78" t="s">
        <v>357</v>
      </c>
      <c r="P324" s="457" t="s">
        <v>37</v>
      </c>
      <c r="Q324" s="78" t="s">
        <v>485</v>
      </c>
      <c r="R324" s="66">
        <v>4465050</v>
      </c>
      <c r="S324" s="46"/>
      <c r="T324" s="38">
        <v>235</v>
      </c>
      <c r="U324" s="122" t="s">
        <v>859</v>
      </c>
      <c r="V324" s="66">
        <v>4465050</v>
      </c>
      <c r="W324" s="38">
        <v>1287</v>
      </c>
      <c r="X324" s="122" t="s">
        <v>856</v>
      </c>
      <c r="Y324" s="275">
        <v>4465050</v>
      </c>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row>
    <row r="325" spans="1:130" s="50" customFormat="1" ht="15" x14ac:dyDescent="0.25">
      <c r="A325" s="693"/>
      <c r="B325" s="767"/>
      <c r="C325" s="690"/>
      <c r="D325" s="737"/>
      <c r="E325" s="690"/>
      <c r="F325" s="711"/>
      <c r="G325" s="735"/>
      <c r="H325" s="711"/>
      <c r="I325" s="693"/>
      <c r="J325" s="693"/>
      <c r="K325" s="693"/>
      <c r="L325" s="693"/>
      <c r="M325" s="763"/>
      <c r="N325" s="743"/>
      <c r="O325" s="78" t="s">
        <v>358</v>
      </c>
      <c r="P325" s="457" t="s">
        <v>159</v>
      </c>
      <c r="Q325" s="78" t="s">
        <v>486</v>
      </c>
      <c r="R325" s="66">
        <v>5358060</v>
      </c>
      <c r="S325" s="46"/>
      <c r="T325" s="38">
        <v>211</v>
      </c>
      <c r="U325" s="122" t="s">
        <v>859</v>
      </c>
      <c r="V325" s="66">
        <v>5358060</v>
      </c>
      <c r="W325" s="38">
        <v>1263</v>
      </c>
      <c r="X325" s="122" t="s">
        <v>856</v>
      </c>
      <c r="Y325" s="275">
        <v>5358060</v>
      </c>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row>
    <row r="326" spans="1:130" s="50" customFormat="1" ht="15" x14ac:dyDescent="0.25">
      <c r="A326" s="693"/>
      <c r="B326" s="767"/>
      <c r="C326" s="690"/>
      <c r="D326" s="737"/>
      <c r="E326" s="690"/>
      <c r="F326" s="711"/>
      <c r="G326" s="735"/>
      <c r="H326" s="711"/>
      <c r="I326" s="693"/>
      <c r="J326" s="693"/>
      <c r="K326" s="693"/>
      <c r="L326" s="693"/>
      <c r="M326" s="763"/>
      <c r="N326" s="743"/>
      <c r="O326" s="78" t="s">
        <v>359</v>
      </c>
      <c r="P326" s="457" t="s">
        <v>42</v>
      </c>
      <c r="Q326" s="78" t="s">
        <v>487</v>
      </c>
      <c r="R326" s="66">
        <v>5358060</v>
      </c>
      <c r="S326" s="46"/>
      <c r="T326" s="38">
        <v>269</v>
      </c>
      <c r="U326" s="122" t="s">
        <v>856</v>
      </c>
      <c r="V326" s="66">
        <v>5358060</v>
      </c>
      <c r="W326" s="38">
        <v>1733</v>
      </c>
      <c r="X326" s="122" t="s">
        <v>1009</v>
      </c>
      <c r="Y326" s="275">
        <v>5358060</v>
      </c>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c r="DP326" s="49"/>
      <c r="DQ326" s="49"/>
      <c r="DR326" s="49"/>
      <c r="DS326" s="49"/>
      <c r="DT326" s="49"/>
      <c r="DU326" s="49"/>
      <c r="DV326" s="49"/>
      <c r="DW326" s="49"/>
      <c r="DX326" s="49"/>
      <c r="DY326" s="49"/>
      <c r="DZ326" s="49"/>
    </row>
    <row r="327" spans="1:130" s="50" customFormat="1" ht="15" x14ac:dyDescent="0.25">
      <c r="A327" s="693"/>
      <c r="B327" s="767"/>
      <c r="C327" s="690"/>
      <c r="D327" s="737"/>
      <c r="E327" s="690"/>
      <c r="F327" s="711"/>
      <c r="G327" s="735"/>
      <c r="H327" s="711"/>
      <c r="I327" s="693"/>
      <c r="J327" s="693"/>
      <c r="K327" s="693"/>
      <c r="L327" s="693"/>
      <c r="M327" s="763"/>
      <c r="N327" s="743"/>
      <c r="O327" s="78" t="s">
        <v>360</v>
      </c>
      <c r="P327" s="457" t="s">
        <v>455</v>
      </c>
      <c r="Q327" s="78" t="s">
        <v>488</v>
      </c>
      <c r="R327" s="66">
        <v>3572040</v>
      </c>
      <c r="S327" s="46"/>
      <c r="T327" s="38">
        <v>239</v>
      </c>
      <c r="U327" s="122" t="s">
        <v>859</v>
      </c>
      <c r="V327" s="66">
        <v>3572040</v>
      </c>
      <c r="W327" s="38">
        <v>1727</v>
      </c>
      <c r="X327" s="122" t="s">
        <v>1009</v>
      </c>
      <c r="Y327" s="275">
        <v>3572040</v>
      </c>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c r="DP327" s="49"/>
      <c r="DQ327" s="49"/>
      <c r="DR327" s="49"/>
      <c r="DS327" s="49"/>
      <c r="DT327" s="49"/>
      <c r="DU327" s="49"/>
      <c r="DV327" s="49"/>
      <c r="DW327" s="49"/>
      <c r="DX327" s="49"/>
      <c r="DY327" s="49"/>
      <c r="DZ327" s="49"/>
    </row>
    <row r="328" spans="1:130" s="50" customFormat="1" ht="15" x14ac:dyDescent="0.25">
      <c r="A328" s="693"/>
      <c r="B328" s="767"/>
      <c r="C328" s="690"/>
      <c r="D328" s="737"/>
      <c r="E328" s="690"/>
      <c r="F328" s="711"/>
      <c r="G328" s="735"/>
      <c r="H328" s="711"/>
      <c r="I328" s="693"/>
      <c r="J328" s="693"/>
      <c r="K328" s="693"/>
      <c r="L328" s="693"/>
      <c r="M328" s="763"/>
      <c r="N328" s="743"/>
      <c r="O328" s="78" t="s">
        <v>361</v>
      </c>
      <c r="P328" s="457" t="s">
        <v>456</v>
      </c>
      <c r="Q328" s="78" t="s">
        <v>489</v>
      </c>
      <c r="R328" s="66">
        <v>7590585</v>
      </c>
      <c r="S328" s="46"/>
      <c r="T328" s="38">
        <v>162</v>
      </c>
      <c r="U328" s="122">
        <v>44585</v>
      </c>
      <c r="V328" s="66">
        <v>7590585</v>
      </c>
      <c r="W328" s="38">
        <v>1729</v>
      </c>
      <c r="X328" s="122" t="s">
        <v>1009</v>
      </c>
      <c r="Y328" s="275">
        <v>7590585</v>
      </c>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c r="DP328" s="49"/>
      <c r="DQ328" s="49"/>
      <c r="DR328" s="49"/>
      <c r="DS328" s="49"/>
      <c r="DT328" s="49"/>
      <c r="DU328" s="49"/>
      <c r="DV328" s="49"/>
      <c r="DW328" s="49"/>
      <c r="DX328" s="49"/>
      <c r="DY328" s="49"/>
      <c r="DZ328" s="49"/>
    </row>
    <row r="329" spans="1:130" s="50" customFormat="1" ht="15" x14ac:dyDescent="0.25">
      <c r="A329" s="693"/>
      <c r="B329" s="767"/>
      <c r="C329" s="690"/>
      <c r="D329" s="737"/>
      <c r="E329" s="690"/>
      <c r="F329" s="711"/>
      <c r="G329" s="735"/>
      <c r="H329" s="711"/>
      <c r="I329" s="693"/>
      <c r="J329" s="693"/>
      <c r="K329" s="693"/>
      <c r="L329" s="693"/>
      <c r="M329" s="763"/>
      <c r="N329" s="743"/>
      <c r="O329" s="78" t="s">
        <v>362</v>
      </c>
      <c r="P329" s="457" t="s">
        <v>43</v>
      </c>
      <c r="Q329" s="78" t="s">
        <v>490</v>
      </c>
      <c r="R329" s="66">
        <v>4465050</v>
      </c>
      <c r="S329" s="46"/>
      <c r="T329" s="38">
        <v>221</v>
      </c>
      <c r="U329" s="122" t="s">
        <v>859</v>
      </c>
      <c r="V329" s="66">
        <v>4465050</v>
      </c>
      <c r="W329" s="38">
        <v>1281</v>
      </c>
      <c r="X329" s="122" t="s">
        <v>856</v>
      </c>
      <c r="Y329" s="275">
        <v>4465050</v>
      </c>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c r="DK329" s="49"/>
      <c r="DL329" s="49"/>
      <c r="DM329" s="49"/>
      <c r="DN329" s="49"/>
      <c r="DO329" s="49"/>
      <c r="DP329" s="49"/>
      <c r="DQ329" s="49"/>
      <c r="DR329" s="49"/>
      <c r="DS329" s="49"/>
      <c r="DT329" s="49"/>
      <c r="DU329" s="49"/>
      <c r="DV329" s="49"/>
      <c r="DW329" s="49"/>
      <c r="DX329" s="49"/>
      <c r="DY329" s="49"/>
      <c r="DZ329" s="49"/>
    </row>
    <row r="330" spans="1:130" s="50" customFormat="1" ht="15" x14ac:dyDescent="0.25">
      <c r="A330" s="693"/>
      <c r="B330" s="767"/>
      <c r="C330" s="690"/>
      <c r="D330" s="737"/>
      <c r="E330" s="690"/>
      <c r="F330" s="711"/>
      <c r="G330" s="735"/>
      <c r="H330" s="711"/>
      <c r="I330" s="693"/>
      <c r="J330" s="693"/>
      <c r="K330" s="693"/>
      <c r="L330" s="693"/>
      <c r="M330" s="763"/>
      <c r="N330" s="743"/>
      <c r="O330" s="78" t="s">
        <v>363</v>
      </c>
      <c r="P330" s="457" t="s">
        <v>44</v>
      </c>
      <c r="Q330" s="78" t="s">
        <v>491</v>
      </c>
      <c r="R330" s="66">
        <v>4465050</v>
      </c>
      <c r="S330" s="46"/>
      <c r="T330" s="38">
        <v>201</v>
      </c>
      <c r="U330" s="122" t="s">
        <v>858</v>
      </c>
      <c r="V330" s="66">
        <v>4465050</v>
      </c>
      <c r="W330" s="38">
        <v>1732</v>
      </c>
      <c r="X330" s="122" t="s">
        <v>1009</v>
      </c>
      <c r="Y330" s="275">
        <v>4465050</v>
      </c>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c r="DK330" s="49"/>
      <c r="DL330" s="49"/>
      <c r="DM330" s="49"/>
      <c r="DN330" s="49"/>
      <c r="DO330" s="49"/>
      <c r="DP330" s="49"/>
      <c r="DQ330" s="49"/>
      <c r="DR330" s="49"/>
      <c r="DS330" s="49"/>
      <c r="DT330" s="49"/>
      <c r="DU330" s="49"/>
      <c r="DV330" s="49"/>
      <c r="DW330" s="49"/>
      <c r="DX330" s="49"/>
      <c r="DY330" s="49"/>
      <c r="DZ330" s="49"/>
    </row>
    <row r="331" spans="1:130" s="50" customFormat="1" ht="15" x14ac:dyDescent="0.25">
      <c r="A331" s="693"/>
      <c r="B331" s="767"/>
      <c r="C331" s="690"/>
      <c r="D331" s="737"/>
      <c r="E331" s="690"/>
      <c r="F331" s="711"/>
      <c r="G331" s="735"/>
      <c r="H331" s="711"/>
      <c r="I331" s="693"/>
      <c r="J331" s="693"/>
      <c r="K331" s="693"/>
      <c r="L331" s="693"/>
      <c r="M331" s="763"/>
      <c r="N331" s="743"/>
      <c r="O331" s="78" t="s">
        <v>364</v>
      </c>
      <c r="P331" s="457" t="s">
        <v>45</v>
      </c>
      <c r="Q331" s="78" t="s">
        <v>492</v>
      </c>
      <c r="R331" s="66">
        <v>6697575</v>
      </c>
      <c r="S331" s="46"/>
      <c r="T331" s="38">
        <v>182</v>
      </c>
      <c r="U331" s="122">
        <v>44587</v>
      </c>
      <c r="V331" s="66">
        <v>6697575</v>
      </c>
      <c r="W331" s="38">
        <v>1731</v>
      </c>
      <c r="X331" s="122" t="s">
        <v>1009</v>
      </c>
      <c r="Y331" s="275">
        <v>6697575</v>
      </c>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c r="DK331" s="49"/>
      <c r="DL331" s="49"/>
      <c r="DM331" s="49"/>
      <c r="DN331" s="49"/>
      <c r="DO331" s="49"/>
      <c r="DP331" s="49"/>
      <c r="DQ331" s="49"/>
      <c r="DR331" s="49"/>
      <c r="DS331" s="49"/>
      <c r="DT331" s="49"/>
      <c r="DU331" s="49"/>
      <c r="DV331" s="49"/>
      <c r="DW331" s="49"/>
      <c r="DX331" s="49"/>
      <c r="DY331" s="49"/>
      <c r="DZ331" s="49"/>
    </row>
    <row r="332" spans="1:130" s="50" customFormat="1" ht="15" x14ac:dyDescent="0.25">
      <c r="A332" s="693"/>
      <c r="B332" s="767"/>
      <c r="C332" s="690"/>
      <c r="D332" s="737"/>
      <c r="E332" s="690"/>
      <c r="F332" s="711"/>
      <c r="G332" s="735"/>
      <c r="H332" s="711"/>
      <c r="I332" s="693"/>
      <c r="J332" s="693"/>
      <c r="K332" s="693"/>
      <c r="L332" s="693"/>
      <c r="M332" s="763"/>
      <c r="N332" s="743"/>
      <c r="O332" s="78" t="s">
        <v>365</v>
      </c>
      <c r="P332" s="457" t="s">
        <v>15</v>
      </c>
      <c r="Q332" s="78" t="s">
        <v>493</v>
      </c>
      <c r="R332" s="66">
        <v>6697575</v>
      </c>
      <c r="S332" s="46"/>
      <c r="T332" s="38">
        <v>204</v>
      </c>
      <c r="U332" s="122" t="s">
        <v>858</v>
      </c>
      <c r="V332" s="66">
        <v>6697575</v>
      </c>
      <c r="W332" s="38">
        <v>1262</v>
      </c>
      <c r="X332" s="122" t="s">
        <v>856</v>
      </c>
      <c r="Y332" s="275">
        <v>6697575</v>
      </c>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c r="DK332" s="49"/>
      <c r="DL332" s="49"/>
      <c r="DM332" s="49"/>
      <c r="DN332" s="49"/>
      <c r="DO332" s="49"/>
      <c r="DP332" s="49"/>
      <c r="DQ332" s="49"/>
      <c r="DR332" s="49"/>
      <c r="DS332" s="49"/>
      <c r="DT332" s="49"/>
      <c r="DU332" s="49"/>
      <c r="DV332" s="49"/>
      <c r="DW332" s="49"/>
      <c r="DX332" s="49"/>
      <c r="DY332" s="49"/>
      <c r="DZ332" s="49"/>
    </row>
    <row r="333" spans="1:130" s="50" customFormat="1" ht="15" x14ac:dyDescent="0.25">
      <c r="A333" s="693"/>
      <c r="B333" s="767"/>
      <c r="C333" s="690"/>
      <c r="D333" s="737"/>
      <c r="E333" s="690"/>
      <c r="F333" s="711"/>
      <c r="G333" s="735"/>
      <c r="H333" s="711"/>
      <c r="I333" s="693"/>
      <c r="J333" s="693"/>
      <c r="K333" s="693"/>
      <c r="L333" s="693"/>
      <c r="M333" s="763"/>
      <c r="N333" s="743"/>
      <c r="O333" s="78" t="s">
        <v>366</v>
      </c>
      <c r="P333" s="457" t="s">
        <v>19</v>
      </c>
      <c r="Q333" s="78" t="s">
        <v>494</v>
      </c>
      <c r="R333" s="66">
        <v>4465050</v>
      </c>
      <c r="S333" s="46"/>
      <c r="T333" s="38">
        <v>237</v>
      </c>
      <c r="U333" s="122" t="s">
        <v>859</v>
      </c>
      <c r="V333" s="66">
        <v>4465050</v>
      </c>
      <c r="W333" s="38">
        <v>1295</v>
      </c>
      <c r="X333" s="122" t="s">
        <v>856</v>
      </c>
      <c r="Y333" s="275">
        <v>4465050</v>
      </c>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c r="DK333" s="49"/>
      <c r="DL333" s="49"/>
      <c r="DM333" s="49"/>
      <c r="DN333" s="49"/>
      <c r="DO333" s="49"/>
      <c r="DP333" s="49"/>
      <c r="DQ333" s="49"/>
      <c r="DR333" s="49"/>
      <c r="DS333" s="49"/>
      <c r="DT333" s="49"/>
      <c r="DU333" s="49"/>
      <c r="DV333" s="49"/>
      <c r="DW333" s="49"/>
      <c r="DX333" s="49"/>
      <c r="DY333" s="49"/>
      <c r="DZ333" s="49"/>
    </row>
    <row r="334" spans="1:130" s="50" customFormat="1" ht="15" x14ac:dyDescent="0.25">
      <c r="A334" s="693"/>
      <c r="B334" s="767"/>
      <c r="C334" s="690"/>
      <c r="D334" s="737"/>
      <c r="E334" s="690"/>
      <c r="F334" s="711"/>
      <c r="G334" s="735"/>
      <c r="H334" s="711"/>
      <c r="I334" s="693"/>
      <c r="J334" s="693"/>
      <c r="K334" s="693"/>
      <c r="L334" s="693"/>
      <c r="M334" s="763"/>
      <c r="N334" s="743"/>
      <c r="O334" s="78" t="s">
        <v>367</v>
      </c>
      <c r="P334" s="457" t="s">
        <v>242</v>
      </c>
      <c r="Q334" s="78" t="s">
        <v>495</v>
      </c>
      <c r="R334" s="66">
        <v>4465050</v>
      </c>
      <c r="S334" s="46"/>
      <c r="T334" s="38">
        <v>205</v>
      </c>
      <c r="U334" s="122" t="s">
        <v>858</v>
      </c>
      <c r="V334" s="66">
        <v>4465050</v>
      </c>
      <c r="W334" s="38">
        <v>1271</v>
      </c>
      <c r="X334" s="122" t="s">
        <v>856</v>
      </c>
      <c r="Y334" s="275">
        <v>4465050</v>
      </c>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c r="DK334" s="49"/>
      <c r="DL334" s="49"/>
      <c r="DM334" s="49"/>
      <c r="DN334" s="49"/>
      <c r="DO334" s="49"/>
      <c r="DP334" s="49"/>
      <c r="DQ334" s="49"/>
      <c r="DR334" s="49"/>
      <c r="DS334" s="49"/>
      <c r="DT334" s="49"/>
      <c r="DU334" s="49"/>
      <c r="DV334" s="49"/>
      <c r="DW334" s="49"/>
      <c r="DX334" s="49"/>
      <c r="DY334" s="49"/>
      <c r="DZ334" s="49"/>
    </row>
    <row r="335" spans="1:130" s="50" customFormat="1" ht="15" x14ac:dyDescent="0.25">
      <c r="A335" s="693"/>
      <c r="B335" s="767"/>
      <c r="C335" s="690"/>
      <c r="D335" s="737"/>
      <c r="E335" s="690"/>
      <c r="F335" s="711"/>
      <c r="G335" s="735"/>
      <c r="H335" s="711"/>
      <c r="I335" s="693"/>
      <c r="J335" s="693"/>
      <c r="K335" s="693"/>
      <c r="L335" s="693"/>
      <c r="M335" s="763"/>
      <c r="N335" s="743"/>
      <c r="O335" s="78" t="s">
        <v>368</v>
      </c>
      <c r="P335" s="457" t="s">
        <v>208</v>
      </c>
      <c r="Q335" s="78" t="s">
        <v>496</v>
      </c>
      <c r="R335" s="66">
        <v>4465050</v>
      </c>
      <c r="S335" s="46"/>
      <c r="T335" s="38">
        <v>213</v>
      </c>
      <c r="U335" s="122" t="s">
        <v>859</v>
      </c>
      <c r="V335" s="66">
        <v>4465050</v>
      </c>
      <c r="W335" s="38">
        <v>1700</v>
      </c>
      <c r="X335" s="122" t="s">
        <v>1032</v>
      </c>
      <c r="Y335" s="275">
        <v>4465050</v>
      </c>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c r="DK335" s="49"/>
      <c r="DL335" s="49"/>
      <c r="DM335" s="49"/>
      <c r="DN335" s="49"/>
      <c r="DO335" s="49"/>
      <c r="DP335" s="49"/>
      <c r="DQ335" s="49"/>
      <c r="DR335" s="49"/>
      <c r="DS335" s="49"/>
      <c r="DT335" s="49"/>
      <c r="DU335" s="49"/>
      <c r="DV335" s="49"/>
      <c r="DW335" s="49"/>
      <c r="DX335" s="49"/>
      <c r="DY335" s="49"/>
      <c r="DZ335" s="49"/>
    </row>
    <row r="336" spans="1:130" s="50" customFormat="1" ht="15" x14ac:dyDescent="0.25">
      <c r="A336" s="693"/>
      <c r="B336" s="767"/>
      <c r="C336" s="690"/>
      <c r="D336" s="737"/>
      <c r="E336" s="690"/>
      <c r="F336" s="711"/>
      <c r="G336" s="735"/>
      <c r="H336" s="711"/>
      <c r="I336" s="693"/>
      <c r="J336" s="693"/>
      <c r="K336" s="693"/>
      <c r="L336" s="693"/>
      <c r="M336" s="763"/>
      <c r="N336" s="743"/>
      <c r="O336" s="78" t="s">
        <v>369</v>
      </c>
      <c r="P336" s="457" t="s">
        <v>457</v>
      </c>
      <c r="Q336" s="78" t="s">
        <v>497</v>
      </c>
      <c r="R336" s="274">
        <v>1786020</v>
      </c>
      <c r="S336" s="46"/>
      <c r="T336" s="38">
        <v>272</v>
      </c>
      <c r="U336" s="122" t="s">
        <v>856</v>
      </c>
      <c r="V336" s="66">
        <v>1786020</v>
      </c>
      <c r="W336" s="38">
        <v>1291</v>
      </c>
      <c r="X336" s="122" t="s">
        <v>856</v>
      </c>
      <c r="Y336" s="274">
        <v>1786020</v>
      </c>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s="49"/>
      <c r="DR336" s="49"/>
      <c r="DS336" s="49"/>
      <c r="DT336" s="49"/>
      <c r="DU336" s="49"/>
      <c r="DV336" s="49"/>
      <c r="DW336" s="49"/>
      <c r="DX336" s="49"/>
      <c r="DY336" s="49"/>
      <c r="DZ336" s="49"/>
    </row>
    <row r="337" spans="1:130" s="50" customFormat="1" ht="15" x14ac:dyDescent="0.25">
      <c r="A337" s="693"/>
      <c r="B337" s="767"/>
      <c r="C337" s="690"/>
      <c r="D337" s="737"/>
      <c r="E337" s="690"/>
      <c r="F337" s="711"/>
      <c r="G337" s="735"/>
      <c r="H337" s="711"/>
      <c r="I337" s="693"/>
      <c r="J337" s="693"/>
      <c r="K337" s="693"/>
      <c r="L337" s="693"/>
      <c r="M337" s="763"/>
      <c r="N337" s="743"/>
      <c r="O337" s="78" t="s">
        <v>372</v>
      </c>
      <c r="P337" s="457" t="s">
        <v>458</v>
      </c>
      <c r="Q337" s="78" t="s">
        <v>498</v>
      </c>
      <c r="R337" s="274">
        <v>6697575</v>
      </c>
      <c r="S337" s="46"/>
      <c r="T337" s="38">
        <v>191</v>
      </c>
      <c r="U337" s="122" t="s">
        <v>858</v>
      </c>
      <c r="V337" s="66">
        <v>6697575</v>
      </c>
      <c r="W337" s="38">
        <v>1258</v>
      </c>
      <c r="X337" s="122" t="s">
        <v>856</v>
      </c>
      <c r="Y337" s="275">
        <v>6697575</v>
      </c>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s="49"/>
      <c r="DR337" s="49"/>
      <c r="DS337" s="49"/>
      <c r="DT337" s="49"/>
      <c r="DU337" s="49"/>
      <c r="DV337" s="49"/>
      <c r="DW337" s="49"/>
      <c r="DX337" s="49"/>
      <c r="DY337" s="49"/>
      <c r="DZ337" s="49"/>
    </row>
    <row r="338" spans="1:130" s="50" customFormat="1" ht="15" x14ac:dyDescent="0.25">
      <c r="A338" s="693"/>
      <c r="B338" s="767"/>
      <c r="C338" s="690"/>
      <c r="D338" s="737"/>
      <c r="E338" s="690"/>
      <c r="F338" s="711"/>
      <c r="G338" s="735"/>
      <c r="H338" s="711"/>
      <c r="I338" s="693"/>
      <c r="J338" s="693"/>
      <c r="K338" s="693"/>
      <c r="L338" s="693"/>
      <c r="M338" s="763"/>
      <c r="N338" s="743"/>
      <c r="O338" s="78" t="s">
        <v>373</v>
      </c>
      <c r="P338" s="457" t="s">
        <v>459</v>
      </c>
      <c r="Q338" s="78" t="s">
        <v>499</v>
      </c>
      <c r="R338" s="274">
        <v>4465050</v>
      </c>
      <c r="S338" s="46"/>
      <c r="T338" s="38">
        <v>220</v>
      </c>
      <c r="U338" s="122" t="s">
        <v>859</v>
      </c>
      <c r="V338" s="66">
        <v>4465050</v>
      </c>
      <c r="W338" s="38">
        <v>1273</v>
      </c>
      <c r="X338" s="122" t="s">
        <v>856</v>
      </c>
      <c r="Y338" s="275">
        <v>4465050</v>
      </c>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s="49"/>
      <c r="DR338" s="49"/>
      <c r="DS338" s="49"/>
      <c r="DT338" s="49"/>
      <c r="DU338" s="49"/>
      <c r="DV338" s="49"/>
      <c r="DW338" s="49"/>
      <c r="DX338" s="49"/>
      <c r="DY338" s="49"/>
      <c r="DZ338" s="49"/>
    </row>
    <row r="339" spans="1:130" s="50" customFormat="1" ht="15" x14ac:dyDescent="0.25">
      <c r="A339" s="693"/>
      <c r="B339" s="767"/>
      <c r="C339" s="690"/>
      <c r="D339" s="737"/>
      <c r="E339" s="690"/>
      <c r="F339" s="711"/>
      <c r="G339" s="735"/>
      <c r="H339" s="711"/>
      <c r="I339" s="693"/>
      <c r="J339" s="693"/>
      <c r="K339" s="693"/>
      <c r="L339" s="693"/>
      <c r="M339" s="763"/>
      <c r="N339" s="743"/>
      <c r="O339" s="78" t="s">
        <v>379</v>
      </c>
      <c r="P339" s="457" t="s">
        <v>460</v>
      </c>
      <c r="Q339" s="78" t="s">
        <v>500</v>
      </c>
      <c r="R339" s="274">
        <v>4465050</v>
      </c>
      <c r="S339" s="46"/>
      <c r="T339" s="38">
        <v>199</v>
      </c>
      <c r="U339" s="122" t="s">
        <v>858</v>
      </c>
      <c r="V339" s="66">
        <v>4465050</v>
      </c>
      <c r="W339" s="38">
        <v>1264</v>
      </c>
      <c r="X339" s="122" t="s">
        <v>856</v>
      </c>
      <c r="Y339" s="275">
        <v>4465050</v>
      </c>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s="49"/>
      <c r="DR339" s="49"/>
      <c r="DS339" s="49"/>
      <c r="DT339" s="49"/>
      <c r="DU339" s="49"/>
      <c r="DV339" s="49"/>
      <c r="DW339" s="49"/>
      <c r="DX339" s="49"/>
      <c r="DY339" s="49"/>
      <c r="DZ339" s="49"/>
    </row>
    <row r="340" spans="1:130" s="50" customFormat="1" ht="15" x14ac:dyDescent="0.25">
      <c r="A340" s="693"/>
      <c r="B340" s="767"/>
      <c r="C340" s="690"/>
      <c r="D340" s="737"/>
      <c r="E340" s="690"/>
      <c r="F340" s="711"/>
      <c r="G340" s="735"/>
      <c r="H340" s="711"/>
      <c r="I340" s="693"/>
      <c r="J340" s="693"/>
      <c r="K340" s="693"/>
      <c r="L340" s="693"/>
      <c r="M340" s="763"/>
      <c r="N340" s="743"/>
      <c r="O340" s="78" t="s">
        <v>380</v>
      </c>
      <c r="P340" s="457" t="s">
        <v>461</v>
      </c>
      <c r="Q340" s="78" t="s">
        <v>501</v>
      </c>
      <c r="R340" s="274">
        <v>4911555</v>
      </c>
      <c r="S340" s="46"/>
      <c r="T340" s="38">
        <v>208</v>
      </c>
      <c r="U340" s="122" t="s">
        <v>859</v>
      </c>
      <c r="V340" s="66">
        <v>4911555</v>
      </c>
      <c r="W340" s="38">
        <v>1285</v>
      </c>
      <c r="X340" s="122" t="s">
        <v>856</v>
      </c>
      <c r="Y340" s="275">
        <v>4911555</v>
      </c>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DQ340" s="49"/>
      <c r="DR340" s="49"/>
      <c r="DS340" s="49"/>
      <c r="DT340" s="49"/>
      <c r="DU340" s="49"/>
      <c r="DV340" s="49"/>
      <c r="DW340" s="49"/>
      <c r="DX340" s="49"/>
      <c r="DY340" s="49"/>
      <c r="DZ340" s="49"/>
    </row>
    <row r="341" spans="1:130" s="50" customFormat="1" ht="15" x14ac:dyDescent="0.25">
      <c r="A341" s="693"/>
      <c r="B341" s="767"/>
      <c r="C341" s="690"/>
      <c r="D341" s="737"/>
      <c r="E341" s="690"/>
      <c r="F341" s="711"/>
      <c r="G341" s="735"/>
      <c r="H341" s="711"/>
      <c r="I341" s="693"/>
      <c r="J341" s="693"/>
      <c r="K341" s="693"/>
      <c r="L341" s="693"/>
      <c r="M341" s="763"/>
      <c r="N341" s="743"/>
      <c r="O341" s="78" t="s">
        <v>381</v>
      </c>
      <c r="P341" s="457" t="s">
        <v>462</v>
      </c>
      <c r="Q341" s="78" t="s">
        <v>502</v>
      </c>
      <c r="R341" s="274">
        <v>6697575</v>
      </c>
      <c r="S341" s="46"/>
      <c r="T341" s="38">
        <v>195</v>
      </c>
      <c r="U341" s="122" t="s">
        <v>858</v>
      </c>
      <c r="V341" s="66">
        <v>6697575</v>
      </c>
      <c r="W341" s="38">
        <v>1283</v>
      </c>
      <c r="X341" s="122" t="s">
        <v>856</v>
      </c>
      <c r="Y341" s="275">
        <v>6697575</v>
      </c>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DQ341" s="49"/>
      <c r="DR341" s="49"/>
      <c r="DS341" s="49"/>
      <c r="DT341" s="49"/>
      <c r="DU341" s="49"/>
      <c r="DV341" s="49"/>
      <c r="DW341" s="49"/>
      <c r="DX341" s="49"/>
      <c r="DY341" s="49"/>
      <c r="DZ341" s="49"/>
    </row>
    <row r="342" spans="1:130" s="50" customFormat="1" ht="15" x14ac:dyDescent="0.25">
      <c r="A342" s="693"/>
      <c r="B342" s="767"/>
      <c r="C342" s="690"/>
      <c r="D342" s="737"/>
      <c r="E342" s="690"/>
      <c r="F342" s="711"/>
      <c r="G342" s="735"/>
      <c r="H342" s="711"/>
      <c r="I342" s="693"/>
      <c r="J342" s="693"/>
      <c r="K342" s="693"/>
      <c r="L342" s="693"/>
      <c r="M342" s="763"/>
      <c r="N342" s="743"/>
      <c r="O342" s="78" t="s">
        <v>382</v>
      </c>
      <c r="P342" s="457" t="s">
        <v>463</v>
      </c>
      <c r="Q342" s="78" t="s">
        <v>503</v>
      </c>
      <c r="R342" s="274">
        <v>2679030</v>
      </c>
      <c r="S342" s="46"/>
      <c r="T342" s="38">
        <v>233</v>
      </c>
      <c r="U342" s="122" t="s">
        <v>859</v>
      </c>
      <c r="V342" s="66">
        <v>2679030</v>
      </c>
      <c r="W342" s="38">
        <v>1307</v>
      </c>
      <c r="X342" s="122" t="s">
        <v>856</v>
      </c>
      <c r="Y342" s="275">
        <v>2679030</v>
      </c>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DQ342" s="49"/>
      <c r="DR342" s="49"/>
      <c r="DS342" s="49"/>
      <c r="DT342" s="49"/>
      <c r="DU342" s="49"/>
      <c r="DV342" s="49"/>
      <c r="DW342" s="49"/>
      <c r="DX342" s="49"/>
      <c r="DY342" s="49"/>
      <c r="DZ342" s="49"/>
    </row>
    <row r="343" spans="1:130" s="50" customFormat="1" ht="15" x14ac:dyDescent="0.25">
      <c r="A343" s="693"/>
      <c r="B343" s="767"/>
      <c r="C343" s="690"/>
      <c r="D343" s="737"/>
      <c r="E343" s="690"/>
      <c r="F343" s="711"/>
      <c r="G343" s="735"/>
      <c r="H343" s="711"/>
      <c r="I343" s="693"/>
      <c r="J343" s="693"/>
      <c r="K343" s="693"/>
      <c r="L343" s="693"/>
      <c r="M343" s="763"/>
      <c r="N343" s="743"/>
      <c r="O343" s="78" t="s">
        <v>383</v>
      </c>
      <c r="P343" s="457" t="s">
        <v>464</v>
      </c>
      <c r="Q343" s="78" t="s">
        <v>504</v>
      </c>
      <c r="R343" s="274">
        <v>7358835</v>
      </c>
      <c r="S343" s="46"/>
      <c r="T343" s="38">
        <v>238</v>
      </c>
      <c r="U343" s="122" t="s">
        <v>859</v>
      </c>
      <c r="V343" s="66">
        <v>7358835</v>
      </c>
      <c r="W343" s="38">
        <v>1267</v>
      </c>
      <c r="X343" s="122" t="s">
        <v>856</v>
      </c>
      <c r="Y343" s="275">
        <v>7358835</v>
      </c>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DQ343" s="49"/>
      <c r="DR343" s="49"/>
      <c r="DS343" s="49"/>
      <c r="DT343" s="49"/>
      <c r="DU343" s="49"/>
      <c r="DV343" s="49"/>
      <c r="DW343" s="49"/>
      <c r="DX343" s="49"/>
      <c r="DY343" s="49"/>
      <c r="DZ343" s="49"/>
    </row>
    <row r="344" spans="1:130" s="50" customFormat="1" ht="15" x14ac:dyDescent="0.25">
      <c r="A344" s="693"/>
      <c r="B344" s="767"/>
      <c r="C344" s="690"/>
      <c r="D344" s="737"/>
      <c r="E344" s="690"/>
      <c r="F344" s="711"/>
      <c r="G344" s="735"/>
      <c r="H344" s="711"/>
      <c r="I344" s="693"/>
      <c r="J344" s="693"/>
      <c r="K344" s="693"/>
      <c r="L344" s="693"/>
      <c r="M344" s="763"/>
      <c r="N344" s="743"/>
      <c r="O344" s="78" t="s">
        <v>384</v>
      </c>
      <c r="P344" s="457" t="s">
        <v>465</v>
      </c>
      <c r="Q344" s="78" t="s">
        <v>505</v>
      </c>
      <c r="R344" s="274">
        <v>7590585</v>
      </c>
      <c r="S344" s="46"/>
      <c r="T344" s="38">
        <v>210</v>
      </c>
      <c r="U344" s="122" t="s">
        <v>859</v>
      </c>
      <c r="V344" s="66">
        <v>7590585</v>
      </c>
      <c r="W344" s="38">
        <v>1282</v>
      </c>
      <c r="X344" s="122" t="s">
        <v>856</v>
      </c>
      <c r="Y344" s="275">
        <v>7590585</v>
      </c>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DQ344" s="49"/>
      <c r="DR344" s="49"/>
      <c r="DS344" s="49"/>
      <c r="DT344" s="49"/>
      <c r="DU344" s="49"/>
      <c r="DV344" s="49"/>
      <c r="DW344" s="49"/>
      <c r="DX344" s="49"/>
      <c r="DY344" s="49"/>
      <c r="DZ344" s="49"/>
    </row>
    <row r="345" spans="1:130" s="50" customFormat="1" ht="15" x14ac:dyDescent="0.25">
      <c r="A345" s="693"/>
      <c r="B345" s="767"/>
      <c r="C345" s="690"/>
      <c r="D345" s="737"/>
      <c r="E345" s="690"/>
      <c r="F345" s="711"/>
      <c r="G345" s="735"/>
      <c r="H345" s="711"/>
      <c r="I345" s="693"/>
      <c r="J345" s="693"/>
      <c r="K345" s="693"/>
      <c r="L345" s="693"/>
      <c r="M345" s="763"/>
      <c r="N345" s="743"/>
      <c r="O345" s="78" t="s">
        <v>387</v>
      </c>
      <c r="P345" s="457" t="s">
        <v>466</v>
      </c>
      <c r="Q345" s="78" t="s">
        <v>506</v>
      </c>
      <c r="R345" s="66">
        <v>3826600</v>
      </c>
      <c r="S345" s="46"/>
      <c r="T345" s="38">
        <v>247</v>
      </c>
      <c r="U345" s="122" t="s">
        <v>859</v>
      </c>
      <c r="V345" s="66">
        <v>3826600</v>
      </c>
      <c r="W345" s="38">
        <v>2110</v>
      </c>
      <c r="X345" s="122" t="s">
        <v>1046</v>
      </c>
      <c r="Y345" s="275">
        <v>3826600</v>
      </c>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c r="DP345" s="49"/>
      <c r="DQ345" s="49"/>
      <c r="DR345" s="49"/>
      <c r="DS345" s="49"/>
      <c r="DT345" s="49"/>
      <c r="DU345" s="49"/>
      <c r="DV345" s="49"/>
      <c r="DW345" s="49"/>
      <c r="DX345" s="49"/>
      <c r="DY345" s="49"/>
      <c r="DZ345" s="49"/>
    </row>
    <row r="346" spans="1:130" s="50" customFormat="1" ht="15" x14ac:dyDescent="0.25">
      <c r="A346" s="693"/>
      <c r="B346" s="767"/>
      <c r="C346" s="690"/>
      <c r="D346" s="737"/>
      <c r="E346" s="690"/>
      <c r="F346" s="711"/>
      <c r="G346" s="735"/>
      <c r="H346" s="711"/>
      <c r="I346" s="693"/>
      <c r="J346" s="693"/>
      <c r="K346" s="693"/>
      <c r="L346" s="693"/>
      <c r="M346" s="763"/>
      <c r="N346" s="743"/>
      <c r="O346" s="78" t="s">
        <v>2002</v>
      </c>
      <c r="P346" s="457" t="s">
        <v>2003</v>
      </c>
      <c r="Q346" s="78" t="s">
        <v>2000</v>
      </c>
      <c r="R346" s="274">
        <v>211916235</v>
      </c>
      <c r="S346" s="46"/>
      <c r="T346" s="329">
        <v>832</v>
      </c>
      <c r="U346" s="273">
        <v>44763</v>
      </c>
      <c r="V346" s="274">
        <v>211916235</v>
      </c>
      <c r="W346" s="329">
        <v>3828</v>
      </c>
      <c r="X346" s="273" t="s">
        <v>2859</v>
      </c>
      <c r="Y346" s="275">
        <v>4652582</v>
      </c>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c r="DP346" s="49"/>
      <c r="DQ346" s="49"/>
      <c r="DR346" s="49"/>
      <c r="DS346" s="49"/>
      <c r="DT346" s="49"/>
      <c r="DU346" s="49"/>
      <c r="DV346" s="49"/>
      <c r="DW346" s="49"/>
      <c r="DX346" s="49"/>
      <c r="DY346" s="49"/>
      <c r="DZ346" s="49"/>
    </row>
    <row r="347" spans="1:130" s="50" customFormat="1" ht="15" x14ac:dyDescent="0.25">
      <c r="A347" s="693"/>
      <c r="B347" s="767"/>
      <c r="C347" s="690"/>
      <c r="D347" s="737"/>
      <c r="E347" s="690"/>
      <c r="F347" s="711"/>
      <c r="G347" s="735"/>
      <c r="H347" s="711"/>
      <c r="I347" s="693"/>
      <c r="J347" s="693"/>
      <c r="K347" s="693"/>
      <c r="L347" s="693"/>
      <c r="M347" s="763"/>
      <c r="N347" s="743"/>
      <c r="O347" s="78"/>
      <c r="P347" s="148"/>
      <c r="Q347" s="78"/>
      <c r="R347" s="274"/>
      <c r="S347" s="46"/>
      <c r="T347" s="391"/>
      <c r="U347" s="273"/>
      <c r="V347" s="274"/>
      <c r="W347" s="391">
        <v>3829</v>
      </c>
      <c r="X347" s="273" t="s">
        <v>2859</v>
      </c>
      <c r="Y347" s="274">
        <v>6978873</v>
      </c>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DQ347" s="49"/>
      <c r="DR347" s="49"/>
      <c r="DS347" s="49"/>
      <c r="DT347" s="49"/>
      <c r="DU347" s="49"/>
      <c r="DV347" s="49"/>
      <c r="DW347" s="49"/>
      <c r="DX347" s="49"/>
      <c r="DY347" s="49"/>
      <c r="DZ347" s="49"/>
    </row>
    <row r="348" spans="1:130" s="50" customFormat="1" ht="15" x14ac:dyDescent="0.25">
      <c r="A348" s="693"/>
      <c r="B348" s="767"/>
      <c r="C348" s="690"/>
      <c r="D348" s="737"/>
      <c r="E348" s="690"/>
      <c r="F348" s="711"/>
      <c r="G348" s="735"/>
      <c r="H348" s="711"/>
      <c r="I348" s="693"/>
      <c r="J348" s="693"/>
      <c r="K348" s="693"/>
      <c r="L348" s="693"/>
      <c r="M348" s="763"/>
      <c r="N348" s="743"/>
      <c r="O348" s="78"/>
      <c r="P348" s="148"/>
      <c r="Q348" s="78"/>
      <c r="R348" s="274"/>
      <c r="S348" s="46"/>
      <c r="T348" s="391"/>
      <c r="U348" s="273"/>
      <c r="V348" s="274"/>
      <c r="W348" s="391">
        <v>3831</v>
      </c>
      <c r="X348" s="273" t="s">
        <v>2859</v>
      </c>
      <c r="Y348" s="274">
        <v>4652582</v>
      </c>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49"/>
      <c r="CN348" s="49"/>
      <c r="CO348" s="49"/>
      <c r="CP348" s="49"/>
      <c r="CQ348" s="49"/>
      <c r="CR348" s="49"/>
      <c r="CS348" s="49"/>
      <c r="CT348" s="49"/>
      <c r="CU348" s="49"/>
      <c r="CV348" s="49"/>
      <c r="CW348" s="49"/>
      <c r="CX348" s="49"/>
      <c r="CY348" s="49"/>
      <c r="CZ348" s="49"/>
      <c r="DA348" s="49"/>
      <c r="DB348" s="49"/>
      <c r="DC348" s="49"/>
      <c r="DD348" s="49"/>
      <c r="DE348" s="49"/>
      <c r="DF348" s="49"/>
      <c r="DG348" s="49"/>
      <c r="DH348" s="49"/>
      <c r="DI348" s="49"/>
      <c r="DJ348" s="49"/>
      <c r="DK348" s="49"/>
      <c r="DL348" s="49"/>
      <c r="DM348" s="49"/>
      <c r="DN348" s="49"/>
      <c r="DO348" s="49"/>
      <c r="DP348" s="49"/>
      <c r="DQ348" s="49"/>
      <c r="DR348" s="49"/>
      <c r="DS348" s="49"/>
      <c r="DT348" s="49"/>
      <c r="DU348" s="49"/>
      <c r="DV348" s="49"/>
      <c r="DW348" s="49"/>
      <c r="DX348" s="49"/>
      <c r="DY348" s="49"/>
      <c r="DZ348" s="49"/>
    </row>
    <row r="349" spans="1:130" s="50" customFormat="1" ht="15" x14ac:dyDescent="0.25">
      <c r="A349" s="693"/>
      <c r="B349" s="767"/>
      <c r="C349" s="690"/>
      <c r="D349" s="737"/>
      <c r="E349" s="690"/>
      <c r="F349" s="711"/>
      <c r="G349" s="735"/>
      <c r="H349" s="711"/>
      <c r="I349" s="693"/>
      <c r="J349" s="693"/>
      <c r="K349" s="693"/>
      <c r="L349" s="693"/>
      <c r="M349" s="763"/>
      <c r="N349" s="743"/>
      <c r="O349" s="78"/>
      <c r="P349" s="148"/>
      <c r="Q349" s="78"/>
      <c r="R349" s="274"/>
      <c r="S349" s="46"/>
      <c r="T349" s="391"/>
      <c r="U349" s="273"/>
      <c r="V349" s="274"/>
      <c r="W349" s="391">
        <v>3832</v>
      </c>
      <c r="X349" s="273" t="s">
        <v>2859</v>
      </c>
      <c r="Y349" s="274">
        <v>7909390</v>
      </c>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s="49"/>
      <c r="DR349" s="49"/>
      <c r="DS349" s="49"/>
      <c r="DT349" s="49"/>
      <c r="DU349" s="49"/>
      <c r="DV349" s="49"/>
      <c r="DW349" s="49"/>
      <c r="DX349" s="49"/>
      <c r="DY349" s="49"/>
      <c r="DZ349" s="49"/>
    </row>
    <row r="350" spans="1:130" s="50" customFormat="1" ht="15" x14ac:dyDescent="0.25">
      <c r="A350" s="693"/>
      <c r="B350" s="767"/>
      <c r="C350" s="690"/>
      <c r="D350" s="737"/>
      <c r="E350" s="690"/>
      <c r="F350" s="711"/>
      <c r="G350" s="735"/>
      <c r="H350" s="711"/>
      <c r="I350" s="693"/>
      <c r="J350" s="693"/>
      <c r="K350" s="693"/>
      <c r="L350" s="693"/>
      <c r="M350" s="763"/>
      <c r="N350" s="743"/>
      <c r="O350" s="78"/>
      <c r="P350" s="148"/>
      <c r="Q350" s="78"/>
      <c r="R350" s="274"/>
      <c r="S350" s="46"/>
      <c r="T350" s="391"/>
      <c r="U350" s="273"/>
      <c r="V350" s="274"/>
      <c r="W350" s="391">
        <v>3833</v>
      </c>
      <c r="X350" s="273" t="s">
        <v>2859</v>
      </c>
      <c r="Y350" s="274">
        <v>4652582</v>
      </c>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s="49"/>
      <c r="DR350" s="49"/>
      <c r="DS350" s="49"/>
      <c r="DT350" s="49"/>
      <c r="DU350" s="49"/>
      <c r="DV350" s="49"/>
      <c r="DW350" s="49"/>
      <c r="DX350" s="49"/>
      <c r="DY350" s="49"/>
      <c r="DZ350" s="49"/>
    </row>
    <row r="351" spans="1:130" s="50" customFormat="1" ht="15" x14ac:dyDescent="0.25">
      <c r="A351" s="693"/>
      <c r="B351" s="767"/>
      <c r="C351" s="690"/>
      <c r="D351" s="737"/>
      <c r="E351" s="690"/>
      <c r="F351" s="711"/>
      <c r="G351" s="735"/>
      <c r="H351" s="711"/>
      <c r="I351" s="693"/>
      <c r="J351" s="693"/>
      <c r="K351" s="693"/>
      <c r="L351" s="693"/>
      <c r="M351" s="763"/>
      <c r="N351" s="743"/>
      <c r="O351" s="78"/>
      <c r="P351" s="148"/>
      <c r="Q351" s="78"/>
      <c r="R351" s="274"/>
      <c r="S351" s="46"/>
      <c r="T351" s="391"/>
      <c r="U351" s="273"/>
      <c r="V351" s="274"/>
      <c r="W351" s="391">
        <v>3834</v>
      </c>
      <c r="X351" s="273" t="s">
        <v>2859</v>
      </c>
      <c r="Y351" s="274">
        <v>6978873</v>
      </c>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DQ351" s="49"/>
      <c r="DR351" s="49"/>
      <c r="DS351" s="49"/>
      <c r="DT351" s="49"/>
      <c r="DU351" s="49"/>
      <c r="DV351" s="49"/>
      <c r="DW351" s="49"/>
      <c r="DX351" s="49"/>
      <c r="DY351" s="49"/>
      <c r="DZ351" s="49"/>
    </row>
    <row r="352" spans="1:130" s="50" customFormat="1" ht="15" x14ac:dyDescent="0.25">
      <c r="A352" s="693"/>
      <c r="B352" s="767"/>
      <c r="C352" s="690"/>
      <c r="D352" s="737"/>
      <c r="E352" s="690"/>
      <c r="F352" s="711"/>
      <c r="G352" s="735"/>
      <c r="H352" s="711"/>
      <c r="I352" s="693"/>
      <c r="J352" s="693"/>
      <c r="K352" s="693"/>
      <c r="L352" s="693"/>
      <c r="M352" s="763"/>
      <c r="N352" s="743"/>
      <c r="O352" s="78"/>
      <c r="P352" s="148"/>
      <c r="Q352" s="78"/>
      <c r="R352" s="274"/>
      <c r="S352" s="46"/>
      <c r="T352" s="391"/>
      <c r="U352" s="273"/>
      <c r="V352" s="274"/>
      <c r="W352" s="391">
        <v>3836</v>
      </c>
      <c r="X352" s="273" t="s">
        <v>2859</v>
      </c>
      <c r="Y352" s="274">
        <v>4652582</v>
      </c>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s="49"/>
      <c r="DR352" s="49"/>
      <c r="DS352" s="49"/>
      <c r="DT352" s="49"/>
      <c r="DU352" s="49"/>
      <c r="DV352" s="49"/>
      <c r="DW352" s="49"/>
      <c r="DX352" s="49"/>
      <c r="DY352" s="49"/>
      <c r="DZ352" s="49"/>
    </row>
    <row r="353" spans="1:130" s="50" customFormat="1" ht="15" x14ac:dyDescent="0.25">
      <c r="A353" s="693"/>
      <c r="B353" s="767"/>
      <c r="C353" s="690"/>
      <c r="D353" s="737"/>
      <c r="E353" s="690"/>
      <c r="F353" s="711"/>
      <c r="G353" s="735"/>
      <c r="H353" s="711"/>
      <c r="I353" s="693"/>
      <c r="J353" s="693"/>
      <c r="K353" s="693"/>
      <c r="L353" s="693"/>
      <c r="M353" s="763"/>
      <c r="N353" s="743"/>
      <c r="O353" s="78"/>
      <c r="P353" s="148"/>
      <c r="Q353" s="78"/>
      <c r="R353" s="274"/>
      <c r="S353" s="46"/>
      <c r="T353" s="391"/>
      <c r="U353" s="273"/>
      <c r="V353" s="274"/>
      <c r="W353" s="391">
        <v>3840</v>
      </c>
      <c r="X353" s="273" t="s">
        <v>2859</v>
      </c>
      <c r="Y353" s="274">
        <v>5583099</v>
      </c>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s="49"/>
      <c r="DR353" s="49"/>
      <c r="DS353" s="49"/>
      <c r="DT353" s="49"/>
      <c r="DU353" s="49"/>
      <c r="DV353" s="49"/>
      <c r="DW353" s="49"/>
      <c r="DX353" s="49"/>
      <c r="DY353" s="49"/>
      <c r="DZ353" s="49"/>
    </row>
    <row r="354" spans="1:130" s="50" customFormat="1" ht="15" x14ac:dyDescent="0.25">
      <c r="A354" s="693"/>
      <c r="B354" s="767"/>
      <c r="C354" s="690"/>
      <c r="D354" s="737"/>
      <c r="E354" s="690"/>
      <c r="F354" s="711"/>
      <c r="G354" s="735"/>
      <c r="H354" s="711"/>
      <c r="I354" s="693"/>
      <c r="J354" s="693"/>
      <c r="K354" s="693"/>
      <c r="L354" s="693"/>
      <c r="M354" s="763"/>
      <c r="N354" s="743"/>
      <c r="O354" s="78"/>
      <c r="P354" s="148"/>
      <c r="Q354" s="78"/>
      <c r="R354" s="274"/>
      <c r="S354" s="46"/>
      <c r="T354" s="391"/>
      <c r="U354" s="273"/>
      <c r="V354" s="274"/>
      <c r="W354" s="391">
        <v>3841</v>
      </c>
      <c r="X354" s="273" t="s">
        <v>2859</v>
      </c>
      <c r="Y354" s="274">
        <v>4652582</v>
      </c>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DQ354" s="49"/>
      <c r="DR354" s="49"/>
      <c r="DS354" s="49"/>
      <c r="DT354" s="49"/>
      <c r="DU354" s="49"/>
      <c r="DV354" s="49"/>
      <c r="DW354" s="49"/>
      <c r="DX354" s="49"/>
      <c r="DY354" s="49"/>
      <c r="DZ354" s="49"/>
    </row>
    <row r="355" spans="1:130" s="50" customFormat="1" ht="15" x14ac:dyDescent="0.25">
      <c r="A355" s="693"/>
      <c r="B355" s="767"/>
      <c r="C355" s="690"/>
      <c r="D355" s="737"/>
      <c r="E355" s="690"/>
      <c r="F355" s="711"/>
      <c r="G355" s="735"/>
      <c r="H355" s="711"/>
      <c r="I355" s="693"/>
      <c r="J355" s="693"/>
      <c r="K355" s="693"/>
      <c r="L355" s="693"/>
      <c r="M355" s="763"/>
      <c r="N355" s="743"/>
      <c r="O355" s="78"/>
      <c r="P355" s="148"/>
      <c r="Q355" s="78"/>
      <c r="R355" s="274"/>
      <c r="S355" s="46"/>
      <c r="T355" s="391"/>
      <c r="U355" s="273"/>
      <c r="V355" s="274"/>
      <c r="W355" s="391">
        <v>3844</v>
      </c>
      <c r="X355" s="273" t="s">
        <v>2859</v>
      </c>
      <c r="Y355" s="274">
        <v>5583099</v>
      </c>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DQ355" s="49"/>
      <c r="DR355" s="49"/>
      <c r="DS355" s="49"/>
      <c r="DT355" s="49"/>
      <c r="DU355" s="49"/>
      <c r="DV355" s="49"/>
      <c r="DW355" s="49"/>
      <c r="DX355" s="49"/>
      <c r="DY355" s="49"/>
      <c r="DZ355" s="49"/>
    </row>
    <row r="356" spans="1:130" s="50" customFormat="1" ht="15" x14ac:dyDescent="0.25">
      <c r="A356" s="693"/>
      <c r="B356" s="767"/>
      <c r="C356" s="690"/>
      <c r="D356" s="737"/>
      <c r="E356" s="690"/>
      <c r="F356" s="711"/>
      <c r="G356" s="735"/>
      <c r="H356" s="711"/>
      <c r="I356" s="693"/>
      <c r="J356" s="693"/>
      <c r="K356" s="693"/>
      <c r="L356" s="693"/>
      <c r="M356" s="763"/>
      <c r="N356" s="743"/>
      <c r="O356" s="78"/>
      <c r="P356" s="148"/>
      <c r="Q356" s="78"/>
      <c r="R356" s="274"/>
      <c r="S356" s="46"/>
      <c r="T356" s="391"/>
      <c r="U356" s="273"/>
      <c r="V356" s="274"/>
      <c r="W356" s="391">
        <v>3845</v>
      </c>
      <c r="X356" s="273" t="s">
        <v>2859</v>
      </c>
      <c r="Y356" s="274">
        <v>5583099</v>
      </c>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DQ356" s="49"/>
      <c r="DR356" s="49"/>
      <c r="DS356" s="49"/>
      <c r="DT356" s="49"/>
      <c r="DU356" s="49"/>
      <c r="DV356" s="49"/>
      <c r="DW356" s="49"/>
      <c r="DX356" s="49"/>
      <c r="DY356" s="49"/>
      <c r="DZ356" s="49"/>
    </row>
    <row r="357" spans="1:130" s="50" customFormat="1" ht="15" x14ac:dyDescent="0.25">
      <c r="A357" s="693"/>
      <c r="B357" s="767"/>
      <c r="C357" s="690"/>
      <c r="D357" s="737"/>
      <c r="E357" s="690"/>
      <c r="F357" s="711"/>
      <c r="G357" s="735"/>
      <c r="H357" s="711"/>
      <c r="I357" s="693"/>
      <c r="J357" s="693"/>
      <c r="K357" s="693"/>
      <c r="L357" s="693"/>
      <c r="M357" s="763"/>
      <c r="N357" s="743"/>
      <c r="O357" s="78"/>
      <c r="P357" s="148"/>
      <c r="Q357" s="78"/>
      <c r="R357" s="274"/>
      <c r="S357" s="46"/>
      <c r="T357" s="391"/>
      <c r="U357" s="273"/>
      <c r="V357" s="274"/>
      <c r="W357" s="391">
        <v>3849</v>
      </c>
      <c r="X357" s="273" t="s">
        <v>2859</v>
      </c>
      <c r="Y357" s="274">
        <v>5583099</v>
      </c>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DQ357" s="49"/>
      <c r="DR357" s="49"/>
      <c r="DS357" s="49"/>
      <c r="DT357" s="49"/>
      <c r="DU357" s="49"/>
      <c r="DV357" s="49"/>
      <c r="DW357" s="49"/>
      <c r="DX357" s="49"/>
      <c r="DY357" s="49"/>
      <c r="DZ357" s="49"/>
    </row>
    <row r="358" spans="1:130" s="50" customFormat="1" ht="15" x14ac:dyDescent="0.25">
      <c r="A358" s="693"/>
      <c r="B358" s="767"/>
      <c r="C358" s="690"/>
      <c r="D358" s="737"/>
      <c r="E358" s="690"/>
      <c r="F358" s="711"/>
      <c r="G358" s="735"/>
      <c r="H358" s="711"/>
      <c r="I358" s="693"/>
      <c r="J358" s="693"/>
      <c r="K358" s="693"/>
      <c r="L358" s="693"/>
      <c r="M358" s="763"/>
      <c r="N358" s="743"/>
      <c r="O358" s="78"/>
      <c r="P358" s="148"/>
      <c r="Q358" s="78"/>
      <c r="R358" s="274"/>
      <c r="S358" s="46"/>
      <c r="T358" s="391"/>
      <c r="U358" s="273"/>
      <c r="V358" s="274"/>
      <c r="W358" s="391">
        <v>3850</v>
      </c>
      <c r="X358" s="273" t="s">
        <v>2859</v>
      </c>
      <c r="Y358" s="274">
        <v>5583099</v>
      </c>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s="49"/>
      <c r="DR358" s="49"/>
      <c r="DS358" s="49"/>
      <c r="DT358" s="49"/>
      <c r="DU358" s="49"/>
      <c r="DV358" s="49"/>
      <c r="DW358" s="49"/>
      <c r="DX358" s="49"/>
      <c r="DY358" s="49"/>
      <c r="DZ358" s="49"/>
    </row>
    <row r="359" spans="1:130" s="50" customFormat="1" ht="15" x14ac:dyDescent="0.25">
      <c r="A359" s="693"/>
      <c r="B359" s="767"/>
      <c r="C359" s="690"/>
      <c r="D359" s="737"/>
      <c r="E359" s="690"/>
      <c r="F359" s="711"/>
      <c r="G359" s="735"/>
      <c r="H359" s="711"/>
      <c r="I359" s="693"/>
      <c r="J359" s="693"/>
      <c r="K359" s="693"/>
      <c r="L359" s="693"/>
      <c r="M359" s="763"/>
      <c r="N359" s="743"/>
      <c r="O359" s="78"/>
      <c r="P359" s="148"/>
      <c r="Q359" s="78"/>
      <c r="R359" s="274"/>
      <c r="S359" s="46"/>
      <c r="T359" s="391"/>
      <c r="U359" s="273"/>
      <c r="V359" s="274"/>
      <c r="W359" s="391">
        <v>3853</v>
      </c>
      <c r="X359" s="273" t="s">
        <v>2859</v>
      </c>
      <c r="Y359" s="274">
        <v>6978873</v>
      </c>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c r="DP359" s="49"/>
      <c r="DQ359" s="49"/>
      <c r="DR359" s="49"/>
      <c r="DS359" s="49"/>
      <c r="DT359" s="49"/>
      <c r="DU359" s="49"/>
      <c r="DV359" s="49"/>
      <c r="DW359" s="49"/>
      <c r="DX359" s="49"/>
      <c r="DY359" s="49"/>
      <c r="DZ359" s="49"/>
    </row>
    <row r="360" spans="1:130" s="50" customFormat="1" ht="15" x14ac:dyDescent="0.25">
      <c r="A360" s="693"/>
      <c r="B360" s="767"/>
      <c r="C360" s="690"/>
      <c r="D360" s="737"/>
      <c r="E360" s="690"/>
      <c r="F360" s="711"/>
      <c r="G360" s="735"/>
      <c r="H360" s="711"/>
      <c r="I360" s="693"/>
      <c r="J360" s="693"/>
      <c r="K360" s="693"/>
      <c r="L360" s="693"/>
      <c r="M360" s="763"/>
      <c r="N360" s="743"/>
      <c r="O360" s="78"/>
      <c r="P360" s="148"/>
      <c r="Q360" s="78"/>
      <c r="R360" s="274"/>
      <c r="S360" s="46"/>
      <c r="T360" s="391"/>
      <c r="U360" s="273"/>
      <c r="V360" s="274"/>
      <c r="W360" s="391">
        <v>3866</v>
      </c>
      <c r="X360" s="273" t="s">
        <v>2859</v>
      </c>
      <c r="Y360" s="274">
        <v>7667906</v>
      </c>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c r="DP360" s="49"/>
      <c r="DQ360" s="49"/>
      <c r="DR360" s="49"/>
      <c r="DS360" s="49"/>
      <c r="DT360" s="49"/>
      <c r="DU360" s="49"/>
      <c r="DV360" s="49"/>
      <c r="DW360" s="49"/>
      <c r="DX360" s="49"/>
      <c r="DY360" s="49"/>
      <c r="DZ360" s="49"/>
    </row>
    <row r="361" spans="1:130" s="50" customFormat="1" ht="15" x14ac:dyDescent="0.25">
      <c r="A361" s="693"/>
      <c r="B361" s="767"/>
      <c r="C361" s="690"/>
      <c r="D361" s="737"/>
      <c r="E361" s="690"/>
      <c r="F361" s="711"/>
      <c r="G361" s="735"/>
      <c r="H361" s="711"/>
      <c r="I361" s="693"/>
      <c r="J361" s="693"/>
      <c r="K361" s="693"/>
      <c r="L361" s="693"/>
      <c r="M361" s="763"/>
      <c r="N361" s="743"/>
      <c r="O361" s="78"/>
      <c r="P361" s="148"/>
      <c r="Q361" s="78"/>
      <c r="R361" s="274"/>
      <c r="S361" s="46"/>
      <c r="T361" s="391"/>
      <c r="U361" s="273"/>
      <c r="V361" s="274"/>
      <c r="W361" s="391">
        <v>3867</v>
      </c>
      <c r="X361" s="273" t="s">
        <v>2859</v>
      </c>
      <c r="Y361" s="274">
        <v>4652582</v>
      </c>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c r="DP361" s="49"/>
      <c r="DQ361" s="49"/>
      <c r="DR361" s="49"/>
      <c r="DS361" s="49"/>
      <c r="DT361" s="49"/>
      <c r="DU361" s="49"/>
      <c r="DV361" s="49"/>
      <c r="DW361" s="49"/>
      <c r="DX361" s="49"/>
      <c r="DY361" s="49"/>
      <c r="DZ361" s="49"/>
    </row>
    <row r="362" spans="1:130" s="50" customFormat="1" ht="15" x14ac:dyDescent="0.25">
      <c r="A362" s="693"/>
      <c r="B362" s="767"/>
      <c r="C362" s="690"/>
      <c r="D362" s="737"/>
      <c r="E362" s="690"/>
      <c r="F362" s="711"/>
      <c r="G362" s="735"/>
      <c r="H362" s="711"/>
      <c r="I362" s="693"/>
      <c r="J362" s="693"/>
      <c r="K362" s="693"/>
      <c r="L362" s="693"/>
      <c r="M362" s="763"/>
      <c r="N362" s="743"/>
      <c r="O362" s="78"/>
      <c r="P362" s="148"/>
      <c r="Q362" s="78"/>
      <c r="R362" s="274"/>
      <c r="S362" s="46"/>
      <c r="T362" s="391"/>
      <c r="U362" s="273"/>
      <c r="V362" s="274"/>
      <c r="W362" s="391">
        <v>3868</v>
      </c>
      <c r="X362" s="273" t="s">
        <v>2859</v>
      </c>
      <c r="Y362" s="274">
        <v>3722066</v>
      </c>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DQ362" s="49"/>
      <c r="DR362" s="49"/>
      <c r="DS362" s="49"/>
      <c r="DT362" s="49"/>
      <c r="DU362" s="49"/>
      <c r="DV362" s="49"/>
      <c r="DW362" s="49"/>
      <c r="DX362" s="49"/>
      <c r="DY362" s="49"/>
      <c r="DZ362" s="49"/>
    </row>
    <row r="363" spans="1:130" s="50" customFormat="1" ht="15" x14ac:dyDescent="0.25">
      <c r="A363" s="693"/>
      <c r="B363" s="767"/>
      <c r="C363" s="690"/>
      <c r="D363" s="737"/>
      <c r="E363" s="690"/>
      <c r="F363" s="711"/>
      <c r="G363" s="735"/>
      <c r="H363" s="711"/>
      <c r="I363" s="693"/>
      <c r="J363" s="693"/>
      <c r="K363" s="693"/>
      <c r="L363" s="693"/>
      <c r="M363" s="763"/>
      <c r="N363" s="743"/>
      <c r="O363" s="78"/>
      <c r="P363" s="148"/>
      <c r="Q363" s="78"/>
      <c r="R363" s="274"/>
      <c r="S363" s="46"/>
      <c r="T363" s="391"/>
      <c r="U363" s="273"/>
      <c r="V363" s="274"/>
      <c r="W363" s="391">
        <v>3869</v>
      </c>
      <c r="X363" s="273" t="s">
        <v>2859</v>
      </c>
      <c r="Y363" s="274">
        <v>4652582</v>
      </c>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9"/>
      <c r="CD363" s="49"/>
      <c r="CE363" s="49"/>
      <c r="CF363" s="49"/>
      <c r="CG363" s="49"/>
      <c r="CH363" s="49"/>
      <c r="CI363" s="49"/>
      <c r="CJ363" s="49"/>
      <c r="CK363" s="49"/>
      <c r="CL363" s="49"/>
      <c r="CM363" s="49"/>
      <c r="CN363" s="49"/>
      <c r="CO363" s="49"/>
      <c r="CP363" s="49"/>
      <c r="CQ363" s="49"/>
      <c r="CR363" s="49"/>
      <c r="CS363" s="49"/>
      <c r="CT363" s="49"/>
      <c r="CU363" s="49"/>
      <c r="CV363" s="49"/>
      <c r="CW363" s="49"/>
      <c r="CX363" s="49"/>
      <c r="CY363" s="49"/>
      <c r="CZ363" s="49"/>
      <c r="DA363" s="49"/>
      <c r="DB363" s="49"/>
      <c r="DC363" s="49"/>
      <c r="DD363" s="49"/>
      <c r="DE363" s="49"/>
      <c r="DF363" s="49"/>
      <c r="DG363" s="49"/>
      <c r="DH363" s="49"/>
      <c r="DI363" s="49"/>
      <c r="DJ363" s="49"/>
      <c r="DK363" s="49"/>
      <c r="DL363" s="49"/>
      <c r="DM363" s="49"/>
      <c r="DN363" s="49"/>
      <c r="DO363" s="49"/>
      <c r="DP363" s="49"/>
      <c r="DQ363" s="49"/>
      <c r="DR363" s="49"/>
      <c r="DS363" s="49"/>
      <c r="DT363" s="49"/>
      <c r="DU363" s="49"/>
      <c r="DV363" s="49"/>
      <c r="DW363" s="49"/>
      <c r="DX363" s="49"/>
      <c r="DY363" s="49"/>
      <c r="DZ363" s="49"/>
    </row>
    <row r="364" spans="1:130" s="50" customFormat="1" ht="15" x14ac:dyDescent="0.25">
      <c r="A364" s="693"/>
      <c r="B364" s="767"/>
      <c r="C364" s="690"/>
      <c r="D364" s="737"/>
      <c r="E364" s="690"/>
      <c r="F364" s="711"/>
      <c r="G364" s="735"/>
      <c r="H364" s="711"/>
      <c r="I364" s="693"/>
      <c r="J364" s="693"/>
      <c r="K364" s="693"/>
      <c r="L364" s="693"/>
      <c r="M364" s="763"/>
      <c r="N364" s="743"/>
      <c r="O364" s="78"/>
      <c r="P364" s="148"/>
      <c r="Q364" s="78"/>
      <c r="R364" s="274"/>
      <c r="S364" s="46"/>
      <c r="T364" s="391"/>
      <c r="U364" s="273"/>
      <c r="V364" s="274"/>
      <c r="W364" s="391">
        <v>3870</v>
      </c>
      <c r="X364" s="273" t="s">
        <v>2859</v>
      </c>
      <c r="Y364" s="274">
        <v>8374648</v>
      </c>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9"/>
      <c r="CD364" s="49"/>
      <c r="CE364" s="49"/>
      <c r="CF364" s="49"/>
      <c r="CG364" s="49"/>
      <c r="CH364" s="49"/>
      <c r="CI364" s="49"/>
      <c r="CJ364" s="49"/>
      <c r="CK364" s="49"/>
      <c r="CL364" s="49"/>
      <c r="CM364" s="49"/>
      <c r="CN364" s="49"/>
      <c r="CO364" s="49"/>
      <c r="CP364" s="49"/>
      <c r="CQ364" s="49"/>
      <c r="CR364" s="49"/>
      <c r="CS364" s="49"/>
      <c r="CT364" s="49"/>
      <c r="CU364" s="49"/>
      <c r="CV364" s="49"/>
      <c r="CW364" s="49"/>
      <c r="CX364" s="49"/>
      <c r="CY364" s="49"/>
      <c r="CZ364" s="49"/>
      <c r="DA364" s="49"/>
      <c r="DB364" s="49"/>
      <c r="DC364" s="49"/>
      <c r="DD364" s="49"/>
      <c r="DE364" s="49"/>
      <c r="DF364" s="49"/>
      <c r="DG364" s="49"/>
      <c r="DH364" s="49"/>
      <c r="DI364" s="49"/>
      <c r="DJ364" s="49"/>
      <c r="DK364" s="49"/>
      <c r="DL364" s="49"/>
      <c r="DM364" s="49"/>
      <c r="DN364" s="49"/>
      <c r="DO364" s="49"/>
      <c r="DP364" s="49"/>
      <c r="DQ364" s="49"/>
      <c r="DR364" s="49"/>
      <c r="DS364" s="49"/>
      <c r="DT364" s="49"/>
      <c r="DU364" s="49"/>
      <c r="DV364" s="49"/>
      <c r="DW364" s="49"/>
      <c r="DX364" s="49"/>
      <c r="DY364" s="49"/>
      <c r="DZ364" s="49"/>
    </row>
    <row r="365" spans="1:130" s="50" customFormat="1" ht="15" x14ac:dyDescent="0.25">
      <c r="A365" s="693"/>
      <c r="B365" s="767"/>
      <c r="C365" s="690"/>
      <c r="D365" s="737"/>
      <c r="E365" s="690"/>
      <c r="F365" s="711"/>
      <c r="G365" s="735"/>
      <c r="H365" s="711"/>
      <c r="I365" s="693"/>
      <c r="J365" s="693"/>
      <c r="K365" s="693"/>
      <c r="L365" s="693"/>
      <c r="M365" s="763"/>
      <c r="N365" s="743"/>
      <c r="O365" s="78"/>
      <c r="P365" s="148"/>
      <c r="Q365" s="78"/>
      <c r="R365" s="274"/>
      <c r="S365" s="46"/>
      <c r="T365" s="391"/>
      <c r="U365" s="273"/>
      <c r="V365" s="274"/>
      <c r="W365" s="391">
        <v>3905</v>
      </c>
      <c r="X365" s="273" t="s">
        <v>2859</v>
      </c>
      <c r="Y365" s="274">
        <v>5117840</v>
      </c>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c r="CL365" s="49"/>
      <c r="CM365" s="49"/>
      <c r="CN365" s="49"/>
      <c r="CO365" s="49"/>
      <c r="CP365" s="49"/>
      <c r="CQ365" s="49"/>
      <c r="CR365" s="49"/>
      <c r="CS365" s="49"/>
      <c r="CT365" s="49"/>
      <c r="CU365" s="49"/>
      <c r="CV365" s="49"/>
      <c r="CW365" s="49"/>
      <c r="CX365" s="49"/>
      <c r="CY365" s="49"/>
      <c r="CZ365" s="49"/>
      <c r="DA365" s="49"/>
      <c r="DB365" s="49"/>
      <c r="DC365" s="49"/>
      <c r="DD365" s="49"/>
      <c r="DE365" s="49"/>
      <c r="DF365" s="49"/>
      <c r="DG365" s="49"/>
      <c r="DH365" s="49"/>
      <c r="DI365" s="49"/>
      <c r="DJ365" s="49"/>
      <c r="DK365" s="49"/>
      <c r="DL365" s="49"/>
      <c r="DM365" s="49"/>
      <c r="DN365" s="49"/>
      <c r="DO365" s="49"/>
      <c r="DP365" s="49"/>
      <c r="DQ365" s="49"/>
      <c r="DR365" s="49"/>
      <c r="DS365" s="49"/>
      <c r="DT365" s="49"/>
      <c r="DU365" s="49"/>
      <c r="DV365" s="49"/>
      <c r="DW365" s="49"/>
      <c r="DX365" s="49"/>
      <c r="DY365" s="49"/>
      <c r="DZ365" s="49"/>
    </row>
    <row r="366" spans="1:130" s="50" customFormat="1" ht="15" x14ac:dyDescent="0.25">
      <c r="A366" s="693"/>
      <c r="B366" s="767"/>
      <c r="C366" s="690"/>
      <c r="D366" s="737"/>
      <c r="E366" s="690"/>
      <c r="F366" s="711"/>
      <c r="G366" s="735"/>
      <c r="H366" s="711"/>
      <c r="I366" s="693"/>
      <c r="J366" s="693"/>
      <c r="K366" s="693"/>
      <c r="L366" s="693"/>
      <c r="M366" s="763"/>
      <c r="N366" s="743"/>
      <c r="O366" s="78"/>
      <c r="P366" s="148"/>
      <c r="Q366" s="78"/>
      <c r="R366" s="274"/>
      <c r="S366" s="46"/>
      <c r="T366" s="391"/>
      <c r="U366" s="273"/>
      <c r="V366" s="274"/>
      <c r="W366" s="391">
        <v>3915</v>
      </c>
      <c r="X366" s="273" t="s">
        <v>2862</v>
      </c>
      <c r="Y366" s="274">
        <v>6978873</v>
      </c>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c r="CL366" s="49"/>
      <c r="CM366" s="49"/>
      <c r="CN366" s="49"/>
      <c r="CO366" s="49"/>
      <c r="CP366" s="49"/>
      <c r="CQ366" s="49"/>
      <c r="CR366" s="49"/>
      <c r="CS366" s="49"/>
      <c r="CT366" s="49"/>
      <c r="CU366" s="49"/>
      <c r="CV366" s="49"/>
      <c r="CW366" s="49"/>
      <c r="CX366" s="49"/>
      <c r="CY366" s="49"/>
      <c r="CZ366" s="49"/>
      <c r="DA366" s="49"/>
      <c r="DB366" s="49"/>
      <c r="DC366" s="49"/>
      <c r="DD366" s="49"/>
      <c r="DE366" s="49"/>
      <c r="DF366" s="49"/>
      <c r="DG366" s="49"/>
      <c r="DH366" s="49"/>
      <c r="DI366" s="49"/>
      <c r="DJ366" s="49"/>
      <c r="DK366" s="49"/>
      <c r="DL366" s="49"/>
      <c r="DM366" s="49"/>
      <c r="DN366" s="49"/>
      <c r="DO366" s="49"/>
      <c r="DP366" s="49"/>
      <c r="DQ366" s="49"/>
      <c r="DR366" s="49"/>
      <c r="DS366" s="49"/>
      <c r="DT366" s="49"/>
      <c r="DU366" s="49"/>
      <c r="DV366" s="49"/>
      <c r="DW366" s="49"/>
      <c r="DX366" s="49"/>
      <c r="DY366" s="49"/>
      <c r="DZ366" s="49"/>
    </row>
    <row r="367" spans="1:130" s="50" customFormat="1" ht="15" x14ac:dyDescent="0.25">
      <c r="A367" s="693"/>
      <c r="B367" s="767"/>
      <c r="C367" s="690"/>
      <c r="D367" s="737"/>
      <c r="E367" s="690"/>
      <c r="F367" s="711"/>
      <c r="G367" s="735"/>
      <c r="H367" s="711"/>
      <c r="I367" s="693"/>
      <c r="J367" s="693"/>
      <c r="K367" s="693"/>
      <c r="L367" s="693"/>
      <c r="M367" s="763"/>
      <c r="N367" s="743"/>
      <c r="O367" s="78"/>
      <c r="P367" s="148"/>
      <c r="Q367" s="78"/>
      <c r="R367" s="274"/>
      <c r="S367" s="46"/>
      <c r="T367" s="391"/>
      <c r="U367" s="273"/>
      <c r="V367" s="274"/>
      <c r="W367" s="391">
        <v>3916</v>
      </c>
      <c r="X367" s="273" t="s">
        <v>2862</v>
      </c>
      <c r="Y367" s="274">
        <v>4187324</v>
      </c>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9"/>
      <c r="CD367" s="49"/>
      <c r="CE367" s="49"/>
      <c r="CF367" s="49"/>
      <c r="CG367" s="49"/>
      <c r="CH367" s="49"/>
      <c r="CI367" s="49"/>
      <c r="CJ367" s="49"/>
      <c r="CK367" s="49"/>
      <c r="CL367" s="49"/>
      <c r="CM367" s="49"/>
      <c r="CN367" s="49"/>
      <c r="CO367" s="49"/>
      <c r="CP367" s="49"/>
      <c r="CQ367" s="49"/>
      <c r="CR367" s="49"/>
      <c r="CS367" s="49"/>
      <c r="CT367" s="49"/>
      <c r="CU367" s="49"/>
      <c r="CV367" s="49"/>
      <c r="CW367" s="49"/>
      <c r="CX367" s="49"/>
      <c r="CY367" s="49"/>
      <c r="CZ367" s="49"/>
      <c r="DA367" s="49"/>
      <c r="DB367" s="49"/>
      <c r="DC367" s="49"/>
      <c r="DD367" s="49"/>
      <c r="DE367" s="49"/>
      <c r="DF367" s="49"/>
      <c r="DG367" s="49"/>
      <c r="DH367" s="49"/>
      <c r="DI367" s="49"/>
      <c r="DJ367" s="49"/>
      <c r="DK367" s="49"/>
      <c r="DL367" s="49"/>
      <c r="DM367" s="49"/>
      <c r="DN367" s="49"/>
      <c r="DO367" s="49"/>
      <c r="DP367" s="49"/>
      <c r="DQ367" s="49"/>
      <c r="DR367" s="49"/>
      <c r="DS367" s="49"/>
      <c r="DT367" s="49"/>
      <c r="DU367" s="49"/>
      <c r="DV367" s="49"/>
      <c r="DW367" s="49"/>
      <c r="DX367" s="49"/>
      <c r="DY367" s="49"/>
      <c r="DZ367" s="49"/>
    </row>
    <row r="368" spans="1:130" s="50" customFormat="1" ht="15" x14ac:dyDescent="0.25">
      <c r="A368" s="693"/>
      <c r="B368" s="767"/>
      <c r="C368" s="690"/>
      <c r="D368" s="737"/>
      <c r="E368" s="690"/>
      <c r="F368" s="711"/>
      <c r="G368" s="735"/>
      <c r="H368" s="711"/>
      <c r="I368" s="693"/>
      <c r="J368" s="693"/>
      <c r="K368" s="693"/>
      <c r="L368" s="693"/>
      <c r="M368" s="763"/>
      <c r="N368" s="743"/>
      <c r="O368" s="78"/>
      <c r="P368" s="148"/>
      <c r="Q368" s="78"/>
      <c r="R368" s="274"/>
      <c r="S368" s="46"/>
      <c r="T368" s="391"/>
      <c r="U368" s="273"/>
      <c r="V368" s="274"/>
      <c r="W368" s="391">
        <v>3918</v>
      </c>
      <c r="X368" s="273" t="s">
        <v>2862</v>
      </c>
      <c r="Y368" s="274">
        <v>4652582</v>
      </c>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9"/>
      <c r="CD368" s="49"/>
      <c r="CE368" s="49"/>
      <c r="CF368" s="49"/>
      <c r="CG368" s="49"/>
      <c r="CH368" s="49"/>
      <c r="CI368" s="49"/>
      <c r="CJ368" s="49"/>
      <c r="CK368" s="49"/>
      <c r="CL368" s="49"/>
      <c r="CM368" s="49"/>
      <c r="CN368" s="49"/>
      <c r="CO368" s="49"/>
      <c r="CP368" s="49"/>
      <c r="CQ368" s="49"/>
      <c r="CR368" s="49"/>
      <c r="CS368" s="49"/>
      <c r="CT368" s="49"/>
      <c r="CU368" s="49"/>
      <c r="CV368" s="49"/>
      <c r="CW368" s="49"/>
      <c r="CX368" s="49"/>
      <c r="CY368" s="49"/>
      <c r="CZ368" s="49"/>
      <c r="DA368" s="49"/>
      <c r="DB368" s="49"/>
      <c r="DC368" s="49"/>
      <c r="DD368" s="49"/>
      <c r="DE368" s="49"/>
      <c r="DF368" s="49"/>
      <c r="DG368" s="49"/>
      <c r="DH368" s="49"/>
      <c r="DI368" s="49"/>
      <c r="DJ368" s="49"/>
      <c r="DK368" s="49"/>
      <c r="DL368" s="49"/>
      <c r="DM368" s="49"/>
      <c r="DN368" s="49"/>
      <c r="DO368" s="49"/>
      <c r="DP368" s="49"/>
      <c r="DQ368" s="49"/>
      <c r="DR368" s="49"/>
      <c r="DS368" s="49"/>
      <c r="DT368" s="49"/>
      <c r="DU368" s="49"/>
      <c r="DV368" s="49"/>
      <c r="DW368" s="49"/>
      <c r="DX368" s="49"/>
      <c r="DY368" s="49"/>
      <c r="DZ368" s="49"/>
    </row>
    <row r="369" spans="1:130" s="50" customFormat="1" ht="15" x14ac:dyDescent="0.25">
      <c r="A369" s="693"/>
      <c r="B369" s="767"/>
      <c r="C369" s="690"/>
      <c r="D369" s="737"/>
      <c r="E369" s="690"/>
      <c r="F369" s="711"/>
      <c r="G369" s="735"/>
      <c r="H369" s="711"/>
      <c r="I369" s="693"/>
      <c r="J369" s="693"/>
      <c r="K369" s="693"/>
      <c r="L369" s="693"/>
      <c r="M369" s="763"/>
      <c r="N369" s="743"/>
      <c r="O369" s="78"/>
      <c r="P369" s="148"/>
      <c r="Q369" s="78"/>
      <c r="R369" s="274"/>
      <c r="S369" s="46"/>
      <c r="T369" s="391"/>
      <c r="U369" s="273"/>
      <c r="V369" s="274"/>
      <c r="W369" s="391">
        <v>3919</v>
      </c>
      <c r="X369" s="273" t="s">
        <v>2862</v>
      </c>
      <c r="Y369" s="274">
        <v>5117840</v>
      </c>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9"/>
      <c r="CD369" s="49"/>
      <c r="CE369" s="49"/>
      <c r="CF369" s="49"/>
      <c r="CG369" s="49"/>
      <c r="CH369" s="49"/>
      <c r="CI369" s="49"/>
      <c r="CJ369" s="49"/>
      <c r="CK369" s="49"/>
      <c r="CL369" s="49"/>
      <c r="CM369" s="49"/>
      <c r="CN369" s="49"/>
      <c r="CO369" s="49"/>
      <c r="CP369" s="49"/>
      <c r="CQ369" s="49"/>
      <c r="CR369" s="49"/>
      <c r="CS369" s="49"/>
      <c r="CT369" s="49"/>
      <c r="CU369" s="49"/>
      <c r="CV369" s="49"/>
      <c r="CW369" s="49"/>
      <c r="CX369" s="49"/>
      <c r="CY369" s="49"/>
      <c r="CZ369" s="49"/>
      <c r="DA369" s="49"/>
      <c r="DB369" s="49"/>
      <c r="DC369" s="49"/>
      <c r="DD369" s="49"/>
      <c r="DE369" s="49"/>
      <c r="DF369" s="49"/>
      <c r="DG369" s="49"/>
      <c r="DH369" s="49"/>
      <c r="DI369" s="49"/>
      <c r="DJ369" s="49"/>
      <c r="DK369" s="49"/>
      <c r="DL369" s="49"/>
      <c r="DM369" s="49"/>
      <c r="DN369" s="49"/>
      <c r="DO369" s="49"/>
      <c r="DP369" s="49"/>
      <c r="DQ369" s="49"/>
      <c r="DR369" s="49"/>
      <c r="DS369" s="49"/>
      <c r="DT369" s="49"/>
      <c r="DU369" s="49"/>
      <c r="DV369" s="49"/>
      <c r="DW369" s="49"/>
      <c r="DX369" s="49"/>
      <c r="DY369" s="49"/>
      <c r="DZ369" s="49"/>
    </row>
    <row r="370" spans="1:130" s="50" customFormat="1" ht="15" x14ac:dyDescent="0.25">
      <c r="A370" s="693"/>
      <c r="B370" s="767"/>
      <c r="C370" s="690"/>
      <c r="D370" s="737"/>
      <c r="E370" s="690"/>
      <c r="F370" s="711"/>
      <c r="G370" s="735"/>
      <c r="H370" s="711"/>
      <c r="I370" s="693"/>
      <c r="J370" s="693"/>
      <c r="K370" s="693"/>
      <c r="L370" s="693"/>
      <c r="M370" s="763"/>
      <c r="N370" s="743"/>
      <c r="O370" s="78"/>
      <c r="P370" s="148"/>
      <c r="Q370" s="78"/>
      <c r="R370" s="274"/>
      <c r="S370" s="46"/>
      <c r="T370" s="391"/>
      <c r="U370" s="273"/>
      <c r="V370" s="274"/>
      <c r="W370" s="391">
        <v>3960</v>
      </c>
      <c r="X370" s="273" t="s">
        <v>2862</v>
      </c>
      <c r="Y370" s="274">
        <v>5117840</v>
      </c>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c r="DK370" s="49"/>
      <c r="DL370" s="49"/>
      <c r="DM370" s="49"/>
      <c r="DN370" s="49"/>
      <c r="DO370" s="49"/>
      <c r="DP370" s="49"/>
      <c r="DQ370" s="49"/>
      <c r="DR370" s="49"/>
      <c r="DS370" s="49"/>
      <c r="DT370" s="49"/>
      <c r="DU370" s="49"/>
      <c r="DV370" s="49"/>
      <c r="DW370" s="49"/>
      <c r="DX370" s="49"/>
      <c r="DY370" s="49"/>
      <c r="DZ370" s="49"/>
    </row>
    <row r="371" spans="1:130" s="50" customFormat="1" ht="15" x14ac:dyDescent="0.25">
      <c r="A371" s="693"/>
      <c r="B371" s="767"/>
      <c r="C371" s="690"/>
      <c r="D371" s="737"/>
      <c r="E371" s="690"/>
      <c r="F371" s="711"/>
      <c r="G371" s="735"/>
      <c r="H371" s="711"/>
      <c r="I371" s="693"/>
      <c r="J371" s="693"/>
      <c r="K371" s="693"/>
      <c r="L371" s="693"/>
      <c r="M371" s="763"/>
      <c r="N371" s="743"/>
      <c r="O371" s="78"/>
      <c r="P371" s="148"/>
      <c r="Q371" s="78"/>
      <c r="R371" s="274"/>
      <c r="S371" s="46"/>
      <c r="T371" s="391"/>
      <c r="U371" s="273"/>
      <c r="V371" s="274"/>
      <c r="W371" s="391">
        <v>4292</v>
      </c>
      <c r="X371" s="273" t="s">
        <v>2862</v>
      </c>
      <c r="Y371" s="274">
        <v>2791549</v>
      </c>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s="49"/>
      <c r="DR371" s="49"/>
      <c r="DS371" s="49"/>
      <c r="DT371" s="49"/>
      <c r="DU371" s="49"/>
      <c r="DV371" s="49"/>
      <c r="DW371" s="49"/>
      <c r="DX371" s="49"/>
      <c r="DY371" s="49"/>
      <c r="DZ371" s="49"/>
    </row>
    <row r="372" spans="1:130" s="50" customFormat="1" ht="15" x14ac:dyDescent="0.25">
      <c r="A372" s="693"/>
      <c r="B372" s="767"/>
      <c r="C372" s="690"/>
      <c r="D372" s="737"/>
      <c r="E372" s="690"/>
      <c r="F372" s="711"/>
      <c r="G372" s="735"/>
      <c r="H372" s="711"/>
      <c r="I372" s="693"/>
      <c r="J372" s="693"/>
      <c r="K372" s="693"/>
      <c r="L372" s="693"/>
      <c r="M372" s="763"/>
      <c r="N372" s="743"/>
      <c r="O372" s="78"/>
      <c r="P372" s="148"/>
      <c r="Q372" s="78"/>
      <c r="R372" s="274"/>
      <c r="S372" s="46"/>
      <c r="T372" s="391"/>
      <c r="U372" s="273"/>
      <c r="V372" s="274"/>
      <c r="W372" s="391">
        <v>4296</v>
      </c>
      <c r="X372" s="273" t="s">
        <v>2862</v>
      </c>
      <c r="Y372" s="274">
        <v>5117840</v>
      </c>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s="49"/>
      <c r="DR372" s="49"/>
      <c r="DS372" s="49"/>
      <c r="DT372" s="49"/>
      <c r="DU372" s="49"/>
      <c r="DV372" s="49"/>
      <c r="DW372" s="49"/>
      <c r="DX372" s="49"/>
      <c r="DY372" s="49"/>
      <c r="DZ372" s="49"/>
    </row>
    <row r="373" spans="1:130" s="50" customFormat="1" ht="15" x14ac:dyDescent="0.25">
      <c r="A373" s="693"/>
      <c r="B373" s="767"/>
      <c r="C373" s="690"/>
      <c r="D373" s="737"/>
      <c r="E373" s="690"/>
      <c r="F373" s="711"/>
      <c r="G373" s="735"/>
      <c r="H373" s="711"/>
      <c r="I373" s="693"/>
      <c r="J373" s="693"/>
      <c r="K373" s="693"/>
      <c r="L373" s="693"/>
      <c r="M373" s="763"/>
      <c r="N373" s="743"/>
      <c r="O373" s="78"/>
      <c r="P373" s="148"/>
      <c r="Q373" s="78"/>
      <c r="R373" s="274"/>
      <c r="S373" s="46"/>
      <c r="T373" s="391"/>
      <c r="U373" s="273"/>
      <c r="V373" s="274"/>
      <c r="W373" s="391">
        <v>4299</v>
      </c>
      <c r="X373" s="273" t="s">
        <v>2862</v>
      </c>
      <c r="Y373" s="274">
        <v>5117840</v>
      </c>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s="49"/>
      <c r="DR373" s="49"/>
      <c r="DS373" s="49"/>
      <c r="DT373" s="49"/>
      <c r="DU373" s="49"/>
      <c r="DV373" s="49"/>
      <c r="DW373" s="49"/>
      <c r="DX373" s="49"/>
      <c r="DY373" s="49"/>
      <c r="DZ373" s="49"/>
    </row>
    <row r="374" spans="1:130" s="50" customFormat="1" ht="15" x14ac:dyDescent="0.25">
      <c r="A374" s="693"/>
      <c r="B374" s="767"/>
      <c r="C374" s="690"/>
      <c r="D374" s="737"/>
      <c r="E374" s="690"/>
      <c r="F374" s="711"/>
      <c r="G374" s="735"/>
      <c r="H374" s="711"/>
      <c r="I374" s="693"/>
      <c r="J374" s="693"/>
      <c r="K374" s="693"/>
      <c r="L374" s="693"/>
      <c r="M374" s="763"/>
      <c r="N374" s="743"/>
      <c r="O374" s="78"/>
      <c r="P374" s="148"/>
      <c r="Q374" s="78"/>
      <c r="R374" s="274"/>
      <c r="S374" s="46"/>
      <c r="T374" s="391"/>
      <c r="U374" s="273"/>
      <c r="V374" s="274"/>
      <c r="W374" s="391">
        <v>4301</v>
      </c>
      <c r="X374" s="273" t="s">
        <v>2862</v>
      </c>
      <c r="Y374" s="274">
        <v>4652582</v>
      </c>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s="49"/>
      <c r="DR374" s="49"/>
      <c r="DS374" s="49"/>
      <c r="DT374" s="49"/>
      <c r="DU374" s="49"/>
      <c r="DV374" s="49"/>
      <c r="DW374" s="49"/>
      <c r="DX374" s="49"/>
      <c r="DY374" s="49"/>
      <c r="DZ374" s="49"/>
    </row>
    <row r="375" spans="1:130" s="50" customFormat="1" ht="15" x14ac:dyDescent="0.25">
      <c r="A375" s="693"/>
      <c r="B375" s="767"/>
      <c r="C375" s="690"/>
      <c r="D375" s="737"/>
      <c r="E375" s="690"/>
      <c r="F375" s="711"/>
      <c r="G375" s="735"/>
      <c r="H375" s="711"/>
      <c r="I375" s="693"/>
      <c r="J375" s="693"/>
      <c r="K375" s="693"/>
      <c r="L375" s="693"/>
      <c r="M375" s="763"/>
      <c r="N375" s="743"/>
      <c r="O375" s="78"/>
      <c r="P375" s="148"/>
      <c r="Q375" s="78"/>
      <c r="R375" s="274"/>
      <c r="S375" s="46"/>
      <c r="T375" s="391"/>
      <c r="U375" s="273"/>
      <c r="V375" s="274"/>
      <c r="W375" s="391">
        <v>4347</v>
      </c>
      <c r="X375" s="273" t="s">
        <v>2887</v>
      </c>
      <c r="Y375" s="274">
        <v>4652582</v>
      </c>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s="49"/>
      <c r="DR375" s="49"/>
      <c r="DS375" s="49"/>
      <c r="DT375" s="49"/>
      <c r="DU375" s="49"/>
      <c r="DV375" s="49"/>
      <c r="DW375" s="49"/>
      <c r="DX375" s="49"/>
      <c r="DY375" s="49"/>
      <c r="DZ375" s="49"/>
    </row>
    <row r="376" spans="1:130" s="50" customFormat="1" ht="15" x14ac:dyDescent="0.25">
      <c r="A376" s="693"/>
      <c r="B376" s="767"/>
      <c r="C376" s="690"/>
      <c r="D376" s="737"/>
      <c r="E376" s="690"/>
      <c r="F376" s="711"/>
      <c r="G376" s="735"/>
      <c r="H376" s="711"/>
      <c r="I376" s="693"/>
      <c r="J376" s="693"/>
      <c r="K376" s="693"/>
      <c r="L376" s="693"/>
      <c r="M376" s="763"/>
      <c r="N376" s="743"/>
      <c r="O376" s="78"/>
      <c r="P376" s="148"/>
      <c r="Q376" s="78"/>
      <c r="R376" s="274"/>
      <c r="S376" s="46"/>
      <c r="T376" s="391"/>
      <c r="U376" s="273"/>
      <c r="V376" s="274"/>
      <c r="W376" s="391">
        <v>4370</v>
      </c>
      <c r="X376" s="273" t="s">
        <v>2878</v>
      </c>
      <c r="Y376" s="274">
        <v>4652582</v>
      </c>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s="49"/>
      <c r="DR376" s="49"/>
      <c r="DS376" s="49"/>
      <c r="DT376" s="49"/>
      <c r="DU376" s="49"/>
      <c r="DV376" s="49"/>
      <c r="DW376" s="49"/>
      <c r="DX376" s="49"/>
      <c r="DY376" s="49"/>
      <c r="DZ376" s="49"/>
    </row>
    <row r="377" spans="1:130" s="50" customFormat="1" ht="15" x14ac:dyDescent="0.25">
      <c r="A377" s="693"/>
      <c r="B377" s="767"/>
      <c r="C377" s="690"/>
      <c r="D377" s="737"/>
      <c r="E377" s="690"/>
      <c r="F377" s="711"/>
      <c r="G377" s="735"/>
      <c r="H377" s="711"/>
      <c r="I377" s="693"/>
      <c r="J377" s="693"/>
      <c r="K377" s="693"/>
      <c r="L377" s="693"/>
      <c r="M377" s="763"/>
      <c r="N377" s="743"/>
      <c r="O377" s="78"/>
      <c r="P377" s="148"/>
      <c r="Q377" s="78"/>
      <c r="R377" s="274"/>
      <c r="S377" s="46"/>
      <c r="T377" s="391"/>
      <c r="U377" s="273"/>
      <c r="V377" s="274"/>
      <c r="W377" s="391">
        <v>4394</v>
      </c>
      <c r="X377" s="273" t="s">
        <v>2880</v>
      </c>
      <c r="Y377" s="274">
        <v>4187324</v>
      </c>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s="49"/>
      <c r="DR377" s="49"/>
      <c r="DS377" s="49"/>
      <c r="DT377" s="49"/>
      <c r="DU377" s="49"/>
      <c r="DV377" s="49"/>
      <c r="DW377" s="49"/>
      <c r="DX377" s="49"/>
      <c r="DY377" s="49"/>
      <c r="DZ377" s="49"/>
    </row>
    <row r="378" spans="1:130" s="50" customFormat="1" ht="15" x14ac:dyDescent="0.25">
      <c r="A378" s="693"/>
      <c r="B378" s="767"/>
      <c r="C378" s="690"/>
      <c r="D378" s="737"/>
      <c r="E378" s="690"/>
      <c r="F378" s="711"/>
      <c r="G378" s="735"/>
      <c r="H378" s="711"/>
      <c r="I378" s="693"/>
      <c r="J378" s="693"/>
      <c r="K378" s="693"/>
      <c r="L378" s="693"/>
      <c r="M378" s="763"/>
      <c r="N378" s="743"/>
      <c r="O378" s="78"/>
      <c r="P378" s="148"/>
      <c r="Q378" s="78"/>
      <c r="R378" s="274"/>
      <c r="S378" s="46"/>
      <c r="T378" s="391"/>
      <c r="U378" s="273"/>
      <c r="V378" s="274"/>
      <c r="W378" s="391">
        <v>4396</v>
      </c>
      <c r="X378" s="273" t="s">
        <v>2880</v>
      </c>
      <c r="Y378" s="274">
        <v>4652582</v>
      </c>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c r="DK378" s="49"/>
      <c r="DL378" s="49"/>
      <c r="DM378" s="49"/>
      <c r="DN378" s="49"/>
      <c r="DO378" s="49"/>
      <c r="DP378" s="49"/>
      <c r="DQ378" s="49"/>
      <c r="DR378" s="49"/>
      <c r="DS378" s="49"/>
      <c r="DT378" s="49"/>
      <c r="DU378" s="49"/>
      <c r="DV378" s="49"/>
      <c r="DW378" s="49"/>
      <c r="DX378" s="49"/>
      <c r="DY378" s="49"/>
      <c r="DZ378" s="49"/>
    </row>
    <row r="379" spans="1:130" s="50" customFormat="1" ht="15" x14ac:dyDescent="0.25">
      <c r="A379" s="693"/>
      <c r="B379" s="767"/>
      <c r="C379" s="690"/>
      <c r="D379" s="737"/>
      <c r="E379" s="690"/>
      <c r="F379" s="711"/>
      <c r="G379" s="735"/>
      <c r="H379" s="711"/>
      <c r="I379" s="693"/>
      <c r="J379" s="693"/>
      <c r="K379" s="693"/>
      <c r="L379" s="693"/>
      <c r="M379" s="763"/>
      <c r="N379" s="743"/>
      <c r="O379" s="78"/>
      <c r="P379" s="148"/>
      <c r="Q379" s="78"/>
      <c r="R379" s="274"/>
      <c r="S379" s="46"/>
      <c r="T379" s="391"/>
      <c r="U379" s="273"/>
      <c r="V379" s="274"/>
      <c r="W379" s="391">
        <v>4399</v>
      </c>
      <c r="X379" s="273" t="s">
        <v>2880</v>
      </c>
      <c r="Y379" s="274">
        <v>4652582</v>
      </c>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c r="DK379" s="49"/>
      <c r="DL379" s="49"/>
      <c r="DM379" s="49"/>
      <c r="DN379" s="49"/>
      <c r="DO379" s="49"/>
      <c r="DP379" s="49"/>
      <c r="DQ379" s="49"/>
      <c r="DR379" s="49"/>
      <c r="DS379" s="49"/>
      <c r="DT379" s="49"/>
      <c r="DU379" s="49"/>
      <c r="DV379" s="49"/>
      <c r="DW379" s="49"/>
      <c r="DX379" s="49"/>
      <c r="DY379" s="49"/>
      <c r="DZ379" s="49"/>
    </row>
    <row r="380" spans="1:130" s="50" customFormat="1" ht="15" x14ac:dyDescent="0.25">
      <c r="A380" s="693"/>
      <c r="B380" s="767"/>
      <c r="C380" s="690"/>
      <c r="D380" s="737"/>
      <c r="E380" s="690"/>
      <c r="F380" s="711"/>
      <c r="G380" s="735"/>
      <c r="H380" s="711"/>
      <c r="I380" s="693"/>
      <c r="J380" s="693"/>
      <c r="K380" s="693"/>
      <c r="L380" s="693"/>
      <c r="M380" s="763"/>
      <c r="N380" s="743"/>
      <c r="O380" s="78"/>
      <c r="P380" s="148"/>
      <c r="Q380" s="78"/>
      <c r="R380" s="274"/>
      <c r="S380" s="46"/>
      <c r="T380" s="391"/>
      <c r="U380" s="273"/>
      <c r="V380" s="274"/>
      <c r="W380" s="391">
        <v>4885</v>
      </c>
      <c r="X380" s="273" t="s">
        <v>2846</v>
      </c>
      <c r="Y380" s="274">
        <v>3722066</v>
      </c>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c r="BG380" s="49"/>
      <c r="BH380" s="49"/>
      <c r="BI380" s="49"/>
      <c r="BJ380" s="49"/>
      <c r="BK380" s="49"/>
      <c r="BL380" s="49"/>
      <c r="BM380" s="49"/>
      <c r="BN380" s="49"/>
      <c r="BO380" s="49"/>
      <c r="BP380" s="49"/>
      <c r="BQ380" s="49"/>
      <c r="BR380" s="49"/>
      <c r="BS380" s="49"/>
      <c r="BT380" s="49"/>
      <c r="BU380" s="49"/>
      <c r="BV380" s="49"/>
      <c r="BW380" s="49"/>
      <c r="BX380" s="49"/>
      <c r="BY380" s="49"/>
      <c r="BZ380" s="49"/>
      <c r="CA380" s="49"/>
      <c r="CB380" s="49"/>
      <c r="CC380" s="49"/>
      <c r="CD380" s="49"/>
      <c r="CE380" s="49"/>
      <c r="CF380" s="49"/>
      <c r="CG380" s="49"/>
      <c r="CH380" s="49"/>
      <c r="CI380" s="49"/>
      <c r="CJ380" s="49"/>
      <c r="CK380" s="49"/>
      <c r="CL380" s="49"/>
      <c r="CM380" s="49"/>
      <c r="CN380" s="49"/>
      <c r="CO380" s="49"/>
      <c r="CP380" s="49"/>
      <c r="CQ380" s="49"/>
      <c r="CR380" s="49"/>
      <c r="CS380" s="49"/>
      <c r="CT380" s="49"/>
      <c r="CU380" s="49"/>
      <c r="CV380" s="49"/>
      <c r="CW380" s="49"/>
      <c r="CX380" s="49"/>
      <c r="CY380" s="49"/>
      <c r="CZ380" s="49"/>
      <c r="DA380" s="49"/>
      <c r="DB380" s="49"/>
      <c r="DC380" s="49"/>
      <c r="DD380" s="49"/>
      <c r="DE380" s="49"/>
      <c r="DF380" s="49"/>
      <c r="DG380" s="49"/>
      <c r="DH380" s="49"/>
      <c r="DI380" s="49"/>
      <c r="DJ380" s="49"/>
      <c r="DK380" s="49"/>
      <c r="DL380" s="49"/>
      <c r="DM380" s="49"/>
      <c r="DN380" s="49"/>
      <c r="DO380" s="49"/>
      <c r="DP380" s="49"/>
      <c r="DQ380" s="49"/>
      <c r="DR380" s="49"/>
      <c r="DS380" s="49"/>
      <c r="DT380" s="49"/>
      <c r="DU380" s="49"/>
      <c r="DV380" s="49"/>
      <c r="DW380" s="49"/>
      <c r="DX380" s="49"/>
      <c r="DY380" s="49"/>
      <c r="DZ380" s="49"/>
    </row>
    <row r="381" spans="1:130" s="50" customFormat="1" ht="15" x14ac:dyDescent="0.25">
      <c r="A381" s="693"/>
      <c r="B381" s="767"/>
      <c r="C381" s="690"/>
      <c r="D381" s="737"/>
      <c r="E381" s="690"/>
      <c r="F381" s="711"/>
      <c r="G381" s="735"/>
      <c r="H381" s="711"/>
      <c r="I381" s="693"/>
      <c r="J381" s="693"/>
      <c r="K381" s="693"/>
      <c r="L381" s="693"/>
      <c r="M381" s="763"/>
      <c r="N381" s="743"/>
      <c r="O381" s="78"/>
      <c r="P381" s="148"/>
      <c r="Q381" s="78"/>
      <c r="R381" s="274"/>
      <c r="S381" s="46"/>
      <c r="T381" s="391"/>
      <c r="U381" s="273"/>
      <c r="V381" s="274"/>
      <c r="W381" s="391">
        <v>4886</v>
      </c>
      <c r="X381" s="273" t="s">
        <v>2846</v>
      </c>
      <c r="Y381" s="274">
        <v>6978873</v>
      </c>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c r="BP381" s="49"/>
      <c r="BQ381" s="49"/>
      <c r="BR381" s="49"/>
      <c r="BS381" s="49"/>
      <c r="BT381" s="49"/>
      <c r="BU381" s="49"/>
      <c r="BV381" s="49"/>
      <c r="BW381" s="49"/>
      <c r="BX381" s="49"/>
      <c r="BY381" s="49"/>
      <c r="BZ381" s="49"/>
      <c r="CA381" s="49"/>
      <c r="CB381" s="49"/>
      <c r="CC381" s="49"/>
      <c r="CD381" s="49"/>
      <c r="CE381" s="49"/>
      <c r="CF381" s="49"/>
      <c r="CG381" s="49"/>
      <c r="CH381" s="49"/>
      <c r="CI381" s="49"/>
      <c r="CJ381" s="49"/>
      <c r="CK381" s="49"/>
      <c r="CL381" s="49"/>
      <c r="CM381" s="49"/>
      <c r="CN381" s="49"/>
      <c r="CO381" s="49"/>
      <c r="CP381" s="49"/>
      <c r="CQ381" s="49"/>
      <c r="CR381" s="49"/>
      <c r="CS381" s="49"/>
      <c r="CT381" s="49"/>
      <c r="CU381" s="49"/>
      <c r="CV381" s="49"/>
      <c r="CW381" s="49"/>
      <c r="CX381" s="49"/>
      <c r="CY381" s="49"/>
      <c r="CZ381" s="49"/>
      <c r="DA381" s="49"/>
      <c r="DB381" s="49"/>
      <c r="DC381" s="49"/>
      <c r="DD381" s="49"/>
      <c r="DE381" s="49"/>
      <c r="DF381" s="49"/>
      <c r="DG381" s="49"/>
      <c r="DH381" s="49"/>
      <c r="DI381" s="49"/>
      <c r="DJ381" s="49"/>
      <c r="DK381" s="49"/>
      <c r="DL381" s="49"/>
      <c r="DM381" s="49"/>
      <c r="DN381" s="49"/>
      <c r="DO381" s="49"/>
      <c r="DP381" s="49"/>
      <c r="DQ381" s="49"/>
      <c r="DR381" s="49"/>
      <c r="DS381" s="49"/>
      <c r="DT381" s="49"/>
      <c r="DU381" s="49"/>
      <c r="DV381" s="49"/>
      <c r="DW381" s="49"/>
      <c r="DX381" s="49"/>
      <c r="DY381" s="49"/>
      <c r="DZ381" s="49"/>
    </row>
    <row r="382" spans="1:130" s="50" customFormat="1" ht="15" x14ac:dyDescent="0.25">
      <c r="A382" s="693"/>
      <c r="B382" s="767"/>
      <c r="C382" s="690"/>
      <c r="D382" s="737"/>
      <c r="E382" s="690"/>
      <c r="F382" s="711"/>
      <c r="G382" s="735"/>
      <c r="H382" s="711"/>
      <c r="I382" s="693"/>
      <c r="J382" s="693"/>
      <c r="K382" s="693"/>
      <c r="L382" s="693"/>
      <c r="M382" s="763"/>
      <c r="N382" s="743"/>
      <c r="O382" s="78"/>
      <c r="P382" s="148"/>
      <c r="Q382" s="78"/>
      <c r="R382" s="274"/>
      <c r="S382" s="46"/>
      <c r="T382" s="391"/>
      <c r="U382" s="273"/>
      <c r="V382" s="274"/>
      <c r="W382" s="391">
        <v>5186</v>
      </c>
      <c r="X382" s="273" t="s">
        <v>2850</v>
      </c>
      <c r="Y382" s="274">
        <v>4652582</v>
      </c>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9"/>
      <c r="DL382" s="49"/>
      <c r="DM382" s="49"/>
      <c r="DN382" s="49"/>
      <c r="DO382" s="49"/>
      <c r="DP382" s="49"/>
      <c r="DQ382" s="49"/>
      <c r="DR382" s="49"/>
      <c r="DS382" s="49"/>
      <c r="DT382" s="49"/>
      <c r="DU382" s="49"/>
      <c r="DV382" s="49"/>
      <c r="DW382" s="49"/>
      <c r="DX382" s="49"/>
      <c r="DY382" s="49"/>
      <c r="DZ382" s="49"/>
    </row>
    <row r="383" spans="1:130" s="50" customFormat="1" ht="15" x14ac:dyDescent="0.25">
      <c r="A383" s="693"/>
      <c r="B383" s="767"/>
      <c r="C383" s="690"/>
      <c r="D383" s="737"/>
      <c r="E383" s="690"/>
      <c r="F383" s="711"/>
      <c r="G383" s="735"/>
      <c r="H383" s="711"/>
      <c r="I383" s="693"/>
      <c r="J383" s="693"/>
      <c r="K383" s="693"/>
      <c r="L383" s="693"/>
      <c r="M383" s="763"/>
      <c r="N383" s="743"/>
      <c r="O383" s="78"/>
      <c r="P383" s="148"/>
      <c r="Q383" s="78"/>
      <c r="R383" s="274"/>
      <c r="S383" s="46"/>
      <c r="T383" s="667"/>
      <c r="U383" s="273"/>
      <c r="V383" s="274"/>
      <c r="W383" s="667">
        <v>5193</v>
      </c>
      <c r="X383" s="273" t="s">
        <v>2856</v>
      </c>
      <c r="Y383" s="274">
        <v>3722040</v>
      </c>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9"/>
      <c r="DL383" s="49"/>
      <c r="DM383" s="49"/>
      <c r="DN383" s="49"/>
      <c r="DO383" s="49"/>
      <c r="DP383" s="49"/>
      <c r="DQ383" s="49"/>
      <c r="DR383" s="49"/>
      <c r="DS383" s="49"/>
      <c r="DT383" s="49"/>
      <c r="DU383" s="49"/>
      <c r="DV383" s="49"/>
      <c r="DW383" s="49"/>
      <c r="DX383" s="49"/>
      <c r="DY383" s="49"/>
      <c r="DZ383" s="49"/>
    </row>
    <row r="384" spans="1:130" s="50" customFormat="1" ht="15" x14ac:dyDescent="0.25">
      <c r="A384" s="693"/>
      <c r="B384" s="767"/>
      <c r="C384" s="690"/>
      <c r="D384" s="737"/>
      <c r="E384" s="690"/>
      <c r="F384" s="711"/>
      <c r="G384" s="735"/>
      <c r="H384" s="711"/>
      <c r="I384" s="693"/>
      <c r="J384" s="693"/>
      <c r="K384" s="693"/>
      <c r="L384" s="693"/>
      <c r="M384" s="763"/>
      <c r="N384" s="743"/>
      <c r="O384" s="78"/>
      <c r="P384" s="148"/>
      <c r="Q384" s="78"/>
      <c r="R384" s="274"/>
      <c r="S384" s="46"/>
      <c r="T384" s="667"/>
      <c r="U384" s="273"/>
      <c r="V384" s="274"/>
      <c r="W384" s="667">
        <v>5195</v>
      </c>
      <c r="X384" s="273" t="s">
        <v>2856</v>
      </c>
      <c r="Y384" s="274">
        <v>4652582</v>
      </c>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9"/>
      <c r="DL384" s="49"/>
      <c r="DM384" s="49"/>
      <c r="DN384" s="49"/>
      <c r="DO384" s="49"/>
      <c r="DP384" s="49"/>
      <c r="DQ384" s="49"/>
      <c r="DR384" s="49"/>
      <c r="DS384" s="49"/>
      <c r="DT384" s="49"/>
      <c r="DU384" s="49"/>
      <c r="DV384" s="49"/>
      <c r="DW384" s="49"/>
      <c r="DX384" s="49"/>
      <c r="DY384" s="49"/>
      <c r="DZ384" s="49"/>
    </row>
    <row r="385" spans="1:130" s="50" customFormat="1" ht="15" x14ac:dyDescent="0.25">
      <c r="A385" s="693"/>
      <c r="B385" s="767"/>
      <c r="C385" s="690"/>
      <c r="D385" s="737"/>
      <c r="E385" s="690"/>
      <c r="F385" s="711"/>
      <c r="G385" s="735"/>
      <c r="H385" s="711"/>
      <c r="I385" s="693"/>
      <c r="J385" s="693"/>
      <c r="K385" s="693"/>
      <c r="L385" s="693"/>
      <c r="M385" s="763"/>
      <c r="N385" s="743"/>
      <c r="O385" s="78"/>
      <c r="P385" s="148"/>
      <c r="Q385" s="78"/>
      <c r="R385" s="274"/>
      <c r="S385" s="46"/>
      <c r="T385" s="667"/>
      <c r="U385" s="273"/>
      <c r="V385" s="274"/>
      <c r="W385" s="667">
        <v>5342</v>
      </c>
      <c r="X385" s="273" t="s">
        <v>2811</v>
      </c>
      <c r="Y385" s="274">
        <v>3722066</v>
      </c>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c r="DK385" s="49"/>
      <c r="DL385" s="49"/>
      <c r="DM385" s="49"/>
      <c r="DN385" s="49"/>
      <c r="DO385" s="49"/>
      <c r="DP385" s="49"/>
      <c r="DQ385" s="49"/>
      <c r="DR385" s="49"/>
      <c r="DS385" s="49"/>
      <c r="DT385" s="49"/>
      <c r="DU385" s="49"/>
      <c r="DV385" s="49"/>
      <c r="DW385" s="49"/>
      <c r="DX385" s="49"/>
      <c r="DY385" s="49"/>
      <c r="DZ385" s="49"/>
    </row>
    <row r="386" spans="1:130" s="50" customFormat="1" ht="15" x14ac:dyDescent="0.25">
      <c r="A386" s="693"/>
      <c r="B386" s="767"/>
      <c r="C386" s="690"/>
      <c r="D386" s="737"/>
      <c r="E386" s="690"/>
      <c r="F386" s="711"/>
      <c r="G386" s="735"/>
      <c r="H386" s="711"/>
      <c r="I386" s="693"/>
      <c r="J386" s="693"/>
      <c r="K386" s="693"/>
      <c r="L386" s="693"/>
      <c r="M386" s="763"/>
      <c r="N386" s="743"/>
      <c r="O386" s="78"/>
      <c r="P386" s="148"/>
      <c r="Q386" s="78"/>
      <c r="R386" s="274"/>
      <c r="S386" s="46"/>
      <c r="T386" s="667"/>
      <c r="U386" s="273"/>
      <c r="V386" s="274"/>
      <c r="W386" s="667">
        <v>5386</v>
      </c>
      <c r="X386" s="273" t="s">
        <v>2785</v>
      </c>
      <c r="Y386" s="274">
        <v>1985102</v>
      </c>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c r="DK386" s="49"/>
      <c r="DL386" s="49"/>
      <c r="DM386" s="49"/>
      <c r="DN386" s="49"/>
      <c r="DO386" s="49"/>
      <c r="DP386" s="49"/>
      <c r="DQ386" s="49"/>
      <c r="DR386" s="49"/>
      <c r="DS386" s="49"/>
      <c r="DT386" s="49"/>
      <c r="DU386" s="49"/>
      <c r="DV386" s="49"/>
      <c r="DW386" s="49"/>
      <c r="DX386" s="49"/>
      <c r="DY386" s="49"/>
      <c r="DZ386" s="49"/>
    </row>
    <row r="387" spans="1:130" s="50" customFormat="1" ht="15" x14ac:dyDescent="0.25">
      <c r="A387" s="693"/>
      <c r="B387" s="767"/>
      <c r="C387" s="690"/>
      <c r="D387" s="737"/>
      <c r="E387" s="690"/>
      <c r="F387" s="711"/>
      <c r="G387" s="735"/>
      <c r="H387" s="711"/>
      <c r="I387" s="693"/>
      <c r="J387" s="693"/>
      <c r="K387" s="693"/>
      <c r="L387" s="693"/>
      <c r="M387" s="763"/>
      <c r="N387" s="743"/>
      <c r="O387" s="78"/>
      <c r="P387" s="148"/>
      <c r="Q387" s="78"/>
      <c r="R387" s="274"/>
      <c r="S387" s="46"/>
      <c r="T387" s="667"/>
      <c r="U387" s="273"/>
      <c r="V387" s="274"/>
      <c r="W387" s="667">
        <v>5869</v>
      </c>
      <c r="X387" s="273" t="s">
        <v>2805</v>
      </c>
      <c r="Y387" s="274">
        <v>434241</v>
      </c>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c r="DK387" s="49"/>
      <c r="DL387" s="49"/>
      <c r="DM387" s="49"/>
      <c r="DN387" s="49"/>
      <c r="DO387" s="49"/>
      <c r="DP387" s="49"/>
      <c r="DQ387" s="49"/>
      <c r="DR387" s="49"/>
      <c r="DS387" s="49"/>
      <c r="DT387" s="49"/>
      <c r="DU387" s="49"/>
      <c r="DV387" s="49"/>
      <c r="DW387" s="49"/>
      <c r="DX387" s="49"/>
      <c r="DY387" s="49"/>
      <c r="DZ387" s="49"/>
    </row>
    <row r="388" spans="1:130" s="50" customFormat="1" ht="15" x14ac:dyDescent="0.25">
      <c r="A388" s="693"/>
      <c r="B388" s="767"/>
      <c r="C388" s="690"/>
      <c r="D388" s="737"/>
      <c r="E388" s="690"/>
      <c r="F388" s="711"/>
      <c r="G388" s="735"/>
      <c r="H388" s="711"/>
      <c r="I388" s="693"/>
      <c r="J388" s="693"/>
      <c r="K388" s="693"/>
      <c r="L388" s="693"/>
      <c r="M388" s="763"/>
      <c r="N388" s="743"/>
      <c r="O388" s="78"/>
      <c r="P388" s="148"/>
      <c r="Q388" s="78"/>
      <c r="R388" s="274"/>
      <c r="S388" s="46"/>
      <c r="T388" s="667"/>
      <c r="U388" s="273"/>
      <c r="V388" s="274"/>
      <c r="W388" s="667">
        <v>5870</v>
      </c>
      <c r="X388" s="273" t="s">
        <v>2805</v>
      </c>
      <c r="Y388" s="274">
        <v>434241</v>
      </c>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c r="DK388" s="49"/>
      <c r="DL388" s="49"/>
      <c r="DM388" s="49"/>
      <c r="DN388" s="49"/>
      <c r="DO388" s="49"/>
      <c r="DP388" s="49"/>
      <c r="DQ388" s="49"/>
      <c r="DR388" s="49"/>
      <c r="DS388" s="49"/>
      <c r="DT388" s="49"/>
      <c r="DU388" s="49"/>
      <c r="DV388" s="49"/>
      <c r="DW388" s="49"/>
      <c r="DX388" s="49"/>
      <c r="DY388" s="49"/>
      <c r="DZ388" s="49"/>
    </row>
    <row r="389" spans="1:130" s="50" customFormat="1" ht="15" x14ac:dyDescent="0.25">
      <c r="A389" s="693"/>
      <c r="B389" s="767"/>
      <c r="C389" s="690"/>
      <c r="D389" s="737"/>
      <c r="E389" s="690"/>
      <c r="F389" s="711"/>
      <c r="G389" s="735"/>
      <c r="H389" s="711"/>
      <c r="I389" s="693"/>
      <c r="J389" s="693"/>
      <c r="K389" s="693"/>
      <c r="L389" s="693"/>
      <c r="M389" s="763"/>
      <c r="N389" s="743"/>
      <c r="O389" s="78"/>
      <c r="P389" s="148"/>
      <c r="Q389" s="78"/>
      <c r="R389" s="274"/>
      <c r="S389" s="46"/>
      <c r="T389" s="667"/>
      <c r="U389" s="273"/>
      <c r="V389" s="274"/>
      <c r="W389" s="667">
        <v>5871</v>
      </c>
      <c r="X389" s="273" t="s">
        <v>2805</v>
      </c>
      <c r="Y389" s="274">
        <v>434241</v>
      </c>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c r="DK389" s="49"/>
      <c r="DL389" s="49"/>
      <c r="DM389" s="49"/>
      <c r="DN389" s="49"/>
      <c r="DO389" s="49"/>
      <c r="DP389" s="49"/>
      <c r="DQ389" s="49"/>
      <c r="DR389" s="49"/>
      <c r="DS389" s="49"/>
      <c r="DT389" s="49"/>
      <c r="DU389" s="49"/>
      <c r="DV389" s="49"/>
      <c r="DW389" s="49"/>
      <c r="DX389" s="49"/>
      <c r="DY389" s="49"/>
      <c r="DZ389" s="49"/>
    </row>
    <row r="390" spans="1:130" s="50" customFormat="1" ht="15" x14ac:dyDescent="0.25">
      <c r="A390" s="693"/>
      <c r="B390" s="767"/>
      <c r="C390" s="690"/>
      <c r="D390" s="737"/>
      <c r="E390" s="690"/>
      <c r="F390" s="711"/>
      <c r="G390" s="735"/>
      <c r="H390" s="711"/>
      <c r="I390" s="693"/>
      <c r="J390" s="693"/>
      <c r="K390" s="693"/>
      <c r="L390" s="693"/>
      <c r="M390" s="763"/>
      <c r="N390" s="743"/>
      <c r="O390" s="78"/>
      <c r="P390" s="148"/>
      <c r="Q390" s="78"/>
      <c r="R390" s="274"/>
      <c r="S390" s="46"/>
      <c r="T390" s="667"/>
      <c r="U390" s="273"/>
      <c r="V390" s="274"/>
      <c r="W390" s="667">
        <v>5874</v>
      </c>
      <c r="X390" s="273" t="s">
        <v>2805</v>
      </c>
      <c r="Y390" s="274">
        <v>434241</v>
      </c>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c r="DK390" s="49"/>
      <c r="DL390" s="49"/>
      <c r="DM390" s="49"/>
      <c r="DN390" s="49"/>
      <c r="DO390" s="49"/>
      <c r="DP390" s="49"/>
      <c r="DQ390" s="49"/>
      <c r="DR390" s="49"/>
      <c r="DS390" s="49"/>
      <c r="DT390" s="49"/>
      <c r="DU390" s="49"/>
      <c r="DV390" s="49"/>
      <c r="DW390" s="49"/>
      <c r="DX390" s="49"/>
      <c r="DY390" s="49"/>
      <c r="DZ390" s="49"/>
    </row>
    <row r="391" spans="1:130" s="50" customFormat="1" ht="15" x14ac:dyDescent="0.25">
      <c r="A391" s="693"/>
      <c r="B391" s="767"/>
      <c r="C391" s="690"/>
      <c r="D391" s="738"/>
      <c r="E391" s="691"/>
      <c r="F391" s="712"/>
      <c r="G391" s="729"/>
      <c r="H391" s="712"/>
      <c r="I391" s="694"/>
      <c r="J391" s="694"/>
      <c r="K391" s="694"/>
      <c r="L391" s="694"/>
      <c r="M391" s="759"/>
      <c r="N391" s="743"/>
      <c r="O391" s="78" t="s">
        <v>1565</v>
      </c>
      <c r="P391" s="457" t="s">
        <v>2004</v>
      </c>
      <c r="Q391" s="78" t="s">
        <v>2001</v>
      </c>
      <c r="R391" s="274">
        <v>1907000</v>
      </c>
      <c r="S391" s="46"/>
      <c r="T391" s="329">
        <v>975</v>
      </c>
      <c r="U391" s="273">
        <v>44778</v>
      </c>
      <c r="V391" s="274">
        <v>1907000</v>
      </c>
      <c r="W391" s="329">
        <v>4372</v>
      </c>
      <c r="X391" s="273">
        <v>44778</v>
      </c>
      <c r="Y391" s="274">
        <v>1907000</v>
      </c>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c r="DK391" s="49"/>
      <c r="DL391" s="49"/>
      <c r="DM391" s="49"/>
      <c r="DN391" s="49"/>
      <c r="DO391" s="49"/>
      <c r="DP391" s="49"/>
      <c r="DQ391" s="49"/>
      <c r="DR391" s="49"/>
      <c r="DS391" s="49"/>
      <c r="DT391" s="49"/>
      <c r="DU391" s="49"/>
      <c r="DV391" s="49"/>
      <c r="DW391" s="49"/>
      <c r="DX391" s="49"/>
      <c r="DY391" s="49"/>
      <c r="DZ391" s="49"/>
    </row>
    <row r="392" spans="1:130" s="50" customFormat="1" ht="15" x14ac:dyDescent="0.25">
      <c r="A392" s="693"/>
      <c r="B392" s="767"/>
      <c r="C392" s="690"/>
      <c r="D392" s="420"/>
      <c r="E392" s="415"/>
      <c r="F392" s="423"/>
      <c r="G392" s="418"/>
      <c r="H392" s="423"/>
      <c r="I392" s="410"/>
      <c r="J392" s="85"/>
      <c r="K392" s="410"/>
      <c r="L392" s="410"/>
      <c r="M392" s="427"/>
      <c r="N392" s="743"/>
      <c r="O392" s="78" t="s">
        <v>2662</v>
      </c>
      <c r="P392" s="457" t="s">
        <v>2663</v>
      </c>
      <c r="Q392" s="78" t="s">
        <v>2664</v>
      </c>
      <c r="R392" s="274">
        <v>37810001</v>
      </c>
      <c r="S392" s="46"/>
      <c r="T392" s="443">
        <v>1302</v>
      </c>
      <c r="U392" s="273" t="s">
        <v>2810</v>
      </c>
      <c r="V392" s="274">
        <v>37810001</v>
      </c>
      <c r="W392" s="443">
        <v>5589</v>
      </c>
      <c r="X392" s="273" t="s">
        <v>2781</v>
      </c>
      <c r="Y392" s="274">
        <v>37810001</v>
      </c>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c r="DK392" s="49"/>
      <c r="DL392" s="49"/>
      <c r="DM392" s="49"/>
      <c r="DN392" s="49"/>
      <c r="DO392" s="49"/>
      <c r="DP392" s="49"/>
      <c r="DQ392" s="49"/>
      <c r="DR392" s="49"/>
      <c r="DS392" s="49"/>
      <c r="DT392" s="49"/>
      <c r="DU392" s="49"/>
      <c r="DV392" s="49"/>
      <c r="DW392" s="49"/>
      <c r="DX392" s="49"/>
      <c r="DY392" s="49"/>
      <c r="DZ392" s="49"/>
    </row>
    <row r="393" spans="1:130" s="50" customFormat="1" ht="15" x14ac:dyDescent="0.25">
      <c r="A393" s="693"/>
      <c r="B393" s="767"/>
      <c r="C393" s="690"/>
      <c r="D393" s="420"/>
      <c r="E393" s="415"/>
      <c r="F393" s="423"/>
      <c r="G393" s="418"/>
      <c r="H393" s="423"/>
      <c r="I393" s="410"/>
      <c r="J393" s="85"/>
      <c r="K393" s="410"/>
      <c r="L393" s="410"/>
      <c r="M393" s="427"/>
      <c r="N393" s="743"/>
      <c r="O393" s="78" t="s">
        <v>2625</v>
      </c>
      <c r="P393" s="457" t="s">
        <v>2665</v>
      </c>
      <c r="Q393" s="78" t="s">
        <v>2666</v>
      </c>
      <c r="R393" s="274">
        <v>1250000</v>
      </c>
      <c r="S393" s="46"/>
      <c r="T393" s="443">
        <v>1341</v>
      </c>
      <c r="U393" s="273" t="s">
        <v>2779</v>
      </c>
      <c r="V393" s="274">
        <v>1250000</v>
      </c>
      <c r="W393" s="443">
        <v>5575</v>
      </c>
      <c r="X393" s="273" t="s">
        <v>2773</v>
      </c>
      <c r="Y393" s="274">
        <v>1250000</v>
      </c>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DQ393" s="49"/>
      <c r="DR393" s="49"/>
      <c r="DS393" s="49"/>
      <c r="DT393" s="49"/>
      <c r="DU393" s="49"/>
      <c r="DV393" s="49"/>
      <c r="DW393" s="49"/>
      <c r="DX393" s="49"/>
      <c r="DY393" s="49"/>
      <c r="DZ393" s="49"/>
    </row>
    <row r="394" spans="1:130" s="50" customFormat="1" ht="15" x14ac:dyDescent="0.25">
      <c r="A394" s="693"/>
      <c r="B394" s="767"/>
      <c r="C394" s="690"/>
      <c r="D394" s="420"/>
      <c r="E394" s="415"/>
      <c r="F394" s="423"/>
      <c r="G394" s="418"/>
      <c r="H394" s="423"/>
      <c r="I394" s="410"/>
      <c r="J394" s="85"/>
      <c r="K394" s="410"/>
      <c r="L394" s="410"/>
      <c r="M394" s="427"/>
      <c r="N394" s="743"/>
      <c r="O394" s="78" t="s">
        <v>2667</v>
      </c>
      <c r="P394" s="457" t="s">
        <v>2668</v>
      </c>
      <c r="Q394" s="78" t="s">
        <v>2669</v>
      </c>
      <c r="R394" s="274">
        <v>1022384</v>
      </c>
      <c r="S394" s="46"/>
      <c r="T394" s="443">
        <v>1359</v>
      </c>
      <c r="U394" s="273" t="s">
        <v>2774</v>
      </c>
      <c r="V394" s="274">
        <v>1022384</v>
      </c>
      <c r="W394" s="443">
        <v>5825</v>
      </c>
      <c r="X394" s="273" t="s">
        <v>2788</v>
      </c>
      <c r="Y394" s="274">
        <v>1022384</v>
      </c>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s="49"/>
      <c r="DR394" s="49"/>
      <c r="DS394" s="49"/>
      <c r="DT394" s="49"/>
      <c r="DU394" s="49"/>
      <c r="DV394" s="49"/>
      <c r="DW394" s="49"/>
      <c r="DX394" s="49"/>
      <c r="DY394" s="49"/>
      <c r="DZ394" s="49"/>
    </row>
    <row r="395" spans="1:130" s="50" customFormat="1" ht="15" x14ac:dyDescent="0.25">
      <c r="A395" s="693"/>
      <c r="B395" s="767"/>
      <c r="C395" s="690"/>
      <c r="D395" s="420"/>
      <c r="E395" s="415"/>
      <c r="F395" s="423"/>
      <c r="G395" s="418"/>
      <c r="H395" s="423"/>
      <c r="I395" s="410"/>
      <c r="J395" s="85"/>
      <c r="K395" s="410"/>
      <c r="L395" s="410"/>
      <c r="M395" s="427"/>
      <c r="N395" s="743"/>
      <c r="O395" s="78" t="s">
        <v>2670</v>
      </c>
      <c r="P395" s="457" t="s">
        <v>2671</v>
      </c>
      <c r="Q395" s="78" t="s">
        <v>2672</v>
      </c>
      <c r="R395" s="274">
        <v>682374</v>
      </c>
      <c r="S395" s="46"/>
      <c r="T395" s="443">
        <v>1393</v>
      </c>
      <c r="U395" s="273" t="s">
        <v>2777</v>
      </c>
      <c r="V395" s="274">
        <v>682374</v>
      </c>
      <c r="W395" s="443">
        <v>5826</v>
      </c>
      <c r="X395" s="273" t="s">
        <v>2788</v>
      </c>
      <c r="Y395" s="274">
        <v>682374</v>
      </c>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s="49"/>
      <c r="DR395" s="49"/>
      <c r="DS395" s="49"/>
      <c r="DT395" s="49"/>
      <c r="DU395" s="49"/>
      <c r="DV395" s="49"/>
      <c r="DW395" s="49"/>
      <c r="DX395" s="49"/>
      <c r="DY395" s="49"/>
      <c r="DZ395" s="49"/>
    </row>
    <row r="396" spans="1:130" s="50" customFormat="1" ht="15" x14ac:dyDescent="0.25">
      <c r="A396" s="693"/>
      <c r="B396" s="767"/>
      <c r="C396" s="690"/>
      <c r="D396" s="420"/>
      <c r="E396" s="415"/>
      <c r="F396" s="423"/>
      <c r="G396" s="418"/>
      <c r="H396" s="423"/>
      <c r="I396" s="410"/>
      <c r="J396" s="85"/>
      <c r="K396" s="410"/>
      <c r="L396" s="410"/>
      <c r="M396" s="427"/>
      <c r="N396" s="743"/>
      <c r="O396" s="78" t="s">
        <v>2673</v>
      </c>
      <c r="P396" s="457" t="s">
        <v>2674</v>
      </c>
      <c r="Q396" s="78" t="s">
        <v>2675</v>
      </c>
      <c r="R396" s="274">
        <v>682374</v>
      </c>
      <c r="S396" s="46"/>
      <c r="T396" s="443">
        <v>1392</v>
      </c>
      <c r="U396" s="273" t="s">
        <v>2777</v>
      </c>
      <c r="V396" s="274">
        <v>682374</v>
      </c>
      <c r="W396" s="443">
        <v>5828</v>
      </c>
      <c r="X396" s="273" t="s">
        <v>2788</v>
      </c>
      <c r="Y396" s="274">
        <v>682374</v>
      </c>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s="49"/>
      <c r="DR396" s="49"/>
      <c r="DS396" s="49"/>
      <c r="DT396" s="49"/>
      <c r="DU396" s="49"/>
      <c r="DV396" s="49"/>
      <c r="DW396" s="49"/>
      <c r="DX396" s="49"/>
      <c r="DY396" s="49"/>
      <c r="DZ396" s="49"/>
    </row>
    <row r="397" spans="1:130" s="50" customFormat="1" ht="27" x14ac:dyDescent="0.25">
      <c r="A397" s="693"/>
      <c r="B397" s="767"/>
      <c r="C397" s="690"/>
      <c r="D397" s="44" t="s">
        <v>832</v>
      </c>
      <c r="E397" s="69" t="s">
        <v>120</v>
      </c>
      <c r="F397" s="289">
        <v>47599759</v>
      </c>
      <c r="G397" s="66">
        <v>0</v>
      </c>
      <c r="H397" s="66"/>
      <c r="I397" s="44"/>
      <c r="J397" s="45"/>
      <c r="K397" s="44"/>
      <c r="L397" s="274">
        <v>20000000</v>
      </c>
      <c r="M397" s="65">
        <f t="shared" ref="M397:M412" si="1">+F397+G397+H397+I397+J397+K397-L397</f>
        <v>27599759</v>
      </c>
      <c r="N397" s="743"/>
      <c r="O397" s="80" t="s">
        <v>1565</v>
      </c>
      <c r="P397" s="457">
        <v>474</v>
      </c>
      <c r="Q397" s="80" t="s">
        <v>2085</v>
      </c>
      <c r="R397" s="345">
        <v>3000000</v>
      </c>
      <c r="S397" s="46"/>
      <c r="T397" s="526">
        <v>975</v>
      </c>
      <c r="U397" s="273">
        <v>44778</v>
      </c>
      <c r="V397" s="274">
        <v>3000000</v>
      </c>
      <c r="W397" s="667">
        <v>4372</v>
      </c>
      <c r="X397" s="273" t="s">
        <v>2878</v>
      </c>
      <c r="Y397" s="274">
        <v>3000000</v>
      </c>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s="49"/>
      <c r="DR397" s="49"/>
      <c r="DS397" s="49"/>
      <c r="DT397" s="49"/>
      <c r="DU397" s="49"/>
      <c r="DV397" s="49"/>
      <c r="DW397" s="49"/>
      <c r="DX397" s="49"/>
      <c r="DY397" s="49"/>
      <c r="DZ397" s="49"/>
    </row>
    <row r="398" spans="1:130" s="50" customFormat="1" ht="15" x14ac:dyDescent="0.25">
      <c r="A398" s="693"/>
      <c r="B398" s="767"/>
      <c r="C398" s="690"/>
      <c r="D398" s="408"/>
      <c r="E398" s="281"/>
      <c r="F398" s="421"/>
      <c r="G398" s="416"/>
      <c r="H398" s="416"/>
      <c r="I398" s="408"/>
      <c r="J398" s="344"/>
      <c r="K398" s="408"/>
      <c r="L398" s="408"/>
      <c r="M398" s="425"/>
      <c r="N398" s="743"/>
      <c r="O398" s="80" t="s">
        <v>2625</v>
      </c>
      <c r="P398" s="457" t="s">
        <v>2676</v>
      </c>
      <c r="Q398" s="80" t="s">
        <v>2677</v>
      </c>
      <c r="R398" s="274">
        <v>6065000</v>
      </c>
      <c r="S398" s="46"/>
      <c r="T398" s="526">
        <v>1341</v>
      </c>
      <c r="U398" s="273" t="s">
        <v>2779</v>
      </c>
      <c r="V398" s="274">
        <v>6065000</v>
      </c>
      <c r="W398" s="667">
        <v>5575</v>
      </c>
      <c r="X398" s="273" t="s">
        <v>2773</v>
      </c>
      <c r="Y398" s="274">
        <v>6065000</v>
      </c>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s="49"/>
      <c r="DR398" s="49"/>
      <c r="DS398" s="49"/>
      <c r="DT398" s="49"/>
      <c r="DU398" s="49"/>
      <c r="DV398" s="49"/>
      <c r="DW398" s="49"/>
      <c r="DX398" s="49"/>
      <c r="DY398" s="49"/>
      <c r="DZ398" s="49"/>
    </row>
    <row r="399" spans="1:130" s="50" customFormat="1" ht="15" x14ac:dyDescent="0.25">
      <c r="A399" s="693"/>
      <c r="B399" s="767"/>
      <c r="C399" s="690"/>
      <c r="D399" s="408"/>
      <c r="E399" s="281"/>
      <c r="F399" s="421"/>
      <c r="G399" s="416"/>
      <c r="H399" s="416"/>
      <c r="I399" s="408"/>
      <c r="J399" s="344"/>
      <c r="K399" s="408"/>
      <c r="L399" s="408"/>
      <c r="M399" s="425"/>
      <c r="N399" s="743"/>
      <c r="O399" s="80" t="s">
        <v>2628</v>
      </c>
      <c r="P399" s="457" t="s">
        <v>2678</v>
      </c>
      <c r="Q399" s="80" t="s">
        <v>2679</v>
      </c>
      <c r="R399" s="345">
        <v>4100000</v>
      </c>
      <c r="S399" s="46"/>
      <c r="T399" s="526">
        <v>1394</v>
      </c>
      <c r="U399" s="273" t="s">
        <v>2787</v>
      </c>
      <c r="V399" s="274">
        <v>4100000</v>
      </c>
      <c r="W399" s="667">
        <v>5735</v>
      </c>
      <c r="X399" s="273" t="s">
        <v>2836</v>
      </c>
      <c r="Y399" s="274">
        <v>4100000</v>
      </c>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DQ399" s="49"/>
      <c r="DR399" s="49"/>
      <c r="DS399" s="49"/>
      <c r="DT399" s="49"/>
      <c r="DU399" s="49"/>
      <c r="DV399" s="49"/>
      <c r="DW399" s="49"/>
      <c r="DX399" s="49"/>
      <c r="DY399" s="49"/>
      <c r="DZ399" s="49"/>
    </row>
    <row r="400" spans="1:130" s="50" customFormat="1" ht="15" x14ac:dyDescent="0.25">
      <c r="A400" s="693"/>
      <c r="B400" s="767"/>
      <c r="C400" s="690"/>
      <c r="D400" s="692" t="s">
        <v>833</v>
      </c>
      <c r="E400" s="689" t="s">
        <v>102</v>
      </c>
      <c r="F400" s="710">
        <v>47700000</v>
      </c>
      <c r="G400" s="728">
        <v>0</v>
      </c>
      <c r="H400" s="728"/>
      <c r="I400" s="692"/>
      <c r="J400" s="692"/>
      <c r="K400" s="692"/>
      <c r="L400" s="692"/>
      <c r="M400" s="758">
        <f>+F400+G400+H402+I402+J402+K402-L402</f>
        <v>47700000</v>
      </c>
      <c r="N400" s="743"/>
      <c r="O400" s="78" t="s">
        <v>398</v>
      </c>
      <c r="P400" s="457">
        <v>207</v>
      </c>
      <c r="Q400" s="78" t="s">
        <v>401</v>
      </c>
      <c r="R400" s="274">
        <v>20579146</v>
      </c>
      <c r="S400" s="46"/>
      <c r="T400" s="250">
        <v>345</v>
      </c>
      <c r="U400" s="122">
        <v>44608</v>
      </c>
      <c r="V400" s="274">
        <v>20579146</v>
      </c>
      <c r="W400" s="667">
        <v>1608</v>
      </c>
      <c r="X400" s="273" t="s">
        <v>1045</v>
      </c>
      <c r="Y400" s="275">
        <v>20579146</v>
      </c>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s="49"/>
      <c r="DR400" s="49"/>
      <c r="DS400" s="49"/>
      <c r="DT400" s="49"/>
      <c r="DU400" s="49"/>
      <c r="DV400" s="49"/>
      <c r="DW400" s="49"/>
      <c r="DX400" s="49"/>
      <c r="DY400" s="49"/>
      <c r="DZ400" s="49"/>
    </row>
    <row r="401" spans="1:130" s="50" customFormat="1" ht="15" x14ac:dyDescent="0.25">
      <c r="A401" s="693"/>
      <c r="B401" s="767"/>
      <c r="C401" s="690"/>
      <c r="D401" s="693"/>
      <c r="E401" s="690"/>
      <c r="F401" s="711"/>
      <c r="G401" s="735"/>
      <c r="H401" s="735"/>
      <c r="I401" s="693"/>
      <c r="J401" s="693"/>
      <c r="K401" s="693"/>
      <c r="L401" s="693"/>
      <c r="M401" s="763"/>
      <c r="N401" s="743"/>
      <c r="O401" s="78" t="s">
        <v>1430</v>
      </c>
      <c r="P401" s="457" t="s">
        <v>1431</v>
      </c>
      <c r="Q401" s="78" t="s">
        <v>1432</v>
      </c>
      <c r="R401" s="66">
        <v>2500000</v>
      </c>
      <c r="S401" s="46"/>
      <c r="T401" s="526">
        <v>583</v>
      </c>
      <c r="U401" s="273">
        <v>44685</v>
      </c>
      <c r="V401" s="274">
        <v>2500000</v>
      </c>
      <c r="W401" s="667">
        <v>2765</v>
      </c>
      <c r="X401" s="273" t="s">
        <v>2888</v>
      </c>
      <c r="Y401" s="275">
        <v>2500000</v>
      </c>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s="49"/>
      <c r="DR401" s="49"/>
      <c r="DS401" s="49"/>
      <c r="DT401" s="49"/>
      <c r="DU401" s="49"/>
      <c r="DV401" s="49"/>
      <c r="DW401" s="49"/>
      <c r="DX401" s="49"/>
      <c r="DY401" s="49"/>
      <c r="DZ401" s="49"/>
    </row>
    <row r="402" spans="1:130" s="50" customFormat="1" ht="15" x14ac:dyDescent="0.25">
      <c r="A402" s="693"/>
      <c r="B402" s="767"/>
      <c r="C402" s="690"/>
      <c r="D402" s="694"/>
      <c r="E402" s="691"/>
      <c r="F402" s="712"/>
      <c r="G402" s="729"/>
      <c r="H402" s="729"/>
      <c r="I402" s="694"/>
      <c r="J402" s="694"/>
      <c r="K402" s="694"/>
      <c r="L402" s="694"/>
      <c r="M402" s="759"/>
      <c r="N402" s="743"/>
      <c r="O402" s="78" t="s">
        <v>1433</v>
      </c>
      <c r="P402" s="457" t="s">
        <v>1434</v>
      </c>
      <c r="Q402" s="78" t="s">
        <v>1435</v>
      </c>
      <c r="R402" s="66">
        <v>9920000</v>
      </c>
      <c r="S402" s="46"/>
      <c r="T402" s="526">
        <v>581</v>
      </c>
      <c r="U402" s="273">
        <v>44683</v>
      </c>
      <c r="V402" s="274">
        <v>9920000</v>
      </c>
      <c r="W402" s="667">
        <v>2766</v>
      </c>
      <c r="X402" s="273" t="s">
        <v>2888</v>
      </c>
      <c r="Y402" s="275">
        <v>9920000</v>
      </c>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s="49"/>
      <c r="DR402" s="49"/>
      <c r="DS402" s="49"/>
      <c r="DT402" s="49"/>
      <c r="DU402" s="49"/>
      <c r="DV402" s="49"/>
      <c r="DW402" s="49"/>
      <c r="DX402" s="49"/>
      <c r="DY402" s="49"/>
      <c r="DZ402" s="49"/>
    </row>
    <row r="403" spans="1:130" s="50" customFormat="1" ht="15" x14ac:dyDescent="0.25">
      <c r="A403" s="693"/>
      <c r="B403" s="767"/>
      <c r="C403" s="690"/>
      <c r="D403" s="410"/>
      <c r="E403" s="415"/>
      <c r="F403" s="423"/>
      <c r="G403" s="418"/>
      <c r="H403" s="418"/>
      <c r="I403" s="410"/>
      <c r="J403" s="85"/>
      <c r="K403" s="410"/>
      <c r="L403" s="410"/>
      <c r="M403" s="427"/>
      <c r="N403" s="743"/>
      <c r="O403" s="78" t="s">
        <v>2634</v>
      </c>
      <c r="P403" s="457" t="s">
        <v>2635</v>
      </c>
      <c r="Q403" s="78" t="s">
        <v>2636</v>
      </c>
      <c r="R403" s="274">
        <v>2650000</v>
      </c>
      <c r="S403" s="46"/>
      <c r="T403" s="526">
        <v>1379</v>
      </c>
      <c r="U403" s="273" t="s">
        <v>2796</v>
      </c>
      <c r="V403" s="274">
        <v>2650000</v>
      </c>
      <c r="W403" s="667">
        <v>5731</v>
      </c>
      <c r="X403" s="273" t="s">
        <v>2787</v>
      </c>
      <c r="Y403" s="275">
        <v>2650000</v>
      </c>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s="49"/>
      <c r="DR403" s="49"/>
      <c r="DS403" s="49"/>
      <c r="DT403" s="49"/>
      <c r="DU403" s="49"/>
      <c r="DV403" s="49"/>
      <c r="DW403" s="49"/>
      <c r="DX403" s="49"/>
      <c r="DY403" s="49"/>
      <c r="DZ403" s="49"/>
    </row>
    <row r="404" spans="1:130" s="50" customFormat="1" ht="27" x14ac:dyDescent="0.25">
      <c r="A404" s="693"/>
      <c r="B404" s="767"/>
      <c r="C404" s="690"/>
      <c r="D404" s="44" t="s">
        <v>836</v>
      </c>
      <c r="E404" s="69" t="s">
        <v>145</v>
      </c>
      <c r="F404" s="289">
        <v>25000000</v>
      </c>
      <c r="G404" s="66">
        <v>0</v>
      </c>
      <c r="H404" s="289">
        <v>85000000</v>
      </c>
      <c r="I404" s="44"/>
      <c r="J404" s="45"/>
      <c r="K404" s="44"/>
      <c r="L404" s="44"/>
      <c r="M404" s="65">
        <f t="shared" si="1"/>
        <v>110000000</v>
      </c>
      <c r="N404" s="743"/>
      <c r="O404" s="78" t="s">
        <v>1439</v>
      </c>
      <c r="P404" s="457" t="s">
        <v>1440</v>
      </c>
      <c r="Q404" s="78" t="s">
        <v>1441</v>
      </c>
      <c r="R404" s="274">
        <v>7216000</v>
      </c>
      <c r="S404" s="46"/>
      <c r="T404" s="526">
        <v>726</v>
      </c>
      <c r="U404" s="273">
        <v>44729</v>
      </c>
      <c r="V404" s="274">
        <v>7216000</v>
      </c>
      <c r="W404" s="667">
        <v>3827</v>
      </c>
      <c r="X404" s="273">
        <v>44774</v>
      </c>
      <c r="Y404" s="274">
        <v>7216000</v>
      </c>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s="49"/>
      <c r="DR404" s="49"/>
      <c r="DS404" s="49"/>
      <c r="DT404" s="49"/>
      <c r="DU404" s="49"/>
      <c r="DV404" s="49"/>
      <c r="DW404" s="49"/>
      <c r="DX404" s="49"/>
      <c r="DY404" s="49"/>
      <c r="DZ404" s="49"/>
    </row>
    <row r="405" spans="1:130" s="50" customFormat="1" ht="15" x14ac:dyDescent="0.25">
      <c r="A405" s="693"/>
      <c r="B405" s="767"/>
      <c r="C405" s="690"/>
      <c r="D405" s="330"/>
      <c r="E405" s="69"/>
      <c r="F405" s="289"/>
      <c r="G405" s="274"/>
      <c r="H405" s="289"/>
      <c r="I405" s="330"/>
      <c r="J405" s="45"/>
      <c r="K405" s="330"/>
      <c r="L405" s="330"/>
      <c r="M405" s="65"/>
      <c r="N405" s="743"/>
      <c r="O405" s="78" t="s">
        <v>2682</v>
      </c>
      <c r="P405" s="457" t="s">
        <v>2683</v>
      </c>
      <c r="Q405" s="78" t="s">
        <v>2684</v>
      </c>
      <c r="R405" s="274">
        <v>90058571</v>
      </c>
      <c r="S405" s="46"/>
      <c r="T405" s="526">
        <v>1488</v>
      </c>
      <c r="U405" s="273" t="s">
        <v>2791</v>
      </c>
      <c r="V405" s="274">
        <v>90058571</v>
      </c>
      <c r="W405" s="667">
        <v>6124</v>
      </c>
      <c r="X405" s="273" t="s">
        <v>2834</v>
      </c>
      <c r="Y405" s="274">
        <v>90058571</v>
      </c>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s="49"/>
      <c r="DR405" s="49"/>
      <c r="DS405" s="49"/>
      <c r="DT405" s="49"/>
      <c r="DU405" s="49"/>
      <c r="DV405" s="49"/>
      <c r="DW405" s="49"/>
      <c r="DX405" s="49"/>
      <c r="DY405" s="49"/>
      <c r="DZ405" s="49"/>
    </row>
    <row r="406" spans="1:130" s="50" customFormat="1" ht="27" x14ac:dyDescent="0.25">
      <c r="A406" s="693"/>
      <c r="B406" s="767"/>
      <c r="C406" s="690"/>
      <c r="D406" s="44" t="s">
        <v>837</v>
      </c>
      <c r="E406" s="69" t="s">
        <v>146</v>
      </c>
      <c r="F406" s="289">
        <v>34974158</v>
      </c>
      <c r="G406" s="66">
        <v>0</v>
      </c>
      <c r="H406" s="66"/>
      <c r="I406" s="44"/>
      <c r="J406" s="45"/>
      <c r="K406" s="274">
        <v>20000000</v>
      </c>
      <c r="L406" s="44"/>
      <c r="M406" s="65">
        <f t="shared" si="1"/>
        <v>54974158</v>
      </c>
      <c r="N406" s="743"/>
      <c r="O406" s="78" t="s">
        <v>1436</v>
      </c>
      <c r="P406" s="457" t="s">
        <v>1437</v>
      </c>
      <c r="Q406" s="78" t="s">
        <v>1438</v>
      </c>
      <c r="R406" s="274">
        <v>28112400</v>
      </c>
      <c r="S406" s="46"/>
      <c r="T406" s="526">
        <v>604</v>
      </c>
      <c r="U406" s="273">
        <v>44699</v>
      </c>
      <c r="V406" s="274">
        <v>28112400</v>
      </c>
      <c r="W406" s="667">
        <v>2994</v>
      </c>
      <c r="X406" s="273">
        <v>44734</v>
      </c>
      <c r="Y406" s="278">
        <v>28112400</v>
      </c>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s="49"/>
      <c r="DR406" s="49"/>
      <c r="DS406" s="49"/>
      <c r="DT406" s="49"/>
      <c r="DU406" s="49"/>
      <c r="DV406" s="49"/>
      <c r="DW406" s="49"/>
      <c r="DX406" s="49"/>
      <c r="DY406" s="49"/>
      <c r="DZ406" s="49"/>
    </row>
    <row r="407" spans="1:130" s="50" customFormat="1" ht="15" x14ac:dyDescent="0.25">
      <c r="A407" s="693"/>
      <c r="B407" s="767"/>
      <c r="C407" s="690"/>
      <c r="D407" s="410"/>
      <c r="E407" s="137"/>
      <c r="F407" s="423"/>
      <c r="G407" s="418"/>
      <c r="H407" s="418"/>
      <c r="I407" s="410"/>
      <c r="J407" s="85"/>
      <c r="K407" s="410"/>
      <c r="L407" s="410"/>
      <c r="M407" s="427"/>
      <c r="N407" s="743"/>
      <c r="O407" s="78" t="s">
        <v>2685</v>
      </c>
      <c r="P407" s="457" t="s">
        <v>2686</v>
      </c>
      <c r="Q407" s="78" t="s">
        <v>2687</v>
      </c>
      <c r="R407" s="274">
        <v>14000000</v>
      </c>
      <c r="S407" s="46"/>
      <c r="T407" s="526">
        <v>1433</v>
      </c>
      <c r="U407" s="273" t="s">
        <v>2772</v>
      </c>
      <c r="V407" s="274">
        <v>14000000</v>
      </c>
      <c r="W407" s="667">
        <v>5893</v>
      </c>
      <c r="X407" s="273" t="s">
        <v>2806</v>
      </c>
      <c r="Y407" s="274">
        <v>14000000</v>
      </c>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s="49"/>
      <c r="DR407" s="49"/>
      <c r="DS407" s="49"/>
      <c r="DT407" s="49"/>
      <c r="DU407" s="49"/>
      <c r="DV407" s="49"/>
      <c r="DW407" s="49"/>
      <c r="DX407" s="49"/>
      <c r="DY407" s="49"/>
      <c r="DZ407" s="49"/>
    </row>
    <row r="408" spans="1:130" s="50" customFormat="1" ht="29.25" customHeight="1" x14ac:dyDescent="0.25">
      <c r="A408" s="693"/>
      <c r="B408" s="767"/>
      <c r="C408" s="690"/>
      <c r="D408" s="197" t="s">
        <v>1197</v>
      </c>
      <c r="E408" s="137" t="s">
        <v>1194</v>
      </c>
      <c r="F408" s="198"/>
      <c r="G408" s="198"/>
      <c r="H408" s="288">
        <v>90000000</v>
      </c>
      <c r="I408" s="197"/>
      <c r="J408" s="85"/>
      <c r="K408" s="495">
        <v>124000000</v>
      </c>
      <c r="L408" s="197"/>
      <c r="M408" s="199">
        <f t="shared" si="1"/>
        <v>214000000</v>
      </c>
      <c r="N408" s="743"/>
      <c r="O408" s="80" t="s">
        <v>2637</v>
      </c>
      <c r="P408" s="459" t="s">
        <v>2638</v>
      </c>
      <c r="Q408" s="80" t="s">
        <v>2639</v>
      </c>
      <c r="R408" s="274">
        <v>75887490</v>
      </c>
      <c r="S408" s="46"/>
      <c r="T408" s="526">
        <v>1360</v>
      </c>
      <c r="U408" s="273" t="s">
        <v>2774</v>
      </c>
      <c r="V408" s="274">
        <v>75887490</v>
      </c>
      <c r="W408" s="667">
        <v>5962</v>
      </c>
      <c r="X408" s="273" t="s">
        <v>2829</v>
      </c>
      <c r="Y408" s="274">
        <v>75887490</v>
      </c>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DQ408" s="49"/>
      <c r="DR408" s="49"/>
      <c r="DS408" s="49"/>
      <c r="DT408" s="49"/>
      <c r="DU408" s="49"/>
      <c r="DV408" s="49"/>
      <c r="DW408" s="49"/>
      <c r="DX408" s="49"/>
      <c r="DY408" s="49"/>
      <c r="DZ408" s="49"/>
    </row>
    <row r="409" spans="1:130" s="50" customFormat="1" ht="29.25" customHeight="1" x14ac:dyDescent="0.25">
      <c r="A409" s="693"/>
      <c r="B409" s="767"/>
      <c r="C409" s="690"/>
      <c r="D409" s="410"/>
      <c r="E409" s="137"/>
      <c r="F409" s="418"/>
      <c r="G409" s="418"/>
      <c r="H409" s="423"/>
      <c r="I409" s="410"/>
      <c r="J409" s="85"/>
      <c r="K409" s="410"/>
      <c r="L409" s="410"/>
      <c r="M409" s="427"/>
      <c r="N409" s="743"/>
      <c r="O409" s="80" t="s">
        <v>2640</v>
      </c>
      <c r="P409" s="459" t="s">
        <v>2641</v>
      </c>
      <c r="Q409" s="80" t="s">
        <v>2642</v>
      </c>
      <c r="R409" s="274">
        <v>55494800</v>
      </c>
      <c r="S409" s="46"/>
      <c r="T409" s="526">
        <v>1423</v>
      </c>
      <c r="U409" s="273" t="s">
        <v>2772</v>
      </c>
      <c r="V409" s="274">
        <v>55494800</v>
      </c>
      <c r="W409" s="667">
        <v>6122</v>
      </c>
      <c r="X409" s="273" t="s">
        <v>2834</v>
      </c>
      <c r="Y409" s="274">
        <v>55494800</v>
      </c>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s="49"/>
      <c r="DR409" s="49"/>
      <c r="DS409" s="49"/>
      <c r="DT409" s="49"/>
      <c r="DU409" s="49"/>
      <c r="DV409" s="49"/>
      <c r="DW409" s="49"/>
      <c r="DX409" s="49"/>
      <c r="DY409" s="49"/>
      <c r="DZ409" s="49"/>
    </row>
    <row r="410" spans="1:130" s="50" customFormat="1" ht="29.25" customHeight="1" x14ac:dyDescent="0.25">
      <c r="A410" s="693"/>
      <c r="B410" s="767"/>
      <c r="C410" s="690"/>
      <c r="D410" s="410"/>
      <c r="E410" s="137"/>
      <c r="F410" s="418"/>
      <c r="G410" s="418"/>
      <c r="H410" s="423"/>
      <c r="I410" s="410"/>
      <c r="J410" s="85"/>
      <c r="K410" s="410"/>
      <c r="L410" s="410"/>
      <c r="M410" s="427"/>
      <c r="N410" s="743"/>
      <c r="O410" s="80" t="s">
        <v>2643</v>
      </c>
      <c r="P410" s="459" t="s">
        <v>2644</v>
      </c>
      <c r="Q410" s="80" t="s">
        <v>2645</v>
      </c>
      <c r="R410" s="345">
        <v>39917360</v>
      </c>
      <c r="S410" s="46"/>
      <c r="T410" s="526">
        <v>1429</v>
      </c>
      <c r="U410" s="273" t="s">
        <v>2772</v>
      </c>
      <c r="V410" s="274">
        <v>39917360</v>
      </c>
      <c r="W410" s="667">
        <v>6208</v>
      </c>
      <c r="X410" s="273" t="s">
        <v>2807</v>
      </c>
      <c r="Y410" s="274">
        <v>39917360</v>
      </c>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c r="DK410" s="49"/>
      <c r="DL410" s="49"/>
      <c r="DM410" s="49"/>
      <c r="DN410" s="49"/>
      <c r="DO410" s="49"/>
      <c r="DP410" s="49"/>
      <c r="DQ410" s="49"/>
      <c r="DR410" s="49"/>
      <c r="DS410" s="49"/>
      <c r="DT410" s="49"/>
      <c r="DU410" s="49"/>
      <c r="DV410" s="49"/>
      <c r="DW410" s="49"/>
      <c r="DX410" s="49"/>
      <c r="DY410" s="49"/>
      <c r="DZ410" s="49"/>
    </row>
    <row r="411" spans="1:130" s="50" customFormat="1" ht="29.25" customHeight="1" x14ac:dyDescent="0.25">
      <c r="A411" s="693"/>
      <c r="B411" s="767"/>
      <c r="C411" s="690"/>
      <c r="D411" s="410"/>
      <c r="E411" s="137"/>
      <c r="F411" s="418"/>
      <c r="G411" s="418"/>
      <c r="H411" s="423"/>
      <c r="I411" s="410"/>
      <c r="J411" s="85"/>
      <c r="K411" s="410"/>
      <c r="L411" s="410"/>
      <c r="M411" s="427"/>
      <c r="N411" s="743"/>
      <c r="O411" s="80" t="s">
        <v>2646</v>
      </c>
      <c r="P411" s="541" t="s">
        <v>885</v>
      </c>
      <c r="Q411" s="80" t="s">
        <v>2647</v>
      </c>
      <c r="R411" s="345"/>
      <c r="S411" s="46"/>
      <c r="T411" s="526"/>
      <c r="U411" s="273"/>
      <c r="V411" s="330"/>
      <c r="W411" s="330"/>
      <c r="X411" s="79"/>
      <c r="Y411" s="330"/>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c r="DK411" s="49"/>
      <c r="DL411" s="49"/>
      <c r="DM411" s="49"/>
      <c r="DN411" s="49"/>
      <c r="DO411" s="49"/>
      <c r="DP411" s="49"/>
      <c r="DQ411" s="49"/>
      <c r="DR411" s="49"/>
      <c r="DS411" s="49"/>
      <c r="DT411" s="49"/>
      <c r="DU411" s="49"/>
      <c r="DV411" s="49"/>
      <c r="DW411" s="49"/>
      <c r="DX411" s="49"/>
      <c r="DY411" s="49"/>
      <c r="DZ411" s="49"/>
    </row>
    <row r="412" spans="1:130" s="50" customFormat="1" ht="40.5" x14ac:dyDescent="0.25">
      <c r="A412" s="694"/>
      <c r="B412" s="768"/>
      <c r="C412" s="691"/>
      <c r="D412" s="197" t="s">
        <v>1198</v>
      </c>
      <c r="E412" s="137" t="s">
        <v>1195</v>
      </c>
      <c r="F412" s="198"/>
      <c r="G412" s="198"/>
      <c r="H412" s="288">
        <v>14000000</v>
      </c>
      <c r="I412" s="197"/>
      <c r="J412" s="85"/>
      <c r="K412" s="197"/>
      <c r="L412" s="197"/>
      <c r="M412" s="199">
        <f t="shared" si="1"/>
        <v>14000000</v>
      </c>
      <c r="N412" s="744"/>
      <c r="O412" s="80" t="s">
        <v>2186</v>
      </c>
      <c r="P412" s="457">
        <v>569</v>
      </c>
      <c r="Q412" s="80" t="s">
        <v>2185</v>
      </c>
      <c r="R412" s="345">
        <v>13967200</v>
      </c>
      <c r="S412" s="46"/>
      <c r="T412" s="526">
        <v>1138</v>
      </c>
      <c r="U412" s="273">
        <v>44805</v>
      </c>
      <c r="V412" s="345">
        <v>13967200</v>
      </c>
      <c r="W412" s="667">
        <v>5391</v>
      </c>
      <c r="X412" s="273" t="s">
        <v>2785</v>
      </c>
      <c r="Y412" s="345">
        <v>13967200</v>
      </c>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c r="DK412" s="49"/>
      <c r="DL412" s="49"/>
      <c r="DM412" s="49"/>
      <c r="DN412" s="49"/>
      <c r="DO412" s="49"/>
      <c r="DP412" s="49"/>
      <c r="DQ412" s="49"/>
      <c r="DR412" s="49"/>
      <c r="DS412" s="49"/>
      <c r="DT412" s="49"/>
      <c r="DU412" s="49"/>
      <c r="DV412" s="49"/>
      <c r="DW412" s="49"/>
      <c r="DX412" s="49"/>
      <c r="DY412" s="49"/>
      <c r="DZ412" s="49"/>
    </row>
    <row r="413" spans="1:130" s="107" customFormat="1" ht="15.75" thickBot="1" x14ac:dyDescent="0.3">
      <c r="A413" s="92"/>
      <c r="B413" s="92"/>
      <c r="C413" s="92"/>
      <c r="D413" s="92"/>
      <c r="E413" s="104"/>
      <c r="F413" s="101"/>
      <c r="G413" s="101"/>
      <c r="H413" s="101"/>
      <c r="I413" s="92"/>
      <c r="J413" s="93"/>
      <c r="K413" s="92"/>
      <c r="L413" s="92"/>
      <c r="M413" s="102">
        <f>SUM(M114:M412)</f>
        <v>1929027520</v>
      </c>
      <c r="N413" s="101"/>
      <c r="O413" s="105"/>
      <c r="P413" s="86"/>
      <c r="Q413" s="95"/>
      <c r="R413" s="103">
        <f>SUM(R114:R412)</f>
        <v>1614030918</v>
      </c>
      <c r="S413" s="89"/>
      <c r="T413" s="86"/>
      <c r="U413" s="95"/>
      <c r="V413" s="103">
        <f>SUM(V114:V412)</f>
        <v>1613984223</v>
      </c>
      <c r="W413" s="86"/>
      <c r="X413" s="95"/>
      <c r="Y413" s="103">
        <f>SUM(Y114:Y412)</f>
        <v>1613984223</v>
      </c>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c r="BI413" s="106"/>
      <c r="BJ413" s="106"/>
      <c r="BK413" s="106"/>
      <c r="BL413" s="106"/>
      <c r="BM413" s="106"/>
      <c r="BN413" s="106"/>
      <c r="BO413" s="106"/>
      <c r="BP413" s="106"/>
      <c r="BQ413" s="106"/>
      <c r="BR413" s="106"/>
      <c r="BS413" s="106"/>
      <c r="BT413" s="106"/>
      <c r="BU413" s="106"/>
      <c r="BV413" s="106"/>
      <c r="BW413" s="106"/>
      <c r="BX413" s="106"/>
      <c r="BY413" s="106"/>
      <c r="BZ413" s="106"/>
      <c r="CA413" s="106"/>
      <c r="CB413" s="106"/>
      <c r="CC413" s="106"/>
      <c r="CD413" s="106"/>
      <c r="CE413" s="106"/>
      <c r="CF413" s="106"/>
      <c r="CG413" s="106"/>
      <c r="CH413" s="106"/>
      <c r="CI413" s="106"/>
      <c r="CJ413" s="106"/>
      <c r="CK413" s="106"/>
      <c r="CL413" s="106"/>
      <c r="CM413" s="106"/>
      <c r="CN413" s="106"/>
      <c r="CO413" s="106"/>
      <c r="CP413" s="106"/>
      <c r="CQ413" s="106"/>
      <c r="CR413" s="106"/>
      <c r="CS413" s="106"/>
      <c r="CT413" s="106"/>
      <c r="CU413" s="106"/>
      <c r="CV413" s="106"/>
      <c r="CW413" s="106"/>
      <c r="CX413" s="106"/>
      <c r="CY413" s="106"/>
      <c r="CZ413" s="106"/>
      <c r="DA413" s="106"/>
      <c r="DB413" s="106"/>
      <c r="DC413" s="106"/>
      <c r="DD413" s="106"/>
      <c r="DE413" s="106"/>
      <c r="DF413" s="106"/>
      <c r="DG413" s="106"/>
      <c r="DH413" s="106"/>
      <c r="DI413" s="106"/>
      <c r="DJ413" s="106"/>
      <c r="DK413" s="106"/>
      <c r="DL413" s="106"/>
      <c r="DM413" s="106"/>
      <c r="DN413" s="106"/>
      <c r="DO413" s="106"/>
      <c r="DP413" s="106"/>
      <c r="DQ413" s="106"/>
      <c r="DR413" s="106"/>
      <c r="DS413" s="106"/>
      <c r="DT413" s="106"/>
      <c r="DU413" s="106"/>
      <c r="DV413" s="106"/>
      <c r="DW413" s="106"/>
      <c r="DX413" s="106"/>
      <c r="DY413" s="106"/>
      <c r="DZ413" s="106"/>
    </row>
    <row r="414" spans="1:130" s="63" customFormat="1" ht="17.25" thickBot="1" x14ac:dyDescent="0.35">
      <c r="A414" s="51"/>
      <c r="B414" s="51"/>
      <c r="C414" s="42"/>
      <c r="D414" s="42"/>
      <c r="E414" s="42"/>
      <c r="F414" s="52"/>
      <c r="G414" s="42"/>
      <c r="H414" s="42"/>
      <c r="I414" s="42"/>
      <c r="J414" s="43"/>
      <c r="K414" s="53" t="s">
        <v>29</v>
      </c>
      <c r="L414" s="54"/>
      <c r="M414" s="55">
        <f>+M91+M113+M413</f>
        <v>5237001106</v>
      </c>
      <c r="N414" s="56"/>
      <c r="O414" s="56"/>
      <c r="P414" s="56"/>
      <c r="Q414" s="56"/>
      <c r="R414" s="67">
        <f>+R91+R113+R413</f>
        <v>4627679317</v>
      </c>
      <c r="S414" s="57">
        <f>(R414*1)/M414</f>
        <v>0.88365062816162021</v>
      </c>
      <c r="T414" s="58"/>
      <c r="U414" s="59"/>
      <c r="V414" s="60">
        <f>+V91+V113+V413</f>
        <v>4627632622</v>
      </c>
      <c r="W414" s="58"/>
      <c r="X414" s="59"/>
      <c r="Y414" s="61">
        <f>+Y91+Y113+Y413</f>
        <v>4627632622</v>
      </c>
      <c r="Z414" s="62"/>
      <c r="AA414" s="62"/>
      <c r="AB414" s="62"/>
      <c r="AC414" s="62"/>
      <c r="AD414" s="62"/>
      <c r="AE414" s="62"/>
      <c r="AF414" s="62"/>
      <c r="AG414" s="62"/>
      <c r="AH414" s="62"/>
      <c r="AI414" s="62"/>
      <c r="AJ414" s="62"/>
      <c r="AK414" s="62"/>
      <c r="AL414" s="62"/>
      <c r="AM414" s="62"/>
      <c r="AN414" s="62"/>
      <c r="AO414" s="62"/>
      <c r="AP414" s="62"/>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c r="CB414" s="62"/>
      <c r="CC414" s="62"/>
      <c r="CD414" s="62"/>
      <c r="CE414" s="62"/>
      <c r="CF414" s="62"/>
      <c r="CG414" s="62"/>
      <c r="CH414" s="62"/>
      <c r="CI414" s="62"/>
      <c r="CJ414" s="62"/>
      <c r="CK414" s="62"/>
      <c r="CL414" s="62"/>
      <c r="CM414" s="62"/>
      <c r="CN414" s="62"/>
      <c r="CO414" s="62"/>
      <c r="CP414" s="62"/>
      <c r="CQ414" s="62"/>
      <c r="CR414" s="62"/>
      <c r="CS414" s="62"/>
      <c r="CT414" s="62"/>
      <c r="CU414" s="62"/>
      <c r="CV414" s="62"/>
      <c r="CW414" s="62"/>
      <c r="CX414" s="62"/>
      <c r="CY414" s="62"/>
      <c r="CZ414" s="62"/>
      <c r="DA414" s="62"/>
      <c r="DB414" s="62"/>
      <c r="DC414" s="62"/>
      <c r="DD414" s="62"/>
      <c r="DE414" s="62"/>
      <c r="DF414" s="62"/>
      <c r="DG414" s="62"/>
      <c r="DH414" s="62"/>
      <c r="DI414" s="62"/>
      <c r="DJ414" s="62"/>
      <c r="DK414" s="62"/>
      <c r="DL414" s="62"/>
      <c r="DM414" s="62"/>
      <c r="DN414" s="62"/>
      <c r="DO414" s="62"/>
      <c r="DP414" s="62"/>
      <c r="DQ414" s="62"/>
      <c r="DR414" s="62"/>
      <c r="DS414" s="62"/>
      <c r="DT414" s="62"/>
      <c r="DU414" s="62"/>
      <c r="DV414" s="62"/>
      <c r="DW414" s="62"/>
      <c r="DX414" s="62"/>
      <c r="DY414" s="62"/>
      <c r="DZ414" s="62"/>
    </row>
    <row r="415" spans="1:130" ht="15" x14ac:dyDescent="0.25">
      <c r="S415" s="4"/>
    </row>
    <row r="416" spans="1:130" ht="15" x14ac:dyDescent="0.25">
      <c r="R416" s="39"/>
      <c r="S416" s="6"/>
      <c r="T416" s="82"/>
      <c r="V416" s="251"/>
    </row>
    <row r="417" spans="18:22" ht="15" x14ac:dyDescent="0.25">
      <c r="R417" s="39"/>
      <c r="S417" s="6"/>
      <c r="T417" s="82"/>
      <c r="V417" s="548"/>
    </row>
    <row r="418" spans="18:22" ht="15" x14ac:dyDescent="0.25">
      <c r="R418" s="39"/>
      <c r="S418" s="6"/>
      <c r="T418" s="82"/>
    </row>
    <row r="419" spans="18:22" ht="15" x14ac:dyDescent="0.25">
      <c r="R419" s="39"/>
      <c r="S419" s="6"/>
      <c r="T419" s="82"/>
    </row>
    <row r="420" spans="18:22" ht="15" x14ac:dyDescent="0.25">
      <c r="R420" s="39"/>
      <c r="S420" s="6"/>
      <c r="T420" s="82"/>
    </row>
    <row r="421" spans="18:22" ht="15" x14ac:dyDescent="0.25">
      <c r="R421" s="39"/>
      <c r="S421" s="6"/>
      <c r="T421" s="82"/>
    </row>
    <row r="422" spans="18:22" ht="15" x14ac:dyDescent="0.25">
      <c r="R422" s="39"/>
      <c r="S422" s="6"/>
      <c r="T422" s="82"/>
    </row>
    <row r="423" spans="18:22" ht="15" x14ac:dyDescent="0.25">
      <c r="R423" s="39"/>
      <c r="S423" s="6"/>
      <c r="T423" s="82"/>
    </row>
    <row r="424" spans="18:22" ht="15" x14ac:dyDescent="0.25">
      <c r="R424" s="39"/>
      <c r="S424" s="7"/>
      <c r="T424" s="82"/>
    </row>
    <row r="425" spans="18:22" ht="15" x14ac:dyDescent="0.25"/>
    <row r="426" spans="18:22" ht="15" x14ac:dyDescent="0.25"/>
    <row r="427" spans="18:22" ht="15" x14ac:dyDescent="0.25"/>
    <row r="428" spans="18:22" ht="15" x14ac:dyDescent="0.25"/>
    <row r="429" spans="18:22" ht="15" x14ac:dyDescent="0.25"/>
    <row r="430" spans="18:22" ht="15" x14ac:dyDescent="0.25"/>
    <row r="431" spans="18:22" ht="15" x14ac:dyDescent="0.25"/>
    <row r="432" spans="18:2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customHeight="1" x14ac:dyDescent="0.25"/>
    <row r="468" ht="15"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hidden="1" customHeight="1" x14ac:dyDescent="0.25"/>
    <row r="849" ht="15" hidden="1" customHeight="1" x14ac:dyDescent="0.25"/>
    <row r="850" ht="15" hidden="1" customHeight="1" x14ac:dyDescent="0.25"/>
    <row r="851" ht="15" hidden="1" customHeight="1" x14ac:dyDescent="0.25"/>
    <row r="852" ht="15" hidden="1" customHeight="1" x14ac:dyDescent="0.25"/>
    <row r="853" ht="15" hidden="1" customHeight="1" x14ac:dyDescent="0.25"/>
    <row r="854" ht="15" hidden="1" customHeight="1" x14ac:dyDescent="0.25"/>
    <row r="855" ht="15" hidden="1" customHeight="1" x14ac:dyDescent="0.25"/>
    <row r="856" ht="15" hidden="1" customHeight="1" x14ac:dyDescent="0.25"/>
    <row r="857" ht="15" hidden="1" customHeight="1" x14ac:dyDescent="0.25"/>
    <row r="858" ht="15" hidden="1" customHeight="1" x14ac:dyDescent="0.25"/>
    <row r="859" ht="15" hidden="1" customHeight="1" x14ac:dyDescent="0.25"/>
    <row r="860" ht="15" hidden="1" customHeight="1" x14ac:dyDescent="0.25"/>
    <row r="861" ht="15" hidden="1" customHeight="1" x14ac:dyDescent="0.25"/>
    <row r="862" ht="15" hidden="1" customHeight="1" x14ac:dyDescent="0.25"/>
    <row r="863" ht="15" hidden="1" customHeight="1" x14ac:dyDescent="0.25"/>
    <row r="864" ht="15" hidden="1" customHeight="1" x14ac:dyDescent="0.25"/>
    <row r="865" ht="15" hidden="1" customHeight="1" x14ac:dyDescent="0.25"/>
    <row r="866" ht="15" hidden="1" customHeight="1" x14ac:dyDescent="0.25"/>
    <row r="867" ht="15" hidden="1" customHeight="1" x14ac:dyDescent="0.25"/>
    <row r="868" ht="15" hidden="1" customHeight="1" x14ac:dyDescent="0.25"/>
    <row r="869" ht="15" hidden="1" customHeight="1" x14ac:dyDescent="0.25"/>
    <row r="870" ht="15" hidden="1" customHeight="1" x14ac:dyDescent="0.25"/>
    <row r="871" ht="15" hidden="1" customHeight="1" x14ac:dyDescent="0.25"/>
    <row r="872" ht="15" hidden="1" customHeight="1" x14ac:dyDescent="0.25"/>
    <row r="873" ht="15" hidden="1" customHeight="1" x14ac:dyDescent="0.25"/>
    <row r="874" ht="15" hidden="1" customHeight="1" x14ac:dyDescent="0.25"/>
    <row r="875" ht="15" hidden="1" customHeight="1" x14ac:dyDescent="0.25"/>
    <row r="876" ht="15" hidden="1" customHeight="1" x14ac:dyDescent="0.25"/>
    <row r="877" ht="15" hidden="1" customHeight="1" x14ac:dyDescent="0.25"/>
    <row r="878" ht="15" hidden="1" customHeight="1" x14ac:dyDescent="0.25"/>
    <row r="879" ht="15" hidden="1" customHeight="1" x14ac:dyDescent="0.25"/>
    <row r="880" ht="15" hidden="1" customHeight="1" x14ac:dyDescent="0.25"/>
    <row r="881" ht="15" hidden="1" customHeight="1" x14ac:dyDescent="0.25"/>
    <row r="882" ht="15" hidden="1" customHeight="1" x14ac:dyDescent="0.25"/>
    <row r="883" ht="15" hidden="1" customHeight="1" x14ac:dyDescent="0.25"/>
    <row r="884" ht="15" hidden="1" customHeight="1" x14ac:dyDescent="0.25"/>
    <row r="885" ht="15" hidden="1" customHeight="1" x14ac:dyDescent="0.25"/>
    <row r="886" ht="15" hidden="1" customHeight="1" x14ac:dyDescent="0.25"/>
    <row r="887" ht="15" hidden="1" customHeight="1" x14ac:dyDescent="0.25"/>
    <row r="888" ht="15" hidden="1" customHeight="1" x14ac:dyDescent="0.25"/>
    <row r="889" ht="15" hidden="1" customHeight="1" x14ac:dyDescent="0.25"/>
    <row r="890" ht="15" hidden="1" customHeight="1" x14ac:dyDescent="0.25"/>
    <row r="891" ht="15" hidden="1" customHeight="1" x14ac:dyDescent="0.25"/>
    <row r="892" ht="15" hidden="1" customHeight="1" x14ac:dyDescent="0.25"/>
    <row r="893" ht="15" hidden="1" customHeight="1" x14ac:dyDescent="0.25"/>
    <row r="894" ht="15" hidden="1" customHeight="1" x14ac:dyDescent="0.25"/>
    <row r="895" ht="15" hidden="1" customHeight="1" x14ac:dyDescent="0.25"/>
    <row r="896" ht="15" hidden="1" customHeight="1" x14ac:dyDescent="0.25"/>
    <row r="897" ht="15" hidden="1" customHeight="1" x14ac:dyDescent="0.25"/>
    <row r="898" ht="15" hidden="1" customHeight="1" x14ac:dyDescent="0.25"/>
    <row r="899" ht="15" hidden="1" customHeight="1" x14ac:dyDescent="0.25"/>
    <row r="900" ht="15" hidden="1" customHeight="1" x14ac:dyDescent="0.25"/>
    <row r="901" ht="15" hidden="1" customHeight="1" x14ac:dyDescent="0.25"/>
    <row r="902" ht="15" hidden="1" customHeight="1" x14ac:dyDescent="0.25"/>
    <row r="903" ht="15" hidden="1" customHeight="1" x14ac:dyDescent="0.25"/>
    <row r="904" ht="15" hidden="1" customHeight="1" x14ac:dyDescent="0.25"/>
    <row r="905" ht="15" hidden="1" customHeight="1" x14ac:dyDescent="0.25"/>
    <row r="906" ht="15" hidden="1" customHeight="1" x14ac:dyDescent="0.25"/>
    <row r="907" ht="15" hidden="1" customHeight="1" x14ac:dyDescent="0.25"/>
    <row r="908" ht="15" hidden="1" customHeight="1" x14ac:dyDescent="0.25"/>
    <row r="909" ht="15" hidden="1" customHeight="1" x14ac:dyDescent="0.25"/>
    <row r="910" ht="15" hidden="1" customHeight="1" x14ac:dyDescent="0.25"/>
    <row r="911" ht="15" hidden="1" customHeight="1" x14ac:dyDescent="0.25"/>
    <row r="912" ht="15" hidden="1" customHeight="1" x14ac:dyDescent="0.25"/>
    <row r="913" ht="15" hidden="1" customHeight="1" x14ac:dyDescent="0.25"/>
    <row r="914" ht="15" hidden="1" customHeight="1" x14ac:dyDescent="0.25"/>
    <row r="915" ht="15" hidden="1" customHeight="1" x14ac:dyDescent="0.25"/>
    <row r="916" ht="15" hidden="1" customHeight="1" x14ac:dyDescent="0.25"/>
    <row r="917" ht="15" hidden="1" customHeight="1" x14ac:dyDescent="0.25"/>
    <row r="918" ht="15" hidden="1" customHeight="1" x14ac:dyDescent="0.25"/>
    <row r="919" ht="15" hidden="1" customHeight="1" x14ac:dyDescent="0.25"/>
    <row r="920" ht="15" hidden="1" customHeight="1" x14ac:dyDescent="0.25"/>
    <row r="921" ht="15" hidden="1" customHeight="1" x14ac:dyDescent="0.25"/>
    <row r="922" ht="15" hidden="1" customHeight="1" x14ac:dyDescent="0.25"/>
    <row r="923" ht="15" hidden="1" customHeight="1" x14ac:dyDescent="0.25"/>
    <row r="924" ht="15" hidden="1" customHeight="1" x14ac:dyDescent="0.25"/>
    <row r="925" ht="15" hidden="1" customHeight="1" x14ac:dyDescent="0.25"/>
    <row r="926" ht="15" hidden="1" customHeight="1" x14ac:dyDescent="0.25"/>
    <row r="927" ht="15" hidden="1" customHeight="1" x14ac:dyDescent="0.25"/>
    <row r="928" ht="15" hidden="1" customHeight="1" x14ac:dyDescent="0.25"/>
    <row r="929" ht="15" hidden="1" customHeight="1" x14ac:dyDescent="0.25"/>
    <row r="930" ht="15" hidden="1" customHeight="1" x14ac:dyDescent="0.25"/>
    <row r="931" ht="15" hidden="1" customHeight="1" x14ac:dyDescent="0.25"/>
    <row r="932" ht="15" hidden="1" customHeight="1" x14ac:dyDescent="0.25"/>
    <row r="933" ht="15" hidden="1" customHeight="1" x14ac:dyDescent="0.25"/>
    <row r="934" ht="15" hidden="1" customHeight="1" x14ac:dyDescent="0.25"/>
    <row r="935" ht="15" hidden="1" customHeight="1" x14ac:dyDescent="0.25"/>
    <row r="936" ht="15" hidden="1" customHeight="1" x14ac:dyDescent="0.25"/>
    <row r="937" ht="15" hidden="1" customHeight="1" x14ac:dyDescent="0.25"/>
    <row r="938" ht="15" hidden="1" customHeight="1" x14ac:dyDescent="0.25"/>
    <row r="939" ht="15" hidden="1" customHeight="1" x14ac:dyDescent="0.25"/>
    <row r="940" ht="15" hidden="1" customHeight="1" x14ac:dyDescent="0.25"/>
    <row r="941" ht="15" hidden="1" customHeight="1" x14ac:dyDescent="0.25"/>
    <row r="942" ht="15" hidden="1" customHeight="1" x14ac:dyDescent="0.25"/>
    <row r="943" ht="15" hidden="1" customHeight="1" x14ac:dyDescent="0.25"/>
    <row r="944" ht="15" hidden="1" customHeight="1" x14ac:dyDescent="0.25"/>
    <row r="945" ht="15" hidden="1" customHeight="1" x14ac:dyDescent="0.25"/>
    <row r="946" ht="15" hidden="1" customHeight="1" x14ac:dyDescent="0.25"/>
    <row r="947" ht="15" hidden="1" customHeight="1" x14ac:dyDescent="0.25"/>
    <row r="948" ht="15" hidden="1" customHeight="1" x14ac:dyDescent="0.25"/>
    <row r="949" ht="15" hidden="1" customHeight="1" x14ac:dyDescent="0.25"/>
    <row r="950" ht="15" hidden="1" customHeight="1" x14ac:dyDescent="0.25"/>
    <row r="951" ht="15" hidden="1" customHeight="1" x14ac:dyDescent="0.25"/>
    <row r="952" ht="15" hidden="1" customHeight="1" x14ac:dyDescent="0.25"/>
    <row r="953" ht="15" hidden="1" customHeight="1" x14ac:dyDescent="0.25"/>
    <row r="954" ht="15" hidden="1" customHeight="1" x14ac:dyDescent="0.25"/>
    <row r="955" ht="15" hidden="1" customHeight="1" x14ac:dyDescent="0.25"/>
    <row r="956" ht="15" hidden="1" customHeight="1" x14ac:dyDescent="0.25"/>
    <row r="957" ht="15" hidden="1" customHeight="1" x14ac:dyDescent="0.25"/>
    <row r="958" ht="15" hidden="1" customHeight="1" x14ac:dyDescent="0.25"/>
    <row r="959" ht="15" hidden="1" customHeight="1" x14ac:dyDescent="0.25"/>
    <row r="960" ht="15" hidden="1" customHeight="1" x14ac:dyDescent="0.25"/>
    <row r="961" ht="15" hidden="1" customHeight="1" x14ac:dyDescent="0.25"/>
    <row r="962" ht="15" hidden="1" customHeight="1" x14ac:dyDescent="0.25"/>
    <row r="963" ht="15" hidden="1" customHeight="1" x14ac:dyDescent="0.25"/>
    <row r="964" ht="15" hidden="1" customHeight="1" x14ac:dyDescent="0.25"/>
    <row r="965" ht="15" hidden="1" customHeight="1" x14ac:dyDescent="0.25"/>
    <row r="966" ht="15" hidden="1" customHeight="1" x14ac:dyDescent="0.25"/>
    <row r="967" ht="15" hidden="1" customHeight="1" x14ac:dyDescent="0.25"/>
    <row r="968" ht="15" hidden="1" customHeight="1" x14ac:dyDescent="0.25"/>
    <row r="969" ht="15" hidden="1" customHeight="1" x14ac:dyDescent="0.25"/>
    <row r="970" ht="15" hidden="1" customHeight="1" x14ac:dyDescent="0.25"/>
    <row r="971" ht="15" hidden="1" customHeight="1" x14ac:dyDescent="0.25"/>
    <row r="972" ht="15" hidden="1" customHeight="1" x14ac:dyDescent="0.25"/>
    <row r="973" ht="15" hidden="1" customHeight="1" x14ac:dyDescent="0.25"/>
    <row r="974" ht="15" hidden="1" customHeight="1" x14ac:dyDescent="0.25"/>
    <row r="975" ht="15" hidden="1" customHeight="1" x14ac:dyDescent="0.25"/>
    <row r="976" ht="15" hidden="1" customHeight="1" x14ac:dyDescent="0.25"/>
    <row r="977" ht="15" hidden="1" customHeight="1" x14ac:dyDescent="0.25"/>
    <row r="978" ht="15" hidden="1" customHeight="1" x14ac:dyDescent="0.25"/>
    <row r="979" ht="15" hidden="1" customHeight="1" x14ac:dyDescent="0.25"/>
    <row r="980" ht="15" hidden="1" customHeight="1" x14ac:dyDescent="0.25"/>
    <row r="981" ht="15" hidden="1" customHeight="1" x14ac:dyDescent="0.25"/>
    <row r="982" ht="15" hidden="1" customHeight="1" x14ac:dyDescent="0.25"/>
    <row r="983" ht="15" hidden="1" customHeight="1" x14ac:dyDescent="0.25"/>
    <row r="984" ht="15" hidden="1" customHeight="1" x14ac:dyDescent="0.25"/>
    <row r="985" ht="15" hidden="1" customHeight="1" x14ac:dyDescent="0.25"/>
    <row r="986" ht="15" hidden="1" customHeight="1" x14ac:dyDescent="0.25"/>
    <row r="987" ht="15" hidden="1" customHeight="1" x14ac:dyDescent="0.25"/>
    <row r="988" ht="15" hidden="1" customHeight="1" x14ac:dyDescent="0.25"/>
    <row r="989" ht="15" hidden="1" customHeight="1" x14ac:dyDescent="0.25"/>
    <row r="990" ht="15" hidden="1" customHeight="1" x14ac:dyDescent="0.25"/>
    <row r="991" ht="15" hidden="1" customHeight="1" x14ac:dyDescent="0.25"/>
    <row r="992" ht="15" hidden="1" customHeight="1" x14ac:dyDescent="0.25"/>
    <row r="993" ht="15" hidden="1" customHeight="1" x14ac:dyDescent="0.25"/>
    <row r="994" ht="15" hidden="1" customHeight="1" x14ac:dyDescent="0.25"/>
    <row r="995" ht="15" hidden="1" customHeight="1" x14ac:dyDescent="0.25"/>
    <row r="996" ht="15" hidden="1" customHeight="1" x14ac:dyDescent="0.25"/>
    <row r="997" ht="15" hidden="1" customHeight="1" x14ac:dyDescent="0.25"/>
    <row r="998" ht="15" hidden="1" customHeight="1" x14ac:dyDescent="0.25"/>
    <row r="999" ht="15" hidden="1" customHeight="1" x14ac:dyDescent="0.25"/>
    <row r="1000" ht="15" hidden="1" customHeight="1" x14ac:dyDescent="0.25"/>
    <row r="1001" ht="15" hidden="1" customHeight="1" x14ac:dyDescent="0.25"/>
    <row r="1002" ht="15" hidden="1" customHeight="1" x14ac:dyDescent="0.25"/>
    <row r="1003" ht="15" hidden="1" customHeight="1" x14ac:dyDescent="0.25"/>
    <row r="1004" ht="15" hidden="1" customHeight="1" x14ac:dyDescent="0.25"/>
    <row r="1005" ht="15" hidden="1" customHeight="1" x14ac:dyDescent="0.25"/>
    <row r="1006" ht="15" hidden="1" customHeight="1" x14ac:dyDescent="0.25"/>
    <row r="1007" ht="15" hidden="1" customHeight="1" x14ac:dyDescent="0.25"/>
    <row r="1008" ht="15" hidden="1" customHeight="1" x14ac:dyDescent="0.25"/>
    <row r="1009" ht="15" hidden="1" customHeight="1" x14ac:dyDescent="0.25"/>
    <row r="1010" ht="15" hidden="1" customHeight="1" x14ac:dyDescent="0.25"/>
    <row r="1011" ht="15" hidden="1" customHeight="1" x14ac:dyDescent="0.25"/>
    <row r="1012" ht="15" hidden="1" customHeight="1" x14ac:dyDescent="0.25"/>
    <row r="1013" ht="15" hidden="1" customHeight="1" x14ac:dyDescent="0.25"/>
    <row r="1014" ht="15" hidden="1" customHeight="1" x14ac:dyDescent="0.25"/>
    <row r="1015" ht="15" hidden="1" customHeight="1" x14ac:dyDescent="0.25"/>
    <row r="1016" ht="15" hidden="1" customHeight="1" x14ac:dyDescent="0.25"/>
    <row r="1017" ht="15" hidden="1" customHeight="1" x14ac:dyDescent="0.25"/>
    <row r="1018" ht="15" hidden="1" customHeight="1" x14ac:dyDescent="0.25"/>
    <row r="1019" ht="15" hidden="1" customHeight="1" x14ac:dyDescent="0.25"/>
    <row r="1020" ht="15" hidden="1" customHeight="1" x14ac:dyDescent="0.25"/>
    <row r="1021" ht="15" hidden="1" customHeight="1" x14ac:dyDescent="0.25"/>
    <row r="1022" ht="15" hidden="1" customHeight="1" x14ac:dyDescent="0.25"/>
    <row r="1023" ht="15" hidden="1" customHeight="1" x14ac:dyDescent="0.25"/>
    <row r="1024" ht="15" hidden="1" customHeight="1" x14ac:dyDescent="0.25"/>
    <row r="1025" ht="15" hidden="1" customHeight="1" x14ac:dyDescent="0.25"/>
    <row r="1026" ht="15" hidden="1" customHeight="1" x14ac:dyDescent="0.25"/>
    <row r="1027" ht="15" hidden="1" customHeight="1" x14ac:dyDescent="0.25"/>
    <row r="1028" ht="15" hidden="1" customHeight="1" x14ac:dyDescent="0.25"/>
    <row r="1029" ht="15" hidden="1" customHeight="1" x14ac:dyDescent="0.25"/>
    <row r="1030" ht="15" hidden="1" customHeight="1" x14ac:dyDescent="0.25"/>
    <row r="1031" ht="15" hidden="1" customHeight="1" x14ac:dyDescent="0.25"/>
    <row r="1032" ht="15" hidden="1" customHeight="1" x14ac:dyDescent="0.25"/>
    <row r="1033" ht="15" hidden="1" customHeight="1" x14ac:dyDescent="0.25"/>
    <row r="1034" ht="15" hidden="1" customHeight="1" x14ac:dyDescent="0.25"/>
    <row r="1035" ht="15" hidden="1" customHeight="1" x14ac:dyDescent="0.25"/>
    <row r="1036" ht="15" hidden="1" customHeight="1" x14ac:dyDescent="0.25"/>
    <row r="1037" ht="15" hidden="1" customHeight="1" x14ac:dyDescent="0.25"/>
    <row r="1038" ht="15" hidden="1" customHeight="1" x14ac:dyDescent="0.25"/>
    <row r="1039" ht="15" hidden="1" customHeight="1" x14ac:dyDescent="0.25"/>
    <row r="1040" ht="15" hidden="1" customHeight="1" x14ac:dyDescent="0.25"/>
    <row r="1041" ht="15" hidden="1" customHeight="1" x14ac:dyDescent="0.25"/>
    <row r="1042" ht="15" hidden="1" customHeight="1" x14ac:dyDescent="0.25"/>
    <row r="1043" ht="15" hidden="1" customHeight="1" x14ac:dyDescent="0.25"/>
    <row r="1044" ht="15" hidden="1" customHeight="1" x14ac:dyDescent="0.25"/>
    <row r="1045" ht="15" hidden="1" customHeight="1" x14ac:dyDescent="0.25"/>
    <row r="1046" ht="15" hidden="1" customHeight="1" x14ac:dyDescent="0.25"/>
    <row r="1047" ht="15" hidden="1" customHeight="1" x14ac:dyDescent="0.25"/>
    <row r="1048" ht="15" hidden="1" customHeight="1" x14ac:dyDescent="0.25"/>
    <row r="1049" ht="15" hidden="1" customHeight="1" x14ac:dyDescent="0.25"/>
    <row r="1050" ht="15" hidden="1" customHeight="1" x14ac:dyDescent="0.25"/>
    <row r="1051" ht="15" hidden="1" customHeight="1" x14ac:dyDescent="0.25"/>
    <row r="1052" ht="15" hidden="1" customHeight="1" x14ac:dyDescent="0.25"/>
    <row r="1053" ht="15" hidden="1" customHeight="1" x14ac:dyDescent="0.25"/>
    <row r="1054" ht="15" hidden="1" customHeight="1" x14ac:dyDescent="0.25"/>
    <row r="1055" ht="15" hidden="1" customHeight="1" x14ac:dyDescent="0.25"/>
    <row r="1056" ht="15" hidden="1" customHeight="1" x14ac:dyDescent="0.25"/>
    <row r="1057" ht="15" hidden="1" customHeight="1" x14ac:dyDescent="0.25"/>
    <row r="1058" ht="15" hidden="1" customHeight="1" x14ac:dyDescent="0.25"/>
    <row r="1059" ht="15" hidden="1" customHeight="1" x14ac:dyDescent="0.25"/>
    <row r="1060" ht="15" hidden="1" customHeight="1" x14ac:dyDescent="0.25"/>
    <row r="1061" ht="15" hidden="1" customHeight="1" x14ac:dyDescent="0.25"/>
    <row r="1062" ht="15" hidden="1" customHeight="1" x14ac:dyDescent="0.25"/>
    <row r="1063" ht="15" hidden="1" customHeight="1" x14ac:dyDescent="0.25"/>
    <row r="1064" ht="15" hidden="1" customHeight="1" x14ac:dyDescent="0.25"/>
    <row r="1065" ht="15" hidden="1" customHeight="1" x14ac:dyDescent="0.25"/>
    <row r="1066" ht="15" hidden="1" customHeight="1" x14ac:dyDescent="0.25"/>
    <row r="1067" ht="15" hidden="1" customHeight="1" x14ac:dyDescent="0.25"/>
    <row r="1068" ht="15" hidden="1" customHeight="1" x14ac:dyDescent="0.25"/>
    <row r="1069" ht="15" hidden="1" customHeight="1" x14ac:dyDescent="0.25"/>
    <row r="1070" ht="15" hidden="1" customHeight="1" x14ac:dyDescent="0.25"/>
    <row r="1071" ht="15" hidden="1" customHeight="1" x14ac:dyDescent="0.25"/>
    <row r="1072" ht="15" hidden="1" customHeight="1" x14ac:dyDescent="0.25"/>
    <row r="1073" ht="15" hidden="1" customHeight="1" x14ac:dyDescent="0.25"/>
    <row r="1074" ht="15" hidden="1" customHeight="1" x14ac:dyDescent="0.25"/>
    <row r="1075" ht="15" hidden="1" customHeight="1" x14ac:dyDescent="0.25"/>
    <row r="1076" ht="15" hidden="1" customHeight="1" x14ac:dyDescent="0.25"/>
    <row r="1077" ht="15" hidden="1" customHeight="1" x14ac:dyDescent="0.25"/>
    <row r="1078" ht="15" hidden="1" customHeight="1" x14ac:dyDescent="0.25"/>
    <row r="1079" ht="15" hidden="1" customHeight="1" x14ac:dyDescent="0.25"/>
    <row r="1080" ht="15" hidden="1" customHeight="1" x14ac:dyDescent="0.25"/>
    <row r="1081" ht="15" hidden="1" customHeight="1" x14ac:dyDescent="0.25"/>
    <row r="1082" ht="15" hidden="1" customHeight="1" x14ac:dyDescent="0.25"/>
    <row r="1083" ht="15" hidden="1" customHeight="1" x14ac:dyDescent="0.25"/>
    <row r="1084" ht="15" hidden="1" customHeight="1" x14ac:dyDescent="0.25"/>
    <row r="1085" ht="15" hidden="1" customHeight="1" x14ac:dyDescent="0.25"/>
    <row r="1086" ht="15" hidden="1" customHeight="1" x14ac:dyDescent="0.25"/>
    <row r="1087" ht="15" hidden="1" customHeight="1" x14ac:dyDescent="0.25"/>
    <row r="1088" ht="15" hidden="1" customHeight="1" x14ac:dyDescent="0.25"/>
    <row r="1089" ht="15" hidden="1" customHeight="1" x14ac:dyDescent="0.25"/>
    <row r="1090" ht="15" hidden="1" customHeight="1" x14ac:dyDescent="0.25"/>
    <row r="1091" ht="15" hidden="1" customHeight="1" x14ac:dyDescent="0.25"/>
    <row r="1092" ht="15" hidden="1" customHeight="1" x14ac:dyDescent="0.25"/>
    <row r="1093" ht="15" hidden="1" customHeight="1" x14ac:dyDescent="0.25"/>
    <row r="1094" ht="15" hidden="1" customHeight="1" x14ac:dyDescent="0.25"/>
    <row r="1095" ht="15" hidden="1" customHeight="1" x14ac:dyDescent="0.25"/>
    <row r="1096" ht="15" hidden="1" customHeight="1" x14ac:dyDescent="0.25"/>
    <row r="1097" ht="15" hidden="1" customHeight="1" x14ac:dyDescent="0.25"/>
    <row r="1098" ht="15" hidden="1" customHeight="1" x14ac:dyDescent="0.25"/>
    <row r="1099" ht="15" hidden="1" customHeight="1" x14ac:dyDescent="0.25"/>
    <row r="1100" ht="15" hidden="1" customHeight="1" x14ac:dyDescent="0.25"/>
    <row r="1101" ht="15" hidden="1" customHeight="1" x14ac:dyDescent="0.25"/>
    <row r="1102" ht="15" hidden="1" customHeight="1" x14ac:dyDescent="0.25"/>
    <row r="1103" ht="15" hidden="1" customHeight="1" x14ac:dyDescent="0.25"/>
    <row r="1104" ht="15" hidden="1" customHeight="1" x14ac:dyDescent="0.25"/>
    <row r="1105" ht="15" hidden="1" customHeight="1" x14ac:dyDescent="0.25"/>
    <row r="1106" ht="15" hidden="1" customHeight="1" x14ac:dyDescent="0.25"/>
    <row r="1107" ht="15" hidden="1" customHeight="1" x14ac:dyDescent="0.25"/>
    <row r="1108" ht="15" hidden="1" customHeight="1" x14ac:dyDescent="0.25"/>
    <row r="1109" ht="15" hidden="1" customHeight="1" x14ac:dyDescent="0.25"/>
    <row r="1110" ht="15" hidden="1" customHeight="1" x14ac:dyDescent="0.25"/>
    <row r="1111" ht="15" hidden="1"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20" ht="15" hidden="1" customHeight="1" x14ac:dyDescent="0.25"/>
    <row r="1121" ht="15" hidden="1" customHeight="1" x14ac:dyDescent="0.25"/>
    <row r="1122" ht="15" hidden="1" customHeight="1" x14ac:dyDescent="0.25"/>
    <row r="1123" ht="15" hidden="1" customHeight="1" x14ac:dyDescent="0.25"/>
    <row r="1124" ht="15" hidden="1" customHeight="1" x14ac:dyDescent="0.25"/>
    <row r="1125" ht="15" hidden="1" customHeight="1" x14ac:dyDescent="0.25"/>
    <row r="1126" ht="15" hidden="1" customHeight="1" x14ac:dyDescent="0.25"/>
    <row r="1127" ht="15" hidden="1" customHeight="1" x14ac:dyDescent="0.25"/>
    <row r="1128" ht="15" hidden="1" customHeight="1" x14ac:dyDescent="0.25"/>
    <row r="1129" ht="15" hidden="1" customHeight="1" x14ac:dyDescent="0.25"/>
    <row r="1130" ht="15" hidden="1" customHeight="1" x14ac:dyDescent="0.25"/>
    <row r="1131" ht="15" hidden="1" customHeight="1" x14ac:dyDescent="0.25"/>
    <row r="1132" ht="15" hidden="1" customHeight="1" x14ac:dyDescent="0.25"/>
    <row r="1133" ht="15" hidden="1" customHeight="1" x14ac:dyDescent="0.25"/>
    <row r="1134" ht="15" hidden="1" customHeight="1" x14ac:dyDescent="0.25"/>
    <row r="1135" ht="15" hidden="1" customHeight="1" x14ac:dyDescent="0.25"/>
    <row r="1136" ht="15" hidden="1" customHeight="1" x14ac:dyDescent="0.25"/>
    <row r="1137" ht="15" hidden="1" customHeight="1" x14ac:dyDescent="0.25"/>
    <row r="1138" ht="15" hidden="1" customHeight="1" x14ac:dyDescent="0.25"/>
    <row r="1139" ht="15" hidden="1" customHeight="1" x14ac:dyDescent="0.25"/>
    <row r="1140" ht="15" hidden="1" customHeight="1" x14ac:dyDescent="0.25"/>
    <row r="1141" ht="15" hidden="1" customHeight="1" x14ac:dyDescent="0.25"/>
    <row r="1142" ht="15" hidden="1" customHeight="1" x14ac:dyDescent="0.25"/>
    <row r="1143" ht="15" hidden="1" customHeight="1" x14ac:dyDescent="0.25"/>
    <row r="1144" ht="15" hidden="1" customHeight="1" x14ac:dyDescent="0.25"/>
    <row r="1145" ht="15" hidden="1" customHeight="1" x14ac:dyDescent="0.25"/>
    <row r="1146" ht="15" hidden="1" customHeight="1" x14ac:dyDescent="0.25"/>
    <row r="1147" ht="15" hidden="1"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53" ht="15" hidden="1" customHeight="1" x14ac:dyDescent="0.25"/>
    <row r="1154" ht="15" hidden="1" customHeight="1" x14ac:dyDescent="0.25"/>
    <row r="1155" ht="15" hidden="1" customHeight="1" x14ac:dyDescent="0.25"/>
    <row r="1156" ht="15" hidden="1" customHeight="1" x14ac:dyDescent="0.25"/>
    <row r="1157" ht="15" hidden="1" customHeight="1" x14ac:dyDescent="0.25"/>
    <row r="1158" ht="15" hidden="1" customHeight="1" x14ac:dyDescent="0.25"/>
    <row r="1159" ht="15" hidden="1" customHeight="1" x14ac:dyDescent="0.25"/>
    <row r="1160" ht="15" hidden="1" customHeight="1" x14ac:dyDescent="0.25"/>
    <row r="1161" ht="15" hidden="1" customHeight="1" x14ac:dyDescent="0.25"/>
    <row r="1162" ht="15" hidden="1" customHeight="1" x14ac:dyDescent="0.25"/>
    <row r="1163" ht="15" hidden="1" customHeight="1" x14ac:dyDescent="0.25"/>
    <row r="1164" ht="15" hidden="1" customHeight="1" x14ac:dyDescent="0.25"/>
    <row r="1165" ht="15" hidden="1" customHeight="1" x14ac:dyDescent="0.25"/>
    <row r="1166" ht="15" hidden="1" customHeight="1" x14ac:dyDescent="0.25"/>
    <row r="1167" ht="15" hidden="1" customHeight="1" x14ac:dyDescent="0.25"/>
    <row r="1168" ht="15" hidden="1" customHeight="1" x14ac:dyDescent="0.25"/>
    <row r="1169" ht="15" hidden="1" customHeight="1" x14ac:dyDescent="0.25"/>
    <row r="1170" ht="15" hidden="1" customHeight="1" x14ac:dyDescent="0.25"/>
    <row r="1171" ht="15" hidden="1" customHeight="1" x14ac:dyDescent="0.25"/>
    <row r="1172" ht="15" hidden="1" customHeight="1" x14ac:dyDescent="0.25"/>
    <row r="1173" ht="15" hidden="1" customHeight="1" x14ac:dyDescent="0.25"/>
    <row r="1174" ht="15" hidden="1" customHeight="1" x14ac:dyDescent="0.25"/>
    <row r="1175" ht="15" hidden="1" customHeight="1" x14ac:dyDescent="0.25"/>
    <row r="1176" ht="15" hidden="1" customHeight="1" x14ac:dyDescent="0.25"/>
    <row r="1177" ht="15" hidden="1" customHeight="1" x14ac:dyDescent="0.25"/>
    <row r="1178" ht="15" hidden="1" customHeight="1" x14ac:dyDescent="0.25"/>
    <row r="1179" ht="15" hidden="1" customHeight="1" x14ac:dyDescent="0.25"/>
    <row r="1180" ht="15" hidden="1" customHeight="1" x14ac:dyDescent="0.25"/>
    <row r="1181" ht="15" hidden="1" customHeight="1" x14ac:dyDescent="0.25"/>
    <row r="1182" ht="15" hidden="1" customHeight="1" x14ac:dyDescent="0.25"/>
    <row r="1183" ht="15" hidden="1" customHeight="1" x14ac:dyDescent="0.25"/>
    <row r="1184" ht="15" hidden="1" customHeight="1" x14ac:dyDescent="0.25"/>
    <row r="1185" ht="15" hidden="1" customHeight="1" x14ac:dyDescent="0.25"/>
    <row r="1186" ht="15" hidden="1" customHeight="1" x14ac:dyDescent="0.25"/>
    <row r="1187" ht="15" hidden="1" customHeight="1" x14ac:dyDescent="0.25"/>
    <row r="1188" ht="15" hidden="1" customHeight="1" x14ac:dyDescent="0.25"/>
    <row r="1189" ht="15" hidden="1" customHeight="1" x14ac:dyDescent="0.25"/>
    <row r="1190" ht="15" hidden="1" customHeight="1" x14ac:dyDescent="0.25"/>
    <row r="1191" ht="15" hidden="1" customHeight="1" x14ac:dyDescent="0.25"/>
    <row r="1192" ht="15" hidden="1" customHeight="1" x14ac:dyDescent="0.25"/>
    <row r="1193" ht="15" hidden="1" customHeight="1" x14ac:dyDescent="0.25"/>
    <row r="1194" ht="15" hidden="1" customHeight="1" x14ac:dyDescent="0.25"/>
    <row r="1195" ht="15" hidden="1" customHeight="1" x14ac:dyDescent="0.25"/>
    <row r="1196" ht="15" hidden="1" customHeight="1" x14ac:dyDescent="0.25"/>
    <row r="1197" ht="15" hidden="1" customHeight="1" x14ac:dyDescent="0.25"/>
    <row r="1198" ht="15" hidden="1" customHeight="1" x14ac:dyDescent="0.25"/>
    <row r="1199" ht="15" hidden="1" customHeight="1" x14ac:dyDescent="0.25"/>
    <row r="1200" ht="15" hidden="1" customHeight="1" x14ac:dyDescent="0.25"/>
    <row r="1201" ht="15" hidden="1" customHeight="1" x14ac:dyDescent="0.25"/>
    <row r="1202" ht="15" hidden="1" customHeight="1" x14ac:dyDescent="0.25"/>
    <row r="1203" ht="15" hidden="1" customHeight="1" x14ac:dyDescent="0.25"/>
    <row r="1204" ht="15" hidden="1" customHeight="1" x14ac:dyDescent="0.25"/>
    <row r="1205" ht="15" hidden="1" customHeight="1" x14ac:dyDescent="0.25"/>
    <row r="1206" ht="15" hidden="1" customHeight="1" x14ac:dyDescent="0.25"/>
    <row r="1207" ht="15" hidden="1" customHeight="1" x14ac:dyDescent="0.25"/>
    <row r="1208" ht="15" hidden="1" customHeight="1" x14ac:dyDescent="0.25"/>
    <row r="1209" ht="15" hidden="1"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sheetData>
  <sheetProtection algorithmName="SHA-512" hashValue="Ak7rrldkOpiGlufh7t2sFQKE9PHpnNucZPDi5n2TTlXT7jAc/F76B9F3GUzj+aajrECCL+PP+wCu72t7A/lyYQ==" saltValue="FzL/xIVBoQfVeZKukrFabg==" spinCount="100000" sheet="1" objects="1" scenarios="1" selectLockedCells="1" selectUnlockedCells="1"/>
  <mergeCells count="152">
    <mergeCell ref="J243:J246"/>
    <mergeCell ref="K243:K246"/>
    <mergeCell ref="L243:L246"/>
    <mergeCell ref="E255:E305"/>
    <mergeCell ref="D255:D305"/>
    <mergeCell ref="E239:E241"/>
    <mergeCell ref="D239:D241"/>
    <mergeCell ref="D306:D391"/>
    <mergeCell ref="E306:E391"/>
    <mergeCell ref="F306:F391"/>
    <mergeCell ref="G306:G391"/>
    <mergeCell ref="H306:H391"/>
    <mergeCell ref="F243:F246"/>
    <mergeCell ref="G243:G246"/>
    <mergeCell ref="H243:H246"/>
    <mergeCell ref="E243:E250"/>
    <mergeCell ref="D243:D250"/>
    <mergeCell ref="D186:D212"/>
    <mergeCell ref="E186:E212"/>
    <mergeCell ref="F186:F212"/>
    <mergeCell ref="G186:G212"/>
    <mergeCell ref="H186:H212"/>
    <mergeCell ref="I186:I212"/>
    <mergeCell ref="J186:J212"/>
    <mergeCell ref="K186:K212"/>
    <mergeCell ref="D213:D235"/>
    <mergeCell ref="E213:E235"/>
    <mergeCell ref="F213:F235"/>
    <mergeCell ref="G213:G235"/>
    <mergeCell ref="H213:H235"/>
    <mergeCell ref="I213:I235"/>
    <mergeCell ref="J213:J235"/>
    <mergeCell ref="K213:K235"/>
    <mergeCell ref="D162:D185"/>
    <mergeCell ref="E162:E185"/>
    <mergeCell ref="F162:F185"/>
    <mergeCell ref="G162:G185"/>
    <mergeCell ref="H162:H185"/>
    <mergeCell ref="I162:I185"/>
    <mergeCell ref="J162:J185"/>
    <mergeCell ref="K162:K185"/>
    <mergeCell ref="L162:L185"/>
    <mergeCell ref="D138:D161"/>
    <mergeCell ref="E138:E161"/>
    <mergeCell ref="F138:F161"/>
    <mergeCell ref="G138:G161"/>
    <mergeCell ref="H138:H161"/>
    <mergeCell ref="I138:I161"/>
    <mergeCell ref="J138:J161"/>
    <mergeCell ref="K138:K161"/>
    <mergeCell ref="L138:L161"/>
    <mergeCell ref="D114:D137"/>
    <mergeCell ref="E114:E137"/>
    <mergeCell ref="F114:F137"/>
    <mergeCell ref="G114:G137"/>
    <mergeCell ref="H114:H137"/>
    <mergeCell ref="I114:I137"/>
    <mergeCell ref="J114:J137"/>
    <mergeCell ref="K8:K90"/>
    <mergeCell ref="L8:L90"/>
    <mergeCell ref="D92:D110"/>
    <mergeCell ref="E92:E110"/>
    <mergeCell ref="F92:F110"/>
    <mergeCell ref="G92:G110"/>
    <mergeCell ref="H92:H110"/>
    <mergeCell ref="I92:I110"/>
    <mergeCell ref="J92:J110"/>
    <mergeCell ref="K92:K110"/>
    <mergeCell ref="L92:L110"/>
    <mergeCell ref="F400:F402"/>
    <mergeCell ref="M400:M402"/>
    <mergeCell ref="L400:L402"/>
    <mergeCell ref="K400:K402"/>
    <mergeCell ref="J400:J402"/>
    <mergeCell ref="I400:I402"/>
    <mergeCell ref="H400:H402"/>
    <mergeCell ref="G400:G402"/>
    <mergeCell ref="M92:M110"/>
    <mergeCell ref="M213:M235"/>
    <mergeCell ref="M306:M391"/>
    <mergeCell ref="F255:F303"/>
    <mergeCell ref="G255:G303"/>
    <mergeCell ref="H255:H303"/>
    <mergeCell ref="I255:I303"/>
    <mergeCell ref="J255:J303"/>
    <mergeCell ref="K255:K303"/>
    <mergeCell ref="L255:L303"/>
    <mergeCell ref="I306:I391"/>
    <mergeCell ref="J306:J391"/>
    <mergeCell ref="K306:K391"/>
    <mergeCell ref="L306:L391"/>
    <mergeCell ref="I243:I246"/>
    <mergeCell ref="M243:M250"/>
    <mergeCell ref="A2:A5"/>
    <mergeCell ref="B2:W2"/>
    <mergeCell ref="A8:A90"/>
    <mergeCell ref="B8:B90"/>
    <mergeCell ref="C8:C90"/>
    <mergeCell ref="D8:D90"/>
    <mergeCell ref="E8:E90"/>
    <mergeCell ref="F8:F90"/>
    <mergeCell ref="G8:G90"/>
    <mergeCell ref="M8:M90"/>
    <mergeCell ref="N8:N90"/>
    <mergeCell ref="X2:Y2"/>
    <mergeCell ref="B3:W3"/>
    <mergeCell ref="X3:Y3"/>
    <mergeCell ref="B4:W5"/>
    <mergeCell ref="X4:Y4"/>
    <mergeCell ref="X5:Y5"/>
    <mergeCell ref="O222:O224"/>
    <mergeCell ref="P217:P224"/>
    <mergeCell ref="Q220:Q224"/>
    <mergeCell ref="R222:R224"/>
    <mergeCell ref="H8:H90"/>
    <mergeCell ref="I8:I90"/>
    <mergeCell ref="J8:J90"/>
    <mergeCell ref="N92:N112"/>
    <mergeCell ref="N114:N412"/>
    <mergeCell ref="P195:P197"/>
    <mergeCell ref="Q194:Q197"/>
    <mergeCell ref="R195:R197"/>
    <mergeCell ref="P123:P125"/>
    <mergeCell ref="Q123:Q125"/>
    <mergeCell ref="R123:R125"/>
    <mergeCell ref="P172:P173"/>
    <mergeCell ref="Q171:Q173"/>
    <mergeCell ref="R172:R173"/>
    <mergeCell ref="B92:B112"/>
    <mergeCell ref="P147:P149"/>
    <mergeCell ref="Q147:Q149"/>
    <mergeCell ref="R147:R149"/>
    <mergeCell ref="A92:A112"/>
    <mergeCell ref="C92:C112"/>
    <mergeCell ref="A114:A412"/>
    <mergeCell ref="B114:B412"/>
    <mergeCell ref="C114:C412"/>
    <mergeCell ref="L186:L212"/>
    <mergeCell ref="L213:L235"/>
    <mergeCell ref="O195:O197"/>
    <mergeCell ref="K114:K137"/>
    <mergeCell ref="L114:L137"/>
    <mergeCell ref="M114:M137"/>
    <mergeCell ref="M138:M161"/>
    <mergeCell ref="M162:M185"/>
    <mergeCell ref="M186:M212"/>
    <mergeCell ref="M255:M303"/>
    <mergeCell ref="O124:O125"/>
    <mergeCell ref="O171:O173"/>
    <mergeCell ref="O147:O149"/>
    <mergeCell ref="D400:D402"/>
    <mergeCell ref="E400:E402"/>
  </mergeCells>
  <conditionalFormatting sqref="S424:S1048576 S414 S92:S112 S7:S90 S114:S412">
    <cfRule type="cellIs" dxfId="239" priority="31" operator="between">
      <formula>0.51</formula>
      <formula>0.69</formula>
    </cfRule>
    <cfRule type="cellIs" dxfId="238" priority="32" operator="between">
      <formula>0.51</formula>
      <formula>0.69</formula>
    </cfRule>
    <cfRule type="cellIs" dxfId="237" priority="33" operator="lessThan">
      <formula>0.5</formula>
    </cfRule>
    <cfRule type="cellIs" dxfId="236" priority="34" operator="greaterThan">
      <formula>0.7</formula>
    </cfRule>
    <cfRule type="cellIs" dxfId="235" priority="35" operator="between">
      <formula>0.51</formula>
      <formula>0.69</formula>
    </cfRule>
    <cfRule type="cellIs" dxfId="234" priority="36" operator="lessThan">
      <formula>50</formula>
    </cfRule>
    <cfRule type="cellIs" dxfId="233" priority="37" operator="greaterThan">
      <formula>0.7</formula>
    </cfRule>
    <cfRule type="cellIs" dxfId="232" priority="38" operator="between">
      <formula>0.51</formula>
      <formula>0.69</formula>
    </cfRule>
    <cfRule type="cellIs" dxfId="231" priority="39" operator="lessThan">
      <formula>0.5</formula>
    </cfRule>
    <cfRule type="cellIs" dxfId="230" priority="40" operator="greaterThan">
      <formula>0.7</formula>
    </cfRule>
  </conditionalFormatting>
  <conditionalFormatting sqref="S91">
    <cfRule type="cellIs" dxfId="229" priority="21" operator="between">
      <formula>0.51</formula>
      <formula>0.69</formula>
    </cfRule>
    <cfRule type="cellIs" dxfId="228" priority="22" operator="between">
      <formula>0.51</formula>
      <formula>0.69</formula>
    </cfRule>
    <cfRule type="cellIs" dxfId="227" priority="23" operator="lessThan">
      <formula>0.5</formula>
    </cfRule>
    <cfRule type="cellIs" dxfId="226" priority="24" operator="greaterThan">
      <formula>0.7</formula>
    </cfRule>
    <cfRule type="cellIs" dxfId="225" priority="25" operator="between">
      <formula>0.51</formula>
      <formula>0.69</formula>
    </cfRule>
    <cfRule type="cellIs" dxfId="224" priority="26" operator="lessThan">
      <formula>50</formula>
    </cfRule>
    <cfRule type="cellIs" dxfId="223" priority="27" operator="greaterThan">
      <formula>0.7</formula>
    </cfRule>
    <cfRule type="cellIs" dxfId="222" priority="28" operator="between">
      <formula>0.51</formula>
      <formula>0.69</formula>
    </cfRule>
    <cfRule type="cellIs" dxfId="221" priority="29" operator="lessThan">
      <formula>0.5</formula>
    </cfRule>
    <cfRule type="cellIs" dxfId="220" priority="30" operator="greaterThan">
      <formula>0.7</formula>
    </cfRule>
  </conditionalFormatting>
  <conditionalFormatting sqref="S113">
    <cfRule type="cellIs" dxfId="219" priority="11" operator="between">
      <formula>0.51</formula>
      <formula>0.69</formula>
    </cfRule>
    <cfRule type="cellIs" dxfId="218" priority="12" operator="between">
      <formula>0.51</formula>
      <formula>0.69</formula>
    </cfRule>
    <cfRule type="cellIs" dxfId="217" priority="13" operator="lessThan">
      <formula>0.5</formula>
    </cfRule>
    <cfRule type="cellIs" dxfId="216" priority="14" operator="greaterThan">
      <formula>0.7</formula>
    </cfRule>
    <cfRule type="cellIs" dxfId="215" priority="15" operator="between">
      <formula>0.51</formula>
      <formula>0.69</formula>
    </cfRule>
    <cfRule type="cellIs" dxfId="214" priority="16" operator="lessThan">
      <formula>50</formula>
    </cfRule>
    <cfRule type="cellIs" dxfId="213" priority="17" operator="greaterThan">
      <formula>0.7</formula>
    </cfRule>
    <cfRule type="cellIs" dxfId="212" priority="18" operator="between">
      <formula>0.51</formula>
      <formula>0.69</formula>
    </cfRule>
    <cfRule type="cellIs" dxfId="211" priority="19" operator="lessThan">
      <formula>0.5</formula>
    </cfRule>
    <cfRule type="cellIs" dxfId="210" priority="20" operator="greaterThan">
      <formula>0.7</formula>
    </cfRule>
  </conditionalFormatting>
  <conditionalFormatting sqref="S413">
    <cfRule type="cellIs" dxfId="209" priority="1" operator="between">
      <formula>0.51</formula>
      <formula>0.69</formula>
    </cfRule>
    <cfRule type="cellIs" dxfId="208" priority="2" operator="between">
      <formula>0.51</formula>
      <formula>0.69</formula>
    </cfRule>
    <cfRule type="cellIs" dxfId="207" priority="3" operator="lessThan">
      <formula>0.5</formula>
    </cfRule>
    <cfRule type="cellIs" dxfId="206" priority="4" operator="greaterThan">
      <formula>0.7</formula>
    </cfRule>
    <cfRule type="cellIs" dxfId="205" priority="5" operator="between">
      <formula>0.51</formula>
      <formula>0.69</formula>
    </cfRule>
    <cfRule type="cellIs" dxfId="204" priority="6" operator="lessThan">
      <formula>50</formula>
    </cfRule>
    <cfRule type="cellIs" dxfId="203" priority="7" operator="greaterThan">
      <formula>0.7</formula>
    </cfRule>
    <cfRule type="cellIs" dxfId="202" priority="8" operator="between">
      <formula>0.51</formula>
      <formula>0.69</formula>
    </cfRule>
    <cfRule type="cellIs" dxfId="201" priority="9" operator="lessThan">
      <formula>0.5</formula>
    </cfRule>
    <cfRule type="cellIs" dxfId="200" priority="10" operator="greaterThan">
      <formula>0.7</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482B"/>
  </sheetPr>
  <dimension ref="A1:EF1178"/>
  <sheetViews>
    <sheetView showGridLines="0" topLeftCell="A7" zoomScale="80" zoomScaleNormal="80" workbookViewId="0">
      <pane ySplit="1" topLeftCell="A8" activePane="bottomLeft" state="frozen"/>
      <selection activeCell="B7" sqref="B7"/>
      <selection pane="bottomLeft" activeCell="P355" sqref="P355"/>
    </sheetView>
  </sheetViews>
  <sheetFormatPr baseColWidth="10" defaultColWidth="0" defaultRowHeight="0" customHeight="1" zeroHeight="1" x14ac:dyDescent="0.25"/>
  <cols>
    <col min="1" max="1" width="11.42578125" style="40" customWidth="1"/>
    <col min="2" max="2" width="41.28515625" style="40" customWidth="1"/>
    <col min="3" max="3" width="17.28515625" style="40" customWidth="1"/>
    <col min="4" max="4" width="14.7109375" style="40" customWidth="1"/>
    <col min="5" max="5" width="42.85546875" style="40" customWidth="1"/>
    <col min="6" max="6" width="21.140625" style="1" hidden="1" customWidth="1"/>
    <col min="7" max="7" width="19.85546875" style="40" hidden="1" customWidth="1"/>
    <col min="8" max="8" width="16.7109375" style="40" hidden="1" customWidth="1"/>
    <col min="9" max="9" width="18.5703125" style="201" hidden="1" customWidth="1"/>
    <col min="10" max="11" width="16.7109375" style="201" hidden="1" customWidth="1"/>
    <col min="12" max="12" width="17.42578125" style="40" hidden="1" customWidth="1"/>
    <col min="13" max="13" width="18.5703125" style="326" hidden="1" customWidth="1"/>
    <col min="14" max="14" width="16.7109375" style="40" hidden="1" customWidth="1"/>
    <col min="15" max="15" width="18.7109375" style="40" hidden="1" customWidth="1"/>
    <col min="16" max="16" width="18.7109375" style="40" customWidth="1"/>
    <col min="17" max="17" width="18.85546875" style="40" customWidth="1"/>
    <col min="18" max="18" width="15.7109375" style="40" customWidth="1"/>
    <col min="19" max="19" width="11.42578125" style="40" customWidth="1"/>
    <col min="20" max="20" width="15.42578125" style="40" customWidth="1"/>
    <col min="21" max="21" width="18.85546875" style="40" bestFit="1" customWidth="1"/>
    <col min="22" max="22" width="11.5703125" style="3" bestFit="1" customWidth="1"/>
    <col min="23" max="23" width="11.42578125" style="40" customWidth="1"/>
    <col min="24" max="24" width="16.7109375" style="35" bestFit="1" customWidth="1"/>
    <col min="25" max="25" width="18" style="40" customWidth="1"/>
    <col min="26" max="26" width="11.42578125" style="40" customWidth="1"/>
    <col min="27" max="27" width="14.5703125" style="35" customWidth="1"/>
    <col min="28" max="28" width="19" style="40" bestFit="1" customWidth="1"/>
    <col min="29" max="133" width="11.5703125" style="39" hidden="1" customWidth="1"/>
    <col min="134" max="136" width="11.5703125" style="40" hidden="1" customWidth="1"/>
    <col min="137" max="16384" width="11.42578125" style="40" hidden="1"/>
  </cols>
  <sheetData>
    <row r="1" spans="1:133" ht="15" hidden="1" x14ac:dyDescent="0.25">
      <c r="A1" s="24"/>
      <c r="B1" s="25"/>
      <c r="C1" s="25"/>
      <c r="D1" s="26"/>
      <c r="E1" s="26"/>
      <c r="F1" s="27"/>
      <c r="G1" s="28"/>
      <c r="H1" s="28"/>
      <c r="I1" s="28"/>
      <c r="J1" s="28"/>
      <c r="K1" s="28"/>
      <c r="L1" s="28"/>
      <c r="M1" s="28"/>
      <c r="N1" s="28"/>
      <c r="O1" s="29"/>
      <c r="P1" s="24"/>
      <c r="Q1" s="24"/>
      <c r="R1" s="24"/>
      <c r="S1" s="24"/>
      <c r="T1" s="24"/>
      <c r="U1" s="24"/>
      <c r="V1" s="24"/>
      <c r="W1" s="24"/>
      <c r="X1" s="36"/>
      <c r="Y1" s="24"/>
      <c r="Z1" s="24"/>
      <c r="AA1" s="36"/>
    </row>
    <row r="2" spans="1:133" ht="15" hidden="1" x14ac:dyDescent="0.25">
      <c r="A2" s="708"/>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30" t="s">
        <v>86</v>
      </c>
      <c r="AB2" s="730"/>
    </row>
    <row r="3" spans="1:133" ht="15" hidden="1"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0" t="s">
        <v>88</v>
      </c>
      <c r="AB3" s="730"/>
    </row>
    <row r="4" spans="1:133" ht="15" hidden="1"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0" t="s">
        <v>90</v>
      </c>
      <c r="AB4" s="730"/>
    </row>
    <row r="5" spans="1:133" ht="15" hidden="1" x14ac:dyDescent="0.25">
      <c r="A5" s="708"/>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0" t="s">
        <v>91</v>
      </c>
      <c r="AB5" s="730"/>
    </row>
    <row r="6" spans="1:133" ht="15" hidden="1" x14ac:dyDescent="0.25">
      <c r="A6" s="24"/>
      <c r="B6" s="24"/>
      <c r="C6" s="24"/>
      <c r="D6" s="24"/>
      <c r="E6" s="24"/>
      <c r="F6" s="24"/>
      <c r="G6" s="24"/>
      <c r="H6" s="24"/>
      <c r="I6" s="24"/>
      <c r="J6" s="24"/>
      <c r="K6" s="24"/>
      <c r="L6" s="24"/>
      <c r="M6" s="24"/>
      <c r="N6" s="24"/>
      <c r="O6" s="24"/>
      <c r="P6" s="24"/>
      <c r="Q6" s="24"/>
      <c r="R6" s="24"/>
      <c r="S6" s="24"/>
      <c r="T6" s="24"/>
      <c r="U6" s="24"/>
      <c r="V6" s="24"/>
      <c r="W6" s="24"/>
      <c r="X6" s="36"/>
      <c r="Y6" s="24"/>
      <c r="Z6" s="24"/>
      <c r="AA6" s="36"/>
    </row>
    <row r="7" spans="1:133" s="34" customFormat="1" ht="63.75" x14ac:dyDescent="0.25">
      <c r="A7" s="41" t="s">
        <v>0</v>
      </c>
      <c r="B7" s="41" t="s">
        <v>1</v>
      </c>
      <c r="C7" s="41" t="s">
        <v>2</v>
      </c>
      <c r="D7" s="41" t="s">
        <v>103</v>
      </c>
      <c r="E7" s="41" t="s">
        <v>30</v>
      </c>
      <c r="F7" s="41" t="s">
        <v>96</v>
      </c>
      <c r="G7" s="41" t="s">
        <v>97</v>
      </c>
      <c r="H7" s="41" t="s">
        <v>871</v>
      </c>
      <c r="I7" s="41" t="s">
        <v>1133</v>
      </c>
      <c r="J7" s="41" t="s">
        <v>1134</v>
      </c>
      <c r="K7" s="41" t="s">
        <v>1135</v>
      </c>
      <c r="L7" s="41" t="s">
        <v>1136</v>
      </c>
      <c r="M7" s="41" t="s">
        <v>1540</v>
      </c>
      <c r="N7" s="41" t="s">
        <v>98</v>
      </c>
      <c r="O7" s="41" t="s">
        <v>99</v>
      </c>
      <c r="P7" s="41" t="s">
        <v>3</v>
      </c>
      <c r="Q7" s="41" t="s">
        <v>4</v>
      </c>
      <c r="R7" s="41" t="s">
        <v>28</v>
      </c>
      <c r="S7" s="41" t="s">
        <v>21</v>
      </c>
      <c r="T7" s="41" t="s">
        <v>65</v>
      </c>
      <c r="U7" s="41" t="s">
        <v>31</v>
      </c>
      <c r="V7" s="32" t="s">
        <v>62</v>
      </c>
      <c r="W7" s="41" t="s">
        <v>22</v>
      </c>
      <c r="X7" s="37" t="s">
        <v>23</v>
      </c>
      <c r="Y7" s="41" t="s">
        <v>24</v>
      </c>
      <c r="Z7" s="41" t="s">
        <v>25</v>
      </c>
      <c r="AA7" s="37" t="s">
        <v>26</v>
      </c>
      <c r="AB7" s="41" t="s">
        <v>27</v>
      </c>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row>
    <row r="8" spans="1:133" s="50" customFormat="1" ht="27" customHeight="1" x14ac:dyDescent="0.25">
      <c r="A8" s="692" t="s">
        <v>182</v>
      </c>
      <c r="B8" s="689" t="s">
        <v>183</v>
      </c>
      <c r="C8" s="689" t="s">
        <v>16</v>
      </c>
      <c r="D8" s="692" t="s">
        <v>860</v>
      </c>
      <c r="E8" s="689" t="s">
        <v>133</v>
      </c>
      <c r="F8" s="710">
        <v>326818514</v>
      </c>
      <c r="G8" s="728">
        <v>0</v>
      </c>
      <c r="H8" s="692"/>
      <c r="I8" s="692"/>
      <c r="J8" s="710">
        <v>429935369</v>
      </c>
      <c r="K8" s="692"/>
      <c r="L8" s="692"/>
      <c r="M8" s="692"/>
      <c r="N8" s="710">
        <v>16311046</v>
      </c>
      <c r="O8" s="687">
        <v>14035276</v>
      </c>
      <c r="P8" s="810">
        <f>+F8+G8+H8+I8+J8+K8+L8+N8-O8</f>
        <v>759029653</v>
      </c>
      <c r="Q8" s="742">
        <f>+P313</f>
        <v>1319056859</v>
      </c>
      <c r="R8" s="833" t="s">
        <v>669</v>
      </c>
      <c r="S8" s="834">
        <v>1</v>
      </c>
      <c r="T8" s="832" t="s">
        <v>670</v>
      </c>
      <c r="U8" s="835">
        <v>283509811</v>
      </c>
      <c r="V8" s="46"/>
      <c r="W8" s="281">
        <v>31</v>
      </c>
      <c r="X8" s="282" t="s">
        <v>852</v>
      </c>
      <c r="Y8" s="259">
        <v>283509811</v>
      </c>
      <c r="Z8" s="38">
        <v>158</v>
      </c>
      <c r="AA8" s="122" t="s">
        <v>852</v>
      </c>
      <c r="AB8" s="275">
        <v>5997227</v>
      </c>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row>
    <row r="9" spans="1:133" s="50" customFormat="1" ht="15" x14ac:dyDescent="0.25">
      <c r="A9" s="693"/>
      <c r="B9" s="690"/>
      <c r="C9" s="690"/>
      <c r="D9" s="693"/>
      <c r="E9" s="690"/>
      <c r="F9" s="711"/>
      <c r="G9" s="735"/>
      <c r="H9" s="693"/>
      <c r="I9" s="693"/>
      <c r="J9" s="711"/>
      <c r="K9" s="693"/>
      <c r="L9" s="693"/>
      <c r="M9" s="693"/>
      <c r="N9" s="711"/>
      <c r="O9" s="688"/>
      <c r="P9" s="812"/>
      <c r="Q9" s="743"/>
      <c r="R9" s="833"/>
      <c r="S9" s="834"/>
      <c r="T9" s="816"/>
      <c r="U9" s="836"/>
      <c r="V9" s="46"/>
      <c r="W9" s="280"/>
      <c r="X9" s="283"/>
      <c r="Y9" s="260"/>
      <c r="Z9" s="38">
        <v>159</v>
      </c>
      <c r="AA9" s="122" t="s">
        <v>852</v>
      </c>
      <c r="AB9" s="275">
        <v>2737865</v>
      </c>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row>
    <row r="10" spans="1:133" s="50" customFormat="1" ht="15" x14ac:dyDescent="0.25">
      <c r="A10" s="693"/>
      <c r="B10" s="690"/>
      <c r="C10" s="690"/>
      <c r="D10" s="693"/>
      <c r="E10" s="690"/>
      <c r="F10" s="711"/>
      <c r="G10" s="735"/>
      <c r="H10" s="693"/>
      <c r="I10" s="693"/>
      <c r="J10" s="711"/>
      <c r="K10" s="693"/>
      <c r="L10" s="693"/>
      <c r="M10" s="693"/>
      <c r="N10" s="711"/>
      <c r="O10" s="688"/>
      <c r="P10" s="812"/>
      <c r="Q10" s="743"/>
      <c r="R10" s="833"/>
      <c r="S10" s="834"/>
      <c r="T10" s="816"/>
      <c r="U10" s="836"/>
      <c r="V10" s="46"/>
      <c r="W10" s="280"/>
      <c r="X10" s="283"/>
      <c r="Y10" s="260"/>
      <c r="Z10" s="38">
        <v>161</v>
      </c>
      <c r="AA10" s="122" t="s">
        <v>852</v>
      </c>
      <c r="AB10" s="275">
        <v>9815850</v>
      </c>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row>
    <row r="11" spans="1:133" s="50" customFormat="1" ht="15" x14ac:dyDescent="0.25">
      <c r="A11" s="693"/>
      <c r="B11" s="690"/>
      <c r="C11" s="690"/>
      <c r="D11" s="693"/>
      <c r="E11" s="690"/>
      <c r="F11" s="711"/>
      <c r="G11" s="735"/>
      <c r="H11" s="693"/>
      <c r="I11" s="693"/>
      <c r="J11" s="711"/>
      <c r="K11" s="693"/>
      <c r="L11" s="693"/>
      <c r="M11" s="693"/>
      <c r="N11" s="711"/>
      <c r="O11" s="688"/>
      <c r="P11" s="812"/>
      <c r="Q11" s="743"/>
      <c r="R11" s="833"/>
      <c r="S11" s="834"/>
      <c r="T11" s="816"/>
      <c r="U11" s="836"/>
      <c r="V11" s="46"/>
      <c r="W11" s="280"/>
      <c r="X11" s="283"/>
      <c r="Y11" s="260"/>
      <c r="Z11" s="38">
        <v>162</v>
      </c>
      <c r="AA11" s="122" t="s">
        <v>852</v>
      </c>
      <c r="AB11" s="275">
        <v>9815850</v>
      </c>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row>
    <row r="12" spans="1:133" s="50" customFormat="1" ht="15" x14ac:dyDescent="0.25">
      <c r="A12" s="693"/>
      <c r="B12" s="690"/>
      <c r="C12" s="690"/>
      <c r="D12" s="693"/>
      <c r="E12" s="690"/>
      <c r="F12" s="711"/>
      <c r="G12" s="735"/>
      <c r="H12" s="693"/>
      <c r="I12" s="693"/>
      <c r="J12" s="711"/>
      <c r="K12" s="693"/>
      <c r="L12" s="693"/>
      <c r="M12" s="693"/>
      <c r="N12" s="711"/>
      <c r="O12" s="688"/>
      <c r="P12" s="812"/>
      <c r="Q12" s="743"/>
      <c r="R12" s="833"/>
      <c r="S12" s="834"/>
      <c r="T12" s="816"/>
      <c r="U12" s="836"/>
      <c r="V12" s="46"/>
      <c r="W12" s="280"/>
      <c r="X12" s="283"/>
      <c r="Y12" s="260"/>
      <c r="Z12" s="38">
        <v>163</v>
      </c>
      <c r="AA12" s="122" t="s">
        <v>852</v>
      </c>
      <c r="AB12" s="275">
        <v>11167173</v>
      </c>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row>
    <row r="13" spans="1:133" s="50" customFormat="1" ht="15" x14ac:dyDescent="0.25">
      <c r="A13" s="693"/>
      <c r="B13" s="690"/>
      <c r="C13" s="690"/>
      <c r="D13" s="693"/>
      <c r="E13" s="690"/>
      <c r="F13" s="711"/>
      <c r="G13" s="735"/>
      <c r="H13" s="693"/>
      <c r="I13" s="693"/>
      <c r="J13" s="711"/>
      <c r="K13" s="693"/>
      <c r="L13" s="693"/>
      <c r="M13" s="693"/>
      <c r="N13" s="711"/>
      <c r="O13" s="688"/>
      <c r="P13" s="812"/>
      <c r="Q13" s="743"/>
      <c r="R13" s="833"/>
      <c r="S13" s="834"/>
      <c r="T13" s="816"/>
      <c r="U13" s="836"/>
      <c r="V13" s="46"/>
      <c r="W13" s="280"/>
      <c r="X13" s="283"/>
      <c r="Y13" s="260"/>
      <c r="Z13" s="38">
        <v>164</v>
      </c>
      <c r="AA13" s="122" t="s">
        <v>852</v>
      </c>
      <c r="AB13" s="275">
        <v>7040223</v>
      </c>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row>
    <row r="14" spans="1:133" s="50" customFormat="1" ht="15" x14ac:dyDescent="0.25">
      <c r="A14" s="693"/>
      <c r="B14" s="690"/>
      <c r="C14" s="690"/>
      <c r="D14" s="693"/>
      <c r="E14" s="690"/>
      <c r="F14" s="711"/>
      <c r="G14" s="735"/>
      <c r="H14" s="693"/>
      <c r="I14" s="693"/>
      <c r="J14" s="711"/>
      <c r="K14" s="693"/>
      <c r="L14" s="693"/>
      <c r="M14" s="693"/>
      <c r="N14" s="711"/>
      <c r="O14" s="688"/>
      <c r="P14" s="812"/>
      <c r="Q14" s="743"/>
      <c r="R14" s="833"/>
      <c r="S14" s="834"/>
      <c r="T14" s="816"/>
      <c r="U14" s="836"/>
      <c r="V14" s="46"/>
      <c r="W14" s="280"/>
      <c r="X14" s="283"/>
      <c r="Y14" s="260"/>
      <c r="Z14" s="38">
        <v>166</v>
      </c>
      <c r="AA14" s="122" t="s">
        <v>852</v>
      </c>
      <c r="AB14" s="275">
        <v>11167173</v>
      </c>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row>
    <row r="15" spans="1:133" s="50" customFormat="1" ht="15" x14ac:dyDescent="0.25">
      <c r="A15" s="693"/>
      <c r="B15" s="690"/>
      <c r="C15" s="690"/>
      <c r="D15" s="693"/>
      <c r="E15" s="690"/>
      <c r="F15" s="711"/>
      <c r="G15" s="735"/>
      <c r="H15" s="693"/>
      <c r="I15" s="693"/>
      <c r="J15" s="711"/>
      <c r="K15" s="693"/>
      <c r="L15" s="693"/>
      <c r="M15" s="693"/>
      <c r="N15" s="711"/>
      <c r="O15" s="688"/>
      <c r="P15" s="812"/>
      <c r="Q15" s="743"/>
      <c r="R15" s="833"/>
      <c r="S15" s="834"/>
      <c r="T15" s="816"/>
      <c r="U15" s="836"/>
      <c r="V15" s="46"/>
      <c r="W15" s="280"/>
      <c r="X15" s="283"/>
      <c r="Y15" s="260"/>
      <c r="Z15" s="38">
        <v>167</v>
      </c>
      <c r="AA15" s="122" t="s">
        <v>852</v>
      </c>
      <c r="AB15" s="275">
        <v>10684641</v>
      </c>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row>
    <row r="16" spans="1:133" s="50" customFormat="1" ht="15" x14ac:dyDescent="0.25">
      <c r="A16" s="693"/>
      <c r="B16" s="690"/>
      <c r="C16" s="690"/>
      <c r="D16" s="693"/>
      <c r="E16" s="690"/>
      <c r="F16" s="711"/>
      <c r="G16" s="735"/>
      <c r="H16" s="693"/>
      <c r="I16" s="693"/>
      <c r="J16" s="711"/>
      <c r="K16" s="693"/>
      <c r="L16" s="693"/>
      <c r="M16" s="693"/>
      <c r="N16" s="711"/>
      <c r="O16" s="688"/>
      <c r="P16" s="812"/>
      <c r="Q16" s="743"/>
      <c r="R16" s="833"/>
      <c r="S16" s="834"/>
      <c r="T16" s="816"/>
      <c r="U16" s="836"/>
      <c r="V16" s="46"/>
      <c r="W16" s="280"/>
      <c r="X16" s="283"/>
      <c r="Y16" s="260"/>
      <c r="Z16" s="38">
        <v>169</v>
      </c>
      <c r="AA16" s="122" t="s">
        <v>852</v>
      </c>
      <c r="AB16" s="275">
        <v>10684641</v>
      </c>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row>
    <row r="17" spans="1:133" s="50" customFormat="1" ht="15" x14ac:dyDescent="0.25">
      <c r="A17" s="693"/>
      <c r="B17" s="690"/>
      <c r="C17" s="690"/>
      <c r="D17" s="693"/>
      <c r="E17" s="690"/>
      <c r="F17" s="711"/>
      <c r="G17" s="735"/>
      <c r="H17" s="693"/>
      <c r="I17" s="693"/>
      <c r="J17" s="711"/>
      <c r="K17" s="693"/>
      <c r="L17" s="693"/>
      <c r="M17" s="693"/>
      <c r="N17" s="711"/>
      <c r="O17" s="688"/>
      <c r="P17" s="812"/>
      <c r="Q17" s="743"/>
      <c r="R17" s="833"/>
      <c r="S17" s="834"/>
      <c r="T17" s="816"/>
      <c r="U17" s="836"/>
      <c r="V17" s="46"/>
      <c r="W17" s="280"/>
      <c r="X17" s="283"/>
      <c r="Y17" s="260"/>
      <c r="Z17" s="38">
        <v>175</v>
      </c>
      <c r="AA17" s="122" t="s">
        <v>852</v>
      </c>
      <c r="AB17" s="275">
        <v>9815850</v>
      </c>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row>
    <row r="18" spans="1:133" s="50" customFormat="1" ht="15" x14ac:dyDescent="0.25">
      <c r="A18" s="693"/>
      <c r="B18" s="690"/>
      <c r="C18" s="690"/>
      <c r="D18" s="693"/>
      <c r="E18" s="690"/>
      <c r="F18" s="711"/>
      <c r="G18" s="735"/>
      <c r="H18" s="693"/>
      <c r="I18" s="693"/>
      <c r="J18" s="711"/>
      <c r="K18" s="693"/>
      <c r="L18" s="693"/>
      <c r="M18" s="693"/>
      <c r="N18" s="711"/>
      <c r="O18" s="688"/>
      <c r="P18" s="812"/>
      <c r="Q18" s="743"/>
      <c r="R18" s="833"/>
      <c r="S18" s="834"/>
      <c r="T18" s="816"/>
      <c r="U18" s="836"/>
      <c r="V18" s="46"/>
      <c r="W18" s="280"/>
      <c r="X18" s="283"/>
      <c r="Y18" s="260"/>
      <c r="Z18" s="38">
        <v>189</v>
      </c>
      <c r="AA18" s="122" t="s">
        <v>853</v>
      </c>
      <c r="AB18" s="275">
        <v>10615708</v>
      </c>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row>
    <row r="19" spans="1:133" s="50" customFormat="1" ht="15" x14ac:dyDescent="0.25">
      <c r="A19" s="693"/>
      <c r="B19" s="690"/>
      <c r="C19" s="690"/>
      <c r="D19" s="693"/>
      <c r="E19" s="690"/>
      <c r="F19" s="711"/>
      <c r="G19" s="735"/>
      <c r="H19" s="693"/>
      <c r="I19" s="693"/>
      <c r="J19" s="711"/>
      <c r="K19" s="693"/>
      <c r="L19" s="693"/>
      <c r="M19" s="693"/>
      <c r="N19" s="711"/>
      <c r="O19" s="688"/>
      <c r="P19" s="812"/>
      <c r="Q19" s="743"/>
      <c r="R19" s="833"/>
      <c r="S19" s="834"/>
      <c r="T19" s="816"/>
      <c r="U19" s="836"/>
      <c r="V19" s="46"/>
      <c r="W19" s="280"/>
      <c r="X19" s="283"/>
      <c r="Y19" s="260"/>
      <c r="Z19" s="38">
        <v>190</v>
      </c>
      <c r="AA19" s="122" t="s">
        <v>853</v>
      </c>
      <c r="AB19" s="275">
        <v>10615708</v>
      </c>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row>
    <row r="20" spans="1:133" s="50" customFormat="1" ht="15" x14ac:dyDescent="0.25">
      <c r="A20" s="693"/>
      <c r="B20" s="690"/>
      <c r="C20" s="690"/>
      <c r="D20" s="693"/>
      <c r="E20" s="690"/>
      <c r="F20" s="711"/>
      <c r="G20" s="735"/>
      <c r="H20" s="693"/>
      <c r="I20" s="693"/>
      <c r="J20" s="711"/>
      <c r="K20" s="693"/>
      <c r="L20" s="693"/>
      <c r="M20" s="693"/>
      <c r="N20" s="711"/>
      <c r="O20" s="688"/>
      <c r="P20" s="812"/>
      <c r="Q20" s="743"/>
      <c r="R20" s="833"/>
      <c r="S20" s="834"/>
      <c r="T20" s="816"/>
      <c r="U20" s="836"/>
      <c r="V20" s="46"/>
      <c r="W20" s="280"/>
      <c r="X20" s="283"/>
      <c r="Y20" s="260"/>
      <c r="Z20" s="38">
        <v>260</v>
      </c>
      <c r="AA20" s="122" t="s">
        <v>854</v>
      </c>
      <c r="AB20" s="275">
        <v>6562183</v>
      </c>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row>
    <row r="21" spans="1:133" s="50" customFormat="1" ht="15" x14ac:dyDescent="0.25">
      <c r="A21" s="693"/>
      <c r="B21" s="690"/>
      <c r="C21" s="690"/>
      <c r="D21" s="693"/>
      <c r="E21" s="690"/>
      <c r="F21" s="711"/>
      <c r="G21" s="735"/>
      <c r="H21" s="693"/>
      <c r="I21" s="693"/>
      <c r="J21" s="711"/>
      <c r="K21" s="693"/>
      <c r="L21" s="693"/>
      <c r="M21" s="693"/>
      <c r="N21" s="711"/>
      <c r="O21" s="688"/>
      <c r="P21" s="812"/>
      <c r="Q21" s="743"/>
      <c r="R21" s="833"/>
      <c r="S21" s="834"/>
      <c r="T21" s="816"/>
      <c r="U21" s="836"/>
      <c r="V21" s="46"/>
      <c r="W21" s="280"/>
      <c r="X21" s="283"/>
      <c r="Y21" s="260"/>
      <c r="Z21" s="38">
        <v>261</v>
      </c>
      <c r="AA21" s="122" t="s">
        <v>854</v>
      </c>
      <c r="AB21" s="275">
        <v>12217403</v>
      </c>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row>
    <row r="22" spans="1:133" s="50" customFormat="1" ht="15" x14ac:dyDescent="0.25">
      <c r="A22" s="693"/>
      <c r="B22" s="690"/>
      <c r="C22" s="690"/>
      <c r="D22" s="693"/>
      <c r="E22" s="690"/>
      <c r="F22" s="711"/>
      <c r="G22" s="735"/>
      <c r="H22" s="693"/>
      <c r="I22" s="693"/>
      <c r="J22" s="711"/>
      <c r="K22" s="693"/>
      <c r="L22" s="693"/>
      <c r="M22" s="693"/>
      <c r="N22" s="711"/>
      <c r="O22" s="688"/>
      <c r="P22" s="812"/>
      <c r="Q22" s="743"/>
      <c r="R22" s="833"/>
      <c r="S22" s="834"/>
      <c r="T22" s="816"/>
      <c r="U22" s="836"/>
      <c r="V22" s="46"/>
      <c r="W22" s="280"/>
      <c r="X22" s="283"/>
      <c r="Y22" s="260"/>
      <c r="Z22" s="38">
        <v>262</v>
      </c>
      <c r="AA22" s="122" t="s">
        <v>854</v>
      </c>
      <c r="AB22" s="275">
        <v>15754031</v>
      </c>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row>
    <row r="23" spans="1:133" s="50" customFormat="1" ht="15" x14ac:dyDescent="0.25">
      <c r="A23" s="693"/>
      <c r="B23" s="690"/>
      <c r="C23" s="690"/>
      <c r="D23" s="693"/>
      <c r="E23" s="690"/>
      <c r="F23" s="711"/>
      <c r="G23" s="735"/>
      <c r="H23" s="693"/>
      <c r="I23" s="693"/>
      <c r="J23" s="711"/>
      <c r="K23" s="693"/>
      <c r="L23" s="693"/>
      <c r="M23" s="693"/>
      <c r="N23" s="711"/>
      <c r="O23" s="688"/>
      <c r="P23" s="812"/>
      <c r="Q23" s="743"/>
      <c r="R23" s="833"/>
      <c r="S23" s="834"/>
      <c r="T23" s="816"/>
      <c r="U23" s="836"/>
      <c r="V23" s="46"/>
      <c r="W23" s="280"/>
      <c r="X23" s="283"/>
      <c r="Y23" s="260"/>
      <c r="Z23" s="38">
        <v>263</v>
      </c>
      <c r="AA23" s="122" t="s">
        <v>854</v>
      </c>
      <c r="AB23" s="275">
        <v>22200352</v>
      </c>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row>
    <row r="24" spans="1:133" s="50" customFormat="1" ht="15" x14ac:dyDescent="0.25">
      <c r="A24" s="693"/>
      <c r="B24" s="690"/>
      <c r="C24" s="690"/>
      <c r="D24" s="693"/>
      <c r="E24" s="690"/>
      <c r="F24" s="711"/>
      <c r="G24" s="735"/>
      <c r="H24" s="693"/>
      <c r="I24" s="693"/>
      <c r="J24" s="711"/>
      <c r="K24" s="693"/>
      <c r="L24" s="693"/>
      <c r="M24" s="693"/>
      <c r="N24" s="711"/>
      <c r="O24" s="688"/>
      <c r="P24" s="812"/>
      <c r="Q24" s="743"/>
      <c r="R24" s="833"/>
      <c r="S24" s="834"/>
      <c r="T24" s="816"/>
      <c r="U24" s="836"/>
      <c r="V24" s="46"/>
      <c r="W24" s="280"/>
      <c r="X24" s="283"/>
      <c r="Y24" s="260"/>
      <c r="Z24" s="38">
        <v>264</v>
      </c>
      <c r="AA24" s="122" t="s">
        <v>854</v>
      </c>
      <c r="AB24" s="275">
        <v>22200352</v>
      </c>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row>
    <row r="25" spans="1:133" s="50" customFormat="1" ht="15" x14ac:dyDescent="0.25">
      <c r="A25" s="693"/>
      <c r="B25" s="690"/>
      <c r="C25" s="690"/>
      <c r="D25" s="693"/>
      <c r="E25" s="690"/>
      <c r="F25" s="711"/>
      <c r="G25" s="735"/>
      <c r="H25" s="693"/>
      <c r="I25" s="693"/>
      <c r="J25" s="711"/>
      <c r="K25" s="693"/>
      <c r="L25" s="693"/>
      <c r="M25" s="693"/>
      <c r="N25" s="711"/>
      <c r="O25" s="688"/>
      <c r="P25" s="812"/>
      <c r="Q25" s="743"/>
      <c r="R25" s="833"/>
      <c r="S25" s="834"/>
      <c r="T25" s="816"/>
      <c r="U25" s="836"/>
      <c r="V25" s="46"/>
      <c r="W25" s="280"/>
      <c r="X25" s="283"/>
      <c r="Y25" s="260"/>
      <c r="Z25" s="38">
        <v>265</v>
      </c>
      <c r="AA25" s="122" t="s">
        <v>854</v>
      </c>
      <c r="AB25" s="275">
        <v>6562183</v>
      </c>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row>
    <row r="26" spans="1:133" s="50" customFormat="1" ht="15" x14ac:dyDescent="0.25">
      <c r="A26" s="693"/>
      <c r="B26" s="690"/>
      <c r="C26" s="690"/>
      <c r="D26" s="693"/>
      <c r="E26" s="690"/>
      <c r="F26" s="711"/>
      <c r="G26" s="735"/>
      <c r="H26" s="693"/>
      <c r="I26" s="693"/>
      <c r="J26" s="711"/>
      <c r="K26" s="693"/>
      <c r="L26" s="693"/>
      <c r="M26" s="693"/>
      <c r="N26" s="711"/>
      <c r="O26" s="688"/>
      <c r="P26" s="812"/>
      <c r="Q26" s="743"/>
      <c r="R26" s="833"/>
      <c r="S26" s="834"/>
      <c r="T26" s="816"/>
      <c r="U26" s="836"/>
      <c r="V26" s="46"/>
      <c r="W26" s="280"/>
      <c r="X26" s="283"/>
      <c r="Y26" s="260"/>
      <c r="Z26" s="38">
        <v>266</v>
      </c>
      <c r="AA26" s="122" t="s">
        <v>854</v>
      </c>
      <c r="AB26" s="275">
        <v>6436098</v>
      </c>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row>
    <row r="27" spans="1:133" s="50" customFormat="1" ht="15" x14ac:dyDescent="0.25">
      <c r="A27" s="693"/>
      <c r="B27" s="690"/>
      <c r="C27" s="690"/>
      <c r="D27" s="693"/>
      <c r="E27" s="690"/>
      <c r="F27" s="711"/>
      <c r="G27" s="735"/>
      <c r="H27" s="693"/>
      <c r="I27" s="693"/>
      <c r="J27" s="711"/>
      <c r="K27" s="693"/>
      <c r="L27" s="693"/>
      <c r="M27" s="693"/>
      <c r="N27" s="711"/>
      <c r="O27" s="688"/>
      <c r="P27" s="812"/>
      <c r="Q27" s="743"/>
      <c r="R27" s="833"/>
      <c r="S27" s="834"/>
      <c r="T27" s="816"/>
      <c r="U27" s="836"/>
      <c r="V27" s="46"/>
      <c r="W27" s="280"/>
      <c r="X27" s="283"/>
      <c r="Y27" s="260"/>
      <c r="Z27" s="38">
        <v>269</v>
      </c>
      <c r="AA27" s="122" t="s">
        <v>854</v>
      </c>
      <c r="AB27" s="275">
        <v>10891440</v>
      </c>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row>
    <row r="28" spans="1:133" s="50" customFormat="1" ht="15" x14ac:dyDescent="0.25">
      <c r="A28" s="693"/>
      <c r="B28" s="690"/>
      <c r="C28" s="690"/>
      <c r="D28" s="693"/>
      <c r="E28" s="690"/>
      <c r="F28" s="711"/>
      <c r="G28" s="735"/>
      <c r="H28" s="693"/>
      <c r="I28" s="693"/>
      <c r="J28" s="711"/>
      <c r="K28" s="693"/>
      <c r="L28" s="693"/>
      <c r="M28" s="693"/>
      <c r="N28" s="711"/>
      <c r="O28" s="688"/>
      <c r="P28" s="812"/>
      <c r="Q28" s="743"/>
      <c r="R28" s="833"/>
      <c r="S28" s="834"/>
      <c r="T28" s="816"/>
      <c r="U28" s="836"/>
      <c r="V28" s="46"/>
      <c r="W28" s="280"/>
      <c r="X28" s="283"/>
      <c r="Y28" s="260"/>
      <c r="Z28" s="38">
        <v>270</v>
      </c>
      <c r="AA28" s="122" t="s">
        <v>854</v>
      </c>
      <c r="AB28" s="275">
        <v>12681355</v>
      </c>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row>
    <row r="29" spans="1:133" s="50" customFormat="1" ht="15" x14ac:dyDescent="0.25">
      <c r="A29" s="693"/>
      <c r="B29" s="690"/>
      <c r="C29" s="690"/>
      <c r="D29" s="693"/>
      <c r="E29" s="690"/>
      <c r="F29" s="711"/>
      <c r="G29" s="735"/>
      <c r="H29" s="693"/>
      <c r="I29" s="693"/>
      <c r="J29" s="711"/>
      <c r="K29" s="693"/>
      <c r="L29" s="693"/>
      <c r="M29" s="693"/>
      <c r="N29" s="711"/>
      <c r="O29" s="688"/>
      <c r="P29" s="812"/>
      <c r="Q29" s="743"/>
      <c r="R29" s="833"/>
      <c r="S29" s="834"/>
      <c r="T29" s="816"/>
      <c r="U29" s="836"/>
      <c r="V29" s="46"/>
      <c r="W29" s="280"/>
      <c r="X29" s="283"/>
      <c r="Y29" s="260"/>
      <c r="Z29" s="38">
        <v>465</v>
      </c>
      <c r="AA29" s="122" t="s">
        <v>2871</v>
      </c>
      <c r="AB29" s="275">
        <v>8947373</v>
      </c>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row>
    <row r="30" spans="1:133" s="50" customFormat="1" ht="15" x14ac:dyDescent="0.25">
      <c r="A30" s="693"/>
      <c r="B30" s="690"/>
      <c r="C30" s="690"/>
      <c r="D30" s="693"/>
      <c r="E30" s="690"/>
      <c r="F30" s="711"/>
      <c r="G30" s="735"/>
      <c r="H30" s="693"/>
      <c r="I30" s="693"/>
      <c r="J30" s="711"/>
      <c r="K30" s="693"/>
      <c r="L30" s="693"/>
      <c r="M30" s="693"/>
      <c r="N30" s="711"/>
      <c r="O30" s="688"/>
      <c r="P30" s="812"/>
      <c r="Q30" s="743"/>
      <c r="R30" s="833"/>
      <c r="S30" s="834"/>
      <c r="T30" s="816"/>
      <c r="U30" s="836"/>
      <c r="V30" s="46"/>
      <c r="W30" s="280"/>
      <c r="X30" s="283"/>
      <c r="Y30" s="260"/>
      <c r="Z30" s="38">
        <v>557</v>
      </c>
      <c r="AA30" s="122" t="s">
        <v>2872</v>
      </c>
      <c r="AB30" s="275">
        <v>10822507</v>
      </c>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row>
    <row r="31" spans="1:133" s="50" customFormat="1" ht="15" x14ac:dyDescent="0.25">
      <c r="A31" s="693"/>
      <c r="B31" s="690"/>
      <c r="C31" s="690"/>
      <c r="D31" s="693"/>
      <c r="E31" s="690"/>
      <c r="F31" s="711"/>
      <c r="G31" s="735"/>
      <c r="H31" s="693"/>
      <c r="I31" s="693"/>
      <c r="J31" s="711"/>
      <c r="K31" s="693"/>
      <c r="L31" s="693"/>
      <c r="M31" s="693"/>
      <c r="N31" s="711"/>
      <c r="O31" s="688"/>
      <c r="P31" s="812"/>
      <c r="Q31" s="743"/>
      <c r="R31" s="833"/>
      <c r="S31" s="834"/>
      <c r="T31" s="816"/>
      <c r="U31" s="836"/>
      <c r="V31" s="46"/>
      <c r="W31" s="280"/>
      <c r="X31" s="283"/>
      <c r="Y31" s="260"/>
      <c r="Z31" s="38">
        <v>569</v>
      </c>
      <c r="AA31" s="122" t="s">
        <v>858</v>
      </c>
      <c r="AB31" s="275">
        <v>9926376</v>
      </c>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row>
    <row r="32" spans="1:133" s="50" customFormat="1" ht="15" x14ac:dyDescent="0.25">
      <c r="A32" s="693"/>
      <c r="B32" s="690"/>
      <c r="C32" s="690"/>
      <c r="D32" s="693"/>
      <c r="E32" s="690"/>
      <c r="F32" s="711"/>
      <c r="G32" s="735"/>
      <c r="H32" s="693"/>
      <c r="I32" s="693"/>
      <c r="J32" s="711"/>
      <c r="K32" s="693"/>
      <c r="L32" s="693"/>
      <c r="M32" s="693"/>
      <c r="N32" s="711"/>
      <c r="O32" s="688"/>
      <c r="P32" s="812"/>
      <c r="Q32" s="743"/>
      <c r="R32" s="833"/>
      <c r="S32" s="834"/>
      <c r="T32" s="816"/>
      <c r="U32" s="836"/>
      <c r="V32" s="46"/>
      <c r="W32" s="280"/>
      <c r="X32" s="283"/>
      <c r="Y32" s="260"/>
      <c r="Z32" s="38">
        <v>1001</v>
      </c>
      <c r="AA32" s="122" t="s">
        <v>856</v>
      </c>
      <c r="AB32" s="275">
        <v>9926376</v>
      </c>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row>
    <row r="33" spans="1:133" s="50" customFormat="1" ht="15" x14ac:dyDescent="0.25">
      <c r="A33" s="693"/>
      <c r="B33" s="690"/>
      <c r="C33" s="690"/>
      <c r="D33" s="693"/>
      <c r="E33" s="690"/>
      <c r="F33" s="711"/>
      <c r="G33" s="735"/>
      <c r="H33" s="693"/>
      <c r="I33" s="693"/>
      <c r="J33" s="711"/>
      <c r="K33" s="693"/>
      <c r="L33" s="693"/>
      <c r="M33" s="693"/>
      <c r="N33" s="711"/>
      <c r="O33" s="688"/>
      <c r="P33" s="812"/>
      <c r="Q33" s="743"/>
      <c r="R33" s="833"/>
      <c r="S33" s="834"/>
      <c r="T33" s="816"/>
      <c r="U33" s="836"/>
      <c r="V33" s="46"/>
      <c r="W33" s="280"/>
      <c r="X33" s="283"/>
      <c r="Y33" s="260"/>
      <c r="Z33" s="38">
        <v>1050</v>
      </c>
      <c r="AA33" s="122" t="s">
        <v>856</v>
      </c>
      <c r="AB33" s="275">
        <v>2826260</v>
      </c>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row>
    <row r="34" spans="1:133" s="50" customFormat="1" ht="15" x14ac:dyDescent="0.25">
      <c r="A34" s="693"/>
      <c r="B34" s="690"/>
      <c r="C34" s="690"/>
      <c r="D34" s="693"/>
      <c r="E34" s="690"/>
      <c r="F34" s="711"/>
      <c r="G34" s="735"/>
      <c r="H34" s="693"/>
      <c r="I34" s="693"/>
      <c r="J34" s="711"/>
      <c r="K34" s="693"/>
      <c r="L34" s="693"/>
      <c r="M34" s="693"/>
      <c r="N34" s="711"/>
      <c r="O34" s="688"/>
      <c r="P34" s="812"/>
      <c r="Q34" s="743"/>
      <c r="R34" s="833"/>
      <c r="S34" s="834"/>
      <c r="T34" s="817"/>
      <c r="U34" s="837"/>
      <c r="V34" s="46"/>
      <c r="W34" s="280"/>
      <c r="X34" s="283"/>
      <c r="Y34" s="260"/>
      <c r="Z34" s="250">
        <v>1051</v>
      </c>
      <c r="AA34" s="122" t="s">
        <v>856</v>
      </c>
      <c r="AB34" s="275">
        <v>5953769</v>
      </c>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row>
    <row r="35" spans="1:133" s="50" customFormat="1" ht="15" x14ac:dyDescent="0.25">
      <c r="A35" s="693"/>
      <c r="B35" s="690"/>
      <c r="C35" s="690"/>
      <c r="D35" s="693"/>
      <c r="E35" s="690"/>
      <c r="F35" s="711"/>
      <c r="G35" s="735"/>
      <c r="H35" s="693"/>
      <c r="I35" s="693"/>
      <c r="J35" s="711"/>
      <c r="K35" s="693"/>
      <c r="L35" s="693"/>
      <c r="M35" s="693"/>
      <c r="N35" s="711"/>
      <c r="O35" s="688"/>
      <c r="P35" s="812"/>
      <c r="Q35" s="743"/>
      <c r="R35" s="404"/>
      <c r="S35" s="148"/>
      <c r="T35" s="403"/>
      <c r="U35" s="399"/>
      <c r="V35" s="46"/>
      <c r="W35" s="280"/>
      <c r="X35" s="283"/>
      <c r="Y35" s="260"/>
      <c r="Z35" s="394">
        <v>1052</v>
      </c>
      <c r="AA35" s="246" t="s">
        <v>856</v>
      </c>
      <c r="AB35" s="446">
        <v>9443844</v>
      </c>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row>
    <row r="36" spans="1:133" s="50" customFormat="1" ht="15" x14ac:dyDescent="0.25">
      <c r="A36" s="693"/>
      <c r="B36" s="690"/>
      <c r="C36" s="690"/>
      <c r="D36" s="693"/>
      <c r="E36" s="690"/>
      <c r="F36" s="711"/>
      <c r="G36" s="735"/>
      <c r="H36" s="693"/>
      <c r="I36" s="693"/>
      <c r="J36" s="711"/>
      <c r="K36" s="693"/>
      <c r="L36" s="693"/>
      <c r="M36" s="693"/>
      <c r="N36" s="711"/>
      <c r="O36" s="688"/>
      <c r="P36" s="812"/>
      <c r="Q36" s="743"/>
      <c r="R36" s="262" t="s">
        <v>1461</v>
      </c>
      <c r="S36" s="490" t="s">
        <v>1462</v>
      </c>
      <c r="T36" s="262" t="s">
        <v>1463</v>
      </c>
      <c r="U36" s="236">
        <v>337898376</v>
      </c>
      <c r="V36" s="46"/>
      <c r="W36" s="280">
        <v>771</v>
      </c>
      <c r="X36" s="283">
        <v>44742</v>
      </c>
      <c r="Y36" s="236">
        <v>337898376</v>
      </c>
      <c r="Z36" s="240">
        <v>3389</v>
      </c>
      <c r="AA36" s="246" t="s">
        <v>2873</v>
      </c>
      <c r="AB36" s="446">
        <v>11580772</v>
      </c>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row>
    <row r="37" spans="1:133" s="50" customFormat="1" ht="15" x14ac:dyDescent="0.25">
      <c r="A37" s="693"/>
      <c r="B37" s="690"/>
      <c r="C37" s="690"/>
      <c r="D37" s="693"/>
      <c r="E37" s="690"/>
      <c r="F37" s="711"/>
      <c r="G37" s="735"/>
      <c r="H37" s="693"/>
      <c r="I37" s="693"/>
      <c r="J37" s="711"/>
      <c r="K37" s="693"/>
      <c r="L37" s="693"/>
      <c r="M37" s="693"/>
      <c r="N37" s="711"/>
      <c r="O37" s="688"/>
      <c r="P37" s="812"/>
      <c r="Q37" s="743"/>
      <c r="R37" s="256"/>
      <c r="S37" s="492"/>
      <c r="T37" s="256"/>
      <c r="U37" s="259"/>
      <c r="V37" s="46"/>
      <c r="W37" s="280"/>
      <c r="X37" s="283"/>
      <c r="Y37" s="236"/>
      <c r="Z37" s="394">
        <v>3391</v>
      </c>
      <c r="AA37" s="246" t="s">
        <v>2873</v>
      </c>
      <c r="AB37" s="446">
        <v>11580772</v>
      </c>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row>
    <row r="38" spans="1:133" s="50" customFormat="1" ht="15" x14ac:dyDescent="0.25">
      <c r="A38" s="693"/>
      <c r="B38" s="690"/>
      <c r="C38" s="690"/>
      <c r="D38" s="693"/>
      <c r="E38" s="690"/>
      <c r="F38" s="711"/>
      <c r="G38" s="735"/>
      <c r="H38" s="693"/>
      <c r="I38" s="693"/>
      <c r="J38" s="711"/>
      <c r="K38" s="693"/>
      <c r="L38" s="693"/>
      <c r="M38" s="693"/>
      <c r="N38" s="711"/>
      <c r="O38" s="688"/>
      <c r="P38" s="812"/>
      <c r="Q38" s="743"/>
      <c r="R38" s="256"/>
      <c r="S38" s="492"/>
      <c r="T38" s="256"/>
      <c r="U38" s="259"/>
      <c r="V38" s="46"/>
      <c r="W38" s="280"/>
      <c r="X38" s="283"/>
      <c r="Y38" s="236"/>
      <c r="Z38" s="394">
        <v>3392</v>
      </c>
      <c r="AA38" s="246" t="s">
        <v>2873</v>
      </c>
      <c r="AB38" s="446">
        <v>11580772</v>
      </c>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row>
    <row r="39" spans="1:133" s="50" customFormat="1" ht="15" x14ac:dyDescent="0.25">
      <c r="A39" s="693"/>
      <c r="B39" s="690"/>
      <c r="C39" s="690"/>
      <c r="D39" s="693"/>
      <c r="E39" s="690"/>
      <c r="F39" s="711"/>
      <c r="G39" s="735"/>
      <c r="H39" s="693"/>
      <c r="I39" s="693"/>
      <c r="J39" s="711"/>
      <c r="K39" s="693"/>
      <c r="L39" s="693"/>
      <c r="M39" s="693"/>
      <c r="N39" s="711"/>
      <c r="O39" s="688"/>
      <c r="P39" s="812"/>
      <c r="Q39" s="743"/>
      <c r="R39" s="256"/>
      <c r="S39" s="492"/>
      <c r="T39" s="256"/>
      <c r="U39" s="259"/>
      <c r="V39" s="46"/>
      <c r="W39" s="280"/>
      <c r="X39" s="283"/>
      <c r="Y39" s="236"/>
      <c r="Z39" s="394">
        <v>3393</v>
      </c>
      <c r="AA39" s="246" t="s">
        <v>2873</v>
      </c>
      <c r="AB39" s="446">
        <v>11580772</v>
      </c>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row>
    <row r="40" spans="1:133" s="50" customFormat="1" ht="15" x14ac:dyDescent="0.25">
      <c r="A40" s="693"/>
      <c r="B40" s="690"/>
      <c r="C40" s="690"/>
      <c r="D40" s="693"/>
      <c r="E40" s="690"/>
      <c r="F40" s="711"/>
      <c r="G40" s="735"/>
      <c r="H40" s="693"/>
      <c r="I40" s="693"/>
      <c r="J40" s="711"/>
      <c r="K40" s="693"/>
      <c r="L40" s="693"/>
      <c r="M40" s="693"/>
      <c r="N40" s="711"/>
      <c r="O40" s="688"/>
      <c r="P40" s="812"/>
      <c r="Q40" s="743"/>
      <c r="R40" s="256"/>
      <c r="S40" s="492"/>
      <c r="T40" s="256"/>
      <c r="U40" s="259"/>
      <c r="V40" s="46"/>
      <c r="W40" s="280"/>
      <c r="X40" s="283"/>
      <c r="Y40" s="236"/>
      <c r="Z40" s="394">
        <v>3400</v>
      </c>
      <c r="AA40" s="246" t="s">
        <v>2873</v>
      </c>
      <c r="AB40" s="446">
        <v>27750440</v>
      </c>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row>
    <row r="41" spans="1:133" s="50" customFormat="1" ht="15" x14ac:dyDescent="0.25">
      <c r="A41" s="693"/>
      <c r="B41" s="690"/>
      <c r="C41" s="690"/>
      <c r="D41" s="693"/>
      <c r="E41" s="690"/>
      <c r="F41" s="711"/>
      <c r="G41" s="735"/>
      <c r="H41" s="693"/>
      <c r="I41" s="693"/>
      <c r="J41" s="711"/>
      <c r="K41" s="693"/>
      <c r="L41" s="693"/>
      <c r="M41" s="693"/>
      <c r="N41" s="711"/>
      <c r="O41" s="688"/>
      <c r="P41" s="812"/>
      <c r="Q41" s="743"/>
      <c r="R41" s="256"/>
      <c r="S41" s="492"/>
      <c r="T41" s="256"/>
      <c r="U41" s="259"/>
      <c r="V41" s="46"/>
      <c r="W41" s="280"/>
      <c r="X41" s="283"/>
      <c r="Y41" s="236"/>
      <c r="Z41" s="394">
        <v>3402</v>
      </c>
      <c r="AA41" s="246" t="s">
        <v>2873</v>
      </c>
      <c r="AB41" s="446">
        <v>7300972</v>
      </c>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row>
    <row r="42" spans="1:133" s="50" customFormat="1" ht="15" x14ac:dyDescent="0.25">
      <c r="A42" s="693"/>
      <c r="B42" s="690"/>
      <c r="C42" s="690"/>
      <c r="D42" s="693"/>
      <c r="E42" s="690"/>
      <c r="F42" s="711"/>
      <c r="G42" s="735"/>
      <c r="H42" s="693"/>
      <c r="I42" s="693"/>
      <c r="J42" s="711"/>
      <c r="K42" s="693"/>
      <c r="L42" s="693"/>
      <c r="M42" s="693"/>
      <c r="N42" s="711"/>
      <c r="O42" s="688"/>
      <c r="P42" s="812"/>
      <c r="Q42" s="743"/>
      <c r="R42" s="256"/>
      <c r="S42" s="492"/>
      <c r="T42" s="256"/>
      <c r="U42" s="259"/>
      <c r="V42" s="46"/>
      <c r="W42" s="280"/>
      <c r="X42" s="283"/>
      <c r="Y42" s="236"/>
      <c r="Z42" s="394">
        <v>3403</v>
      </c>
      <c r="AA42" s="246" t="s">
        <v>2873</v>
      </c>
      <c r="AB42" s="446">
        <v>12990656</v>
      </c>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row>
    <row r="43" spans="1:133" s="50" customFormat="1" ht="15" x14ac:dyDescent="0.25">
      <c r="A43" s="693"/>
      <c r="B43" s="690"/>
      <c r="C43" s="690"/>
      <c r="D43" s="693"/>
      <c r="E43" s="690"/>
      <c r="F43" s="711"/>
      <c r="G43" s="735"/>
      <c r="H43" s="693"/>
      <c r="I43" s="693"/>
      <c r="J43" s="711"/>
      <c r="K43" s="693"/>
      <c r="L43" s="693"/>
      <c r="M43" s="693"/>
      <c r="N43" s="711"/>
      <c r="O43" s="688"/>
      <c r="P43" s="812"/>
      <c r="Q43" s="743"/>
      <c r="R43" s="256"/>
      <c r="S43" s="492"/>
      <c r="T43" s="256"/>
      <c r="U43" s="259"/>
      <c r="V43" s="46"/>
      <c r="W43" s="280"/>
      <c r="X43" s="283"/>
      <c r="Y43" s="236"/>
      <c r="Z43" s="394">
        <v>3404</v>
      </c>
      <c r="AA43" s="246" t="s">
        <v>2873</v>
      </c>
      <c r="AB43" s="446">
        <v>8892413</v>
      </c>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row>
    <row r="44" spans="1:133" s="50" customFormat="1" ht="15" x14ac:dyDescent="0.25">
      <c r="A44" s="693"/>
      <c r="B44" s="690"/>
      <c r="C44" s="690"/>
      <c r="D44" s="693"/>
      <c r="E44" s="690"/>
      <c r="F44" s="711"/>
      <c r="G44" s="735"/>
      <c r="H44" s="693"/>
      <c r="I44" s="693"/>
      <c r="J44" s="711"/>
      <c r="K44" s="693"/>
      <c r="L44" s="693"/>
      <c r="M44" s="693"/>
      <c r="N44" s="711"/>
      <c r="O44" s="688"/>
      <c r="P44" s="812"/>
      <c r="Q44" s="743"/>
      <c r="R44" s="256"/>
      <c r="S44" s="492"/>
      <c r="T44" s="256"/>
      <c r="U44" s="259"/>
      <c r="V44" s="46"/>
      <c r="W44" s="280"/>
      <c r="X44" s="283"/>
      <c r="Y44" s="236"/>
      <c r="Z44" s="394">
        <v>3405</v>
      </c>
      <c r="AA44" s="246" t="s">
        <v>2873</v>
      </c>
      <c r="AB44" s="446">
        <v>11580772</v>
      </c>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row>
    <row r="45" spans="1:133" s="50" customFormat="1" ht="15" x14ac:dyDescent="0.25">
      <c r="A45" s="693"/>
      <c r="B45" s="690"/>
      <c r="C45" s="690"/>
      <c r="D45" s="693"/>
      <c r="E45" s="690"/>
      <c r="F45" s="711"/>
      <c r="G45" s="735"/>
      <c r="H45" s="693"/>
      <c r="I45" s="693"/>
      <c r="J45" s="711"/>
      <c r="K45" s="693"/>
      <c r="L45" s="693"/>
      <c r="M45" s="693"/>
      <c r="N45" s="711"/>
      <c r="O45" s="688"/>
      <c r="P45" s="812"/>
      <c r="Q45" s="743"/>
      <c r="R45" s="256"/>
      <c r="S45" s="492"/>
      <c r="T45" s="256"/>
      <c r="U45" s="259"/>
      <c r="V45" s="46"/>
      <c r="W45" s="280"/>
      <c r="X45" s="283"/>
      <c r="Y45" s="236"/>
      <c r="Z45" s="394">
        <v>3406</v>
      </c>
      <c r="AA45" s="246" t="s">
        <v>2873</v>
      </c>
      <c r="AB45" s="446">
        <v>14131299</v>
      </c>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row>
    <row r="46" spans="1:133" s="50" customFormat="1" ht="15" x14ac:dyDescent="0.25">
      <c r="A46" s="693"/>
      <c r="B46" s="690"/>
      <c r="C46" s="690"/>
      <c r="D46" s="693"/>
      <c r="E46" s="690"/>
      <c r="F46" s="711"/>
      <c r="G46" s="735"/>
      <c r="H46" s="693"/>
      <c r="I46" s="693"/>
      <c r="J46" s="711"/>
      <c r="K46" s="693"/>
      <c r="L46" s="693"/>
      <c r="M46" s="693"/>
      <c r="N46" s="711"/>
      <c r="O46" s="688"/>
      <c r="P46" s="812"/>
      <c r="Q46" s="743"/>
      <c r="R46" s="256"/>
      <c r="S46" s="492"/>
      <c r="T46" s="256"/>
      <c r="U46" s="259"/>
      <c r="V46" s="46"/>
      <c r="W46" s="280"/>
      <c r="X46" s="283"/>
      <c r="Y46" s="236"/>
      <c r="Z46" s="394">
        <v>3407</v>
      </c>
      <c r="AA46" s="246" t="s">
        <v>2873</v>
      </c>
      <c r="AB46" s="446">
        <v>11580772</v>
      </c>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row>
    <row r="47" spans="1:133" s="50" customFormat="1" ht="15" x14ac:dyDescent="0.25">
      <c r="A47" s="693"/>
      <c r="B47" s="690"/>
      <c r="C47" s="690"/>
      <c r="D47" s="693"/>
      <c r="E47" s="690"/>
      <c r="F47" s="711"/>
      <c r="G47" s="735"/>
      <c r="H47" s="693"/>
      <c r="I47" s="693"/>
      <c r="J47" s="711"/>
      <c r="K47" s="693"/>
      <c r="L47" s="693"/>
      <c r="M47" s="693"/>
      <c r="N47" s="711"/>
      <c r="O47" s="688"/>
      <c r="P47" s="812"/>
      <c r="Q47" s="743"/>
      <c r="R47" s="256"/>
      <c r="S47" s="492"/>
      <c r="T47" s="256"/>
      <c r="U47" s="259"/>
      <c r="V47" s="46"/>
      <c r="W47" s="280"/>
      <c r="X47" s="283"/>
      <c r="Y47" s="236"/>
      <c r="Z47" s="394">
        <v>3408</v>
      </c>
      <c r="AA47" s="246" t="s">
        <v>2873</v>
      </c>
      <c r="AB47" s="446">
        <v>5859319</v>
      </c>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row>
    <row r="48" spans="1:133" s="50" customFormat="1" ht="15" x14ac:dyDescent="0.25">
      <c r="A48" s="693"/>
      <c r="B48" s="690"/>
      <c r="C48" s="690"/>
      <c r="D48" s="693"/>
      <c r="E48" s="690"/>
      <c r="F48" s="711"/>
      <c r="G48" s="735"/>
      <c r="H48" s="693"/>
      <c r="I48" s="693"/>
      <c r="J48" s="711"/>
      <c r="K48" s="693"/>
      <c r="L48" s="693"/>
      <c r="M48" s="693"/>
      <c r="N48" s="711"/>
      <c r="O48" s="688"/>
      <c r="P48" s="812"/>
      <c r="Q48" s="743"/>
      <c r="R48" s="256"/>
      <c r="S48" s="492"/>
      <c r="T48" s="256"/>
      <c r="U48" s="259"/>
      <c r="V48" s="46"/>
      <c r="W48" s="280"/>
      <c r="X48" s="283"/>
      <c r="Y48" s="236"/>
      <c r="Z48" s="394">
        <v>3409</v>
      </c>
      <c r="AA48" s="246" t="s">
        <v>2873</v>
      </c>
      <c r="AB48" s="446">
        <v>4602512</v>
      </c>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row>
    <row r="49" spans="1:133" s="50" customFormat="1" ht="15" x14ac:dyDescent="0.25">
      <c r="A49" s="693"/>
      <c r="B49" s="690"/>
      <c r="C49" s="690"/>
      <c r="D49" s="693"/>
      <c r="E49" s="690"/>
      <c r="F49" s="711"/>
      <c r="G49" s="735"/>
      <c r="H49" s="693"/>
      <c r="I49" s="693"/>
      <c r="J49" s="711"/>
      <c r="K49" s="693"/>
      <c r="L49" s="693"/>
      <c r="M49" s="693"/>
      <c r="N49" s="711"/>
      <c r="O49" s="688"/>
      <c r="P49" s="812"/>
      <c r="Q49" s="743"/>
      <c r="R49" s="256"/>
      <c r="S49" s="492"/>
      <c r="T49" s="256"/>
      <c r="U49" s="259"/>
      <c r="V49" s="46"/>
      <c r="W49" s="280"/>
      <c r="X49" s="283"/>
      <c r="Y49" s="236"/>
      <c r="Z49" s="394">
        <v>3410</v>
      </c>
      <c r="AA49" s="246" t="s">
        <v>2873</v>
      </c>
      <c r="AB49" s="446">
        <v>7927314</v>
      </c>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row>
    <row r="50" spans="1:133" s="50" customFormat="1" ht="15" x14ac:dyDescent="0.25">
      <c r="A50" s="693"/>
      <c r="B50" s="690"/>
      <c r="C50" s="690"/>
      <c r="D50" s="693"/>
      <c r="E50" s="690"/>
      <c r="F50" s="711"/>
      <c r="G50" s="735"/>
      <c r="H50" s="693"/>
      <c r="I50" s="693"/>
      <c r="J50" s="711"/>
      <c r="K50" s="693"/>
      <c r="L50" s="693"/>
      <c r="M50" s="693"/>
      <c r="N50" s="711"/>
      <c r="O50" s="688"/>
      <c r="P50" s="812"/>
      <c r="Q50" s="743"/>
      <c r="R50" s="256"/>
      <c r="S50" s="492"/>
      <c r="T50" s="256"/>
      <c r="U50" s="259"/>
      <c r="V50" s="46"/>
      <c r="W50" s="280"/>
      <c r="X50" s="283"/>
      <c r="Y50" s="236"/>
      <c r="Z50" s="394">
        <v>3414</v>
      </c>
      <c r="AA50" s="246" t="s">
        <v>2873</v>
      </c>
      <c r="AB50" s="446">
        <v>5150292</v>
      </c>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row>
    <row r="51" spans="1:133" s="50" customFormat="1" ht="15" x14ac:dyDescent="0.25">
      <c r="A51" s="693"/>
      <c r="B51" s="690"/>
      <c r="C51" s="690"/>
      <c r="D51" s="693"/>
      <c r="E51" s="690"/>
      <c r="F51" s="711"/>
      <c r="G51" s="735"/>
      <c r="H51" s="693"/>
      <c r="I51" s="693"/>
      <c r="J51" s="711"/>
      <c r="K51" s="693"/>
      <c r="L51" s="693"/>
      <c r="M51" s="693"/>
      <c r="N51" s="711"/>
      <c r="O51" s="688"/>
      <c r="P51" s="812"/>
      <c r="Q51" s="743"/>
      <c r="R51" s="256"/>
      <c r="S51" s="492"/>
      <c r="T51" s="256"/>
      <c r="U51" s="259"/>
      <c r="V51" s="46"/>
      <c r="W51" s="280"/>
      <c r="X51" s="283"/>
      <c r="Y51" s="236"/>
      <c r="Z51" s="394">
        <v>3415</v>
      </c>
      <c r="AA51" s="246" t="s">
        <v>2873</v>
      </c>
      <c r="AB51" s="446">
        <v>3332542</v>
      </c>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row>
    <row r="52" spans="1:133" s="50" customFormat="1" ht="15" x14ac:dyDescent="0.25">
      <c r="A52" s="693"/>
      <c r="B52" s="690"/>
      <c r="C52" s="690"/>
      <c r="D52" s="693"/>
      <c r="E52" s="690"/>
      <c r="F52" s="711"/>
      <c r="G52" s="735"/>
      <c r="H52" s="693"/>
      <c r="I52" s="693"/>
      <c r="J52" s="711"/>
      <c r="K52" s="693"/>
      <c r="L52" s="693"/>
      <c r="M52" s="693"/>
      <c r="N52" s="711"/>
      <c r="O52" s="688"/>
      <c r="P52" s="812"/>
      <c r="Q52" s="743"/>
      <c r="R52" s="256"/>
      <c r="S52" s="492"/>
      <c r="T52" s="256"/>
      <c r="U52" s="259"/>
      <c r="V52" s="46"/>
      <c r="W52" s="280"/>
      <c r="X52" s="283"/>
      <c r="Y52" s="236"/>
      <c r="Z52" s="394">
        <v>3416</v>
      </c>
      <c r="AA52" s="246" t="s">
        <v>2873</v>
      </c>
      <c r="AB52" s="446">
        <v>6220744</v>
      </c>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row>
    <row r="53" spans="1:133" s="50" customFormat="1" ht="15" x14ac:dyDescent="0.25">
      <c r="A53" s="693"/>
      <c r="B53" s="690"/>
      <c r="C53" s="690"/>
      <c r="D53" s="693"/>
      <c r="E53" s="690"/>
      <c r="F53" s="711"/>
      <c r="G53" s="735"/>
      <c r="H53" s="693"/>
      <c r="I53" s="693"/>
      <c r="J53" s="711"/>
      <c r="K53" s="693"/>
      <c r="L53" s="693"/>
      <c r="M53" s="693"/>
      <c r="N53" s="711"/>
      <c r="O53" s="688"/>
      <c r="P53" s="812"/>
      <c r="Q53" s="743"/>
      <c r="R53" s="256"/>
      <c r="S53" s="492"/>
      <c r="T53" s="256"/>
      <c r="U53" s="259"/>
      <c r="V53" s="46"/>
      <c r="W53" s="280"/>
      <c r="X53" s="283"/>
      <c r="Y53" s="236"/>
      <c r="Z53" s="394">
        <v>3417</v>
      </c>
      <c r="AA53" s="246" t="s">
        <v>2873</v>
      </c>
      <c r="AB53" s="446">
        <v>8908925</v>
      </c>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row>
    <row r="54" spans="1:133" s="50" customFormat="1" ht="15" x14ac:dyDescent="0.25">
      <c r="A54" s="693"/>
      <c r="B54" s="690"/>
      <c r="C54" s="690"/>
      <c r="D54" s="693"/>
      <c r="E54" s="690"/>
      <c r="F54" s="711"/>
      <c r="G54" s="735"/>
      <c r="H54" s="693"/>
      <c r="I54" s="693"/>
      <c r="J54" s="711"/>
      <c r="K54" s="693"/>
      <c r="L54" s="693"/>
      <c r="M54" s="693"/>
      <c r="N54" s="711"/>
      <c r="O54" s="688"/>
      <c r="P54" s="812"/>
      <c r="Q54" s="743"/>
      <c r="R54" s="256"/>
      <c r="S54" s="492"/>
      <c r="T54" s="256"/>
      <c r="U54" s="259"/>
      <c r="V54" s="46"/>
      <c r="W54" s="280"/>
      <c r="X54" s="283"/>
      <c r="Y54" s="236"/>
      <c r="Z54" s="394">
        <v>3418</v>
      </c>
      <c r="AA54" s="246" t="s">
        <v>2873</v>
      </c>
      <c r="AB54" s="446">
        <v>8908925</v>
      </c>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row>
    <row r="55" spans="1:133" s="50" customFormat="1" ht="15" x14ac:dyDescent="0.25">
      <c r="A55" s="693"/>
      <c r="B55" s="690"/>
      <c r="C55" s="690"/>
      <c r="D55" s="693"/>
      <c r="E55" s="690"/>
      <c r="F55" s="711"/>
      <c r="G55" s="735"/>
      <c r="H55" s="693"/>
      <c r="I55" s="693"/>
      <c r="J55" s="711"/>
      <c r="K55" s="693"/>
      <c r="L55" s="693"/>
      <c r="M55" s="693"/>
      <c r="N55" s="711"/>
      <c r="O55" s="688"/>
      <c r="P55" s="812"/>
      <c r="Q55" s="743"/>
      <c r="R55" s="256"/>
      <c r="S55" s="492"/>
      <c r="T55" s="256"/>
      <c r="U55" s="259"/>
      <c r="V55" s="46"/>
      <c r="W55" s="280"/>
      <c r="X55" s="283"/>
      <c r="Y55" s="236"/>
      <c r="Z55" s="394">
        <v>3419</v>
      </c>
      <c r="AA55" s="246" t="s">
        <v>2873</v>
      </c>
      <c r="AB55" s="446">
        <v>7300972</v>
      </c>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row>
    <row r="56" spans="1:133" s="50" customFormat="1" ht="15" x14ac:dyDescent="0.25">
      <c r="A56" s="693"/>
      <c r="B56" s="690"/>
      <c r="C56" s="690"/>
      <c r="D56" s="693"/>
      <c r="E56" s="690"/>
      <c r="F56" s="711"/>
      <c r="G56" s="735"/>
      <c r="H56" s="693"/>
      <c r="I56" s="693"/>
      <c r="J56" s="711"/>
      <c r="K56" s="693"/>
      <c r="L56" s="693"/>
      <c r="M56" s="693"/>
      <c r="N56" s="711"/>
      <c r="O56" s="688"/>
      <c r="P56" s="812"/>
      <c r="Q56" s="743"/>
      <c r="R56" s="256"/>
      <c r="S56" s="492"/>
      <c r="T56" s="256"/>
      <c r="U56" s="259"/>
      <c r="V56" s="46"/>
      <c r="W56" s="280"/>
      <c r="X56" s="283"/>
      <c r="Y56" s="236"/>
      <c r="Z56" s="394">
        <v>3420</v>
      </c>
      <c r="AA56" s="246" t="s">
        <v>2873</v>
      </c>
      <c r="AB56" s="446">
        <v>15851693</v>
      </c>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row>
    <row r="57" spans="1:133" s="50" customFormat="1" ht="15" x14ac:dyDescent="0.25">
      <c r="A57" s="693"/>
      <c r="B57" s="690"/>
      <c r="C57" s="690"/>
      <c r="D57" s="693"/>
      <c r="E57" s="690"/>
      <c r="F57" s="711"/>
      <c r="G57" s="735"/>
      <c r="H57" s="693"/>
      <c r="I57" s="693"/>
      <c r="J57" s="711"/>
      <c r="K57" s="693"/>
      <c r="L57" s="693"/>
      <c r="M57" s="693"/>
      <c r="N57" s="711"/>
      <c r="O57" s="688"/>
      <c r="P57" s="812"/>
      <c r="Q57" s="743"/>
      <c r="R57" s="256"/>
      <c r="S57" s="492"/>
      <c r="T57" s="256"/>
      <c r="U57" s="259"/>
      <c r="V57" s="46"/>
      <c r="W57" s="280"/>
      <c r="X57" s="283"/>
      <c r="Y57" s="236"/>
      <c r="Z57" s="394">
        <v>3421</v>
      </c>
      <c r="AA57" s="246" t="s">
        <v>2873</v>
      </c>
      <c r="AB57" s="446">
        <v>11732697</v>
      </c>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row>
    <row r="58" spans="1:133" s="50" customFormat="1" ht="15" x14ac:dyDescent="0.25">
      <c r="A58" s="693"/>
      <c r="B58" s="690"/>
      <c r="C58" s="690"/>
      <c r="D58" s="693"/>
      <c r="E58" s="690"/>
      <c r="F58" s="711"/>
      <c r="G58" s="735"/>
      <c r="H58" s="693"/>
      <c r="I58" s="693"/>
      <c r="J58" s="711"/>
      <c r="K58" s="693"/>
      <c r="L58" s="693"/>
      <c r="M58" s="693"/>
      <c r="N58" s="711"/>
      <c r="O58" s="688"/>
      <c r="P58" s="812"/>
      <c r="Q58" s="743"/>
      <c r="R58" s="256"/>
      <c r="S58" s="492"/>
      <c r="T58" s="256"/>
      <c r="U58" s="259"/>
      <c r="V58" s="46"/>
      <c r="W58" s="280"/>
      <c r="X58" s="283"/>
      <c r="Y58" s="236"/>
      <c r="Z58" s="394">
        <v>3422</v>
      </c>
      <c r="AA58" s="246" t="s">
        <v>2873</v>
      </c>
      <c r="AB58" s="446">
        <v>20889842</v>
      </c>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row>
    <row r="59" spans="1:133" s="50" customFormat="1" ht="15" x14ac:dyDescent="0.25">
      <c r="A59" s="693"/>
      <c r="B59" s="690"/>
      <c r="C59" s="690"/>
      <c r="D59" s="693"/>
      <c r="E59" s="690"/>
      <c r="F59" s="711"/>
      <c r="G59" s="735"/>
      <c r="H59" s="693"/>
      <c r="I59" s="693"/>
      <c r="J59" s="711"/>
      <c r="K59" s="693"/>
      <c r="L59" s="693"/>
      <c r="M59" s="693"/>
      <c r="N59" s="711"/>
      <c r="O59" s="688"/>
      <c r="P59" s="812"/>
      <c r="Q59" s="743"/>
      <c r="R59" s="256"/>
      <c r="S59" s="492"/>
      <c r="T59" s="256"/>
      <c r="U59" s="259"/>
      <c r="V59" s="46"/>
      <c r="W59" s="280"/>
      <c r="X59" s="283"/>
      <c r="Y59" s="236"/>
      <c r="Z59" s="394">
        <v>3521</v>
      </c>
      <c r="AA59" s="246" t="s">
        <v>2874</v>
      </c>
      <c r="AB59" s="446">
        <v>6953307</v>
      </c>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row>
    <row r="60" spans="1:133" s="50" customFormat="1" ht="15" x14ac:dyDescent="0.25">
      <c r="A60" s="693"/>
      <c r="B60" s="690"/>
      <c r="C60" s="690"/>
      <c r="D60" s="693"/>
      <c r="E60" s="690"/>
      <c r="F60" s="711"/>
      <c r="G60" s="735"/>
      <c r="H60" s="693"/>
      <c r="I60" s="693"/>
      <c r="J60" s="711"/>
      <c r="K60" s="693"/>
      <c r="L60" s="693"/>
      <c r="M60" s="693"/>
      <c r="N60" s="711"/>
      <c r="O60" s="688"/>
      <c r="P60" s="812"/>
      <c r="Q60" s="743"/>
      <c r="R60" s="256"/>
      <c r="S60" s="492"/>
      <c r="T60" s="256"/>
      <c r="U60" s="259"/>
      <c r="V60" s="46"/>
      <c r="W60" s="280"/>
      <c r="X60" s="283"/>
      <c r="Y60" s="236"/>
      <c r="Z60" s="394">
        <v>3522</v>
      </c>
      <c r="AA60" s="246" t="s">
        <v>2874</v>
      </c>
      <c r="AB60" s="446">
        <v>6953307</v>
      </c>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row>
    <row r="61" spans="1:133" s="50" customFormat="1" ht="15" x14ac:dyDescent="0.25">
      <c r="A61" s="693"/>
      <c r="B61" s="690"/>
      <c r="C61" s="690"/>
      <c r="D61" s="693"/>
      <c r="E61" s="690"/>
      <c r="F61" s="711"/>
      <c r="G61" s="735"/>
      <c r="H61" s="693"/>
      <c r="I61" s="693"/>
      <c r="J61" s="711"/>
      <c r="K61" s="693"/>
      <c r="L61" s="693"/>
      <c r="M61" s="693"/>
      <c r="N61" s="711"/>
      <c r="O61" s="688"/>
      <c r="P61" s="812"/>
      <c r="Q61" s="743"/>
      <c r="R61" s="256"/>
      <c r="S61" s="492"/>
      <c r="T61" s="256"/>
      <c r="U61" s="259"/>
      <c r="V61" s="46"/>
      <c r="W61" s="280"/>
      <c r="X61" s="283"/>
      <c r="Y61" s="236"/>
      <c r="Z61" s="394">
        <v>3523</v>
      </c>
      <c r="AA61" s="246" t="s">
        <v>2874</v>
      </c>
      <c r="AB61" s="446">
        <v>6953307</v>
      </c>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row>
    <row r="62" spans="1:133" s="50" customFormat="1" ht="15" x14ac:dyDescent="0.25">
      <c r="A62" s="693"/>
      <c r="B62" s="690"/>
      <c r="C62" s="690"/>
      <c r="D62" s="693"/>
      <c r="E62" s="690"/>
      <c r="F62" s="711"/>
      <c r="G62" s="735"/>
      <c r="H62" s="693"/>
      <c r="I62" s="693"/>
      <c r="J62" s="711"/>
      <c r="K62" s="693"/>
      <c r="L62" s="693"/>
      <c r="M62" s="693"/>
      <c r="N62" s="711"/>
      <c r="O62" s="688"/>
      <c r="P62" s="812"/>
      <c r="Q62" s="743"/>
      <c r="R62" s="256"/>
      <c r="S62" s="492"/>
      <c r="T62" s="256"/>
      <c r="U62" s="259"/>
      <c r="V62" s="46"/>
      <c r="W62" s="280"/>
      <c r="X62" s="283"/>
      <c r="Y62" s="236"/>
      <c r="Z62" s="394">
        <v>3525</v>
      </c>
      <c r="AA62" s="246" t="s">
        <v>2875</v>
      </c>
      <c r="AB62" s="446">
        <v>5300000</v>
      </c>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row>
    <row r="63" spans="1:133" s="50" customFormat="1" ht="15" x14ac:dyDescent="0.25">
      <c r="A63" s="693"/>
      <c r="B63" s="690"/>
      <c r="C63" s="690"/>
      <c r="D63" s="693"/>
      <c r="E63" s="690"/>
      <c r="F63" s="711"/>
      <c r="G63" s="735"/>
      <c r="H63" s="693"/>
      <c r="I63" s="693"/>
      <c r="J63" s="711"/>
      <c r="K63" s="693"/>
      <c r="L63" s="693"/>
      <c r="M63" s="693"/>
      <c r="N63" s="711"/>
      <c r="O63" s="688"/>
      <c r="P63" s="812"/>
      <c r="Q63" s="743"/>
      <c r="R63" s="256"/>
      <c r="S63" s="492"/>
      <c r="T63" s="256"/>
      <c r="U63" s="259"/>
      <c r="V63" s="46"/>
      <c r="W63" s="280"/>
      <c r="X63" s="283"/>
      <c r="Y63" s="236"/>
      <c r="Z63" s="394">
        <v>3875</v>
      </c>
      <c r="AA63" s="246" t="s">
        <v>2859</v>
      </c>
      <c r="AB63" s="446">
        <v>9857443</v>
      </c>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row>
    <row r="64" spans="1:133" s="50" customFormat="1" ht="15" x14ac:dyDescent="0.25">
      <c r="A64" s="693"/>
      <c r="B64" s="690"/>
      <c r="C64" s="690"/>
      <c r="D64" s="693"/>
      <c r="E64" s="690"/>
      <c r="F64" s="711"/>
      <c r="G64" s="735"/>
      <c r="H64" s="693"/>
      <c r="I64" s="693"/>
      <c r="J64" s="711"/>
      <c r="K64" s="693"/>
      <c r="L64" s="693"/>
      <c r="M64" s="693"/>
      <c r="N64" s="711"/>
      <c r="O64" s="688"/>
      <c r="P64" s="812"/>
      <c r="Q64" s="743"/>
      <c r="R64" s="256"/>
      <c r="S64" s="492"/>
      <c r="T64" s="256"/>
      <c r="U64" s="259"/>
      <c r="V64" s="46"/>
      <c r="W64" s="280"/>
      <c r="X64" s="283"/>
      <c r="Y64" s="236"/>
      <c r="Z64" s="394">
        <v>3891</v>
      </c>
      <c r="AA64" s="246" t="s">
        <v>2859</v>
      </c>
      <c r="AB64" s="446">
        <v>9857443</v>
      </c>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row>
    <row r="65" spans="1:133" s="50" customFormat="1" ht="15" x14ac:dyDescent="0.25">
      <c r="A65" s="693"/>
      <c r="B65" s="690"/>
      <c r="C65" s="690"/>
      <c r="D65" s="693"/>
      <c r="E65" s="690"/>
      <c r="F65" s="711"/>
      <c r="G65" s="735"/>
      <c r="H65" s="693"/>
      <c r="I65" s="693"/>
      <c r="J65" s="711"/>
      <c r="K65" s="693"/>
      <c r="L65" s="693"/>
      <c r="M65" s="693"/>
      <c r="N65" s="711"/>
      <c r="O65" s="688"/>
      <c r="P65" s="812"/>
      <c r="Q65" s="743"/>
      <c r="R65" s="256"/>
      <c r="S65" s="492"/>
      <c r="T65" s="256"/>
      <c r="U65" s="259"/>
      <c r="V65" s="46"/>
      <c r="W65" s="280"/>
      <c r="X65" s="283"/>
      <c r="Y65" s="236"/>
      <c r="Z65" s="394">
        <v>4864</v>
      </c>
      <c r="AA65" s="246" t="s">
        <v>2821</v>
      </c>
      <c r="AB65" s="446">
        <v>8846383</v>
      </c>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row>
    <row r="66" spans="1:133" s="50" customFormat="1" ht="15" x14ac:dyDescent="0.25">
      <c r="A66" s="693"/>
      <c r="B66" s="690"/>
      <c r="C66" s="690"/>
      <c r="D66" s="693"/>
      <c r="E66" s="690"/>
      <c r="F66" s="711"/>
      <c r="G66" s="735"/>
      <c r="H66" s="693"/>
      <c r="I66" s="693"/>
      <c r="J66" s="711"/>
      <c r="K66" s="693"/>
      <c r="L66" s="693"/>
      <c r="M66" s="693"/>
      <c r="N66" s="711"/>
      <c r="O66" s="688"/>
      <c r="P66" s="812"/>
      <c r="Q66" s="743"/>
      <c r="R66" s="256"/>
      <c r="S66" s="492"/>
      <c r="T66" s="256"/>
      <c r="U66" s="259"/>
      <c r="V66" s="46"/>
      <c r="W66" s="280"/>
      <c r="X66" s="283"/>
      <c r="Y66" s="236"/>
      <c r="Z66" s="394">
        <v>4970</v>
      </c>
      <c r="AA66" s="246" t="s">
        <v>2876</v>
      </c>
      <c r="AB66" s="446">
        <v>6548651</v>
      </c>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row>
    <row r="67" spans="1:133" s="50" customFormat="1" ht="15" x14ac:dyDescent="0.25">
      <c r="A67" s="693"/>
      <c r="B67" s="690"/>
      <c r="C67" s="690"/>
      <c r="D67" s="693"/>
      <c r="E67" s="690"/>
      <c r="F67" s="711"/>
      <c r="G67" s="735"/>
      <c r="H67" s="693"/>
      <c r="I67" s="693"/>
      <c r="J67" s="711"/>
      <c r="K67" s="693"/>
      <c r="L67" s="693"/>
      <c r="M67" s="693"/>
      <c r="N67" s="711"/>
      <c r="O67" s="688"/>
      <c r="P67" s="812"/>
      <c r="Q67" s="743"/>
      <c r="R67" s="256"/>
      <c r="S67" s="492"/>
      <c r="T67" s="256"/>
      <c r="U67" s="259"/>
      <c r="V67" s="46"/>
      <c r="W67" s="280"/>
      <c r="X67" s="283"/>
      <c r="Y67" s="236"/>
      <c r="Z67" s="394">
        <v>4978</v>
      </c>
      <c r="AA67" s="246" t="s">
        <v>2877</v>
      </c>
      <c r="AB67" s="446">
        <v>13451020</v>
      </c>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row>
    <row r="68" spans="1:133" s="50" customFormat="1" ht="15" x14ac:dyDescent="0.25">
      <c r="A68" s="693"/>
      <c r="B68" s="690"/>
      <c r="C68" s="690"/>
      <c r="D68" s="693"/>
      <c r="E68" s="690"/>
      <c r="F68" s="711"/>
      <c r="G68" s="735"/>
      <c r="H68" s="693"/>
      <c r="I68" s="693"/>
      <c r="J68" s="711"/>
      <c r="K68" s="693"/>
      <c r="L68" s="693"/>
      <c r="M68" s="693"/>
      <c r="N68" s="711"/>
      <c r="O68" s="688"/>
      <c r="P68" s="812"/>
      <c r="Q68" s="743"/>
      <c r="R68" s="256"/>
      <c r="S68" s="492"/>
      <c r="T68" s="256"/>
      <c r="U68" s="259"/>
      <c r="V68" s="46"/>
      <c r="W68" s="280"/>
      <c r="X68" s="283"/>
      <c r="Y68" s="236"/>
      <c r="Z68" s="394">
        <v>4985</v>
      </c>
      <c r="AA68" s="246" t="s">
        <v>2825</v>
      </c>
      <c r="AB68" s="446">
        <v>4041610</v>
      </c>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row>
    <row r="69" spans="1:133" s="50" customFormat="1" ht="15" x14ac:dyDescent="0.25">
      <c r="A69" s="693"/>
      <c r="B69" s="690"/>
      <c r="C69" s="690"/>
      <c r="D69" s="693"/>
      <c r="E69" s="690"/>
      <c r="F69" s="711"/>
      <c r="G69" s="735"/>
      <c r="H69" s="693"/>
      <c r="I69" s="693"/>
      <c r="J69" s="711"/>
      <c r="K69" s="693"/>
      <c r="L69" s="693"/>
      <c r="M69" s="693"/>
      <c r="N69" s="711"/>
      <c r="O69" s="688"/>
      <c r="P69" s="812"/>
      <c r="Q69" s="743"/>
      <c r="R69" s="256"/>
      <c r="S69" s="492"/>
      <c r="T69" s="256"/>
      <c r="U69" s="259"/>
      <c r="V69" s="46"/>
      <c r="W69" s="280"/>
      <c r="X69" s="283"/>
      <c r="Y69" s="236"/>
      <c r="Z69" s="571">
        <v>5404</v>
      </c>
      <c r="AA69" s="246" t="s">
        <v>2786</v>
      </c>
      <c r="AB69" s="587">
        <v>4342790</v>
      </c>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row>
    <row r="70" spans="1:133" s="50" customFormat="1" ht="15" x14ac:dyDescent="0.25">
      <c r="A70" s="693"/>
      <c r="B70" s="690"/>
      <c r="C70" s="690"/>
      <c r="D70" s="693"/>
      <c r="E70" s="690"/>
      <c r="F70" s="711"/>
      <c r="G70" s="735"/>
      <c r="H70" s="693"/>
      <c r="I70" s="693"/>
      <c r="J70" s="711"/>
      <c r="K70" s="693"/>
      <c r="L70" s="693"/>
      <c r="M70" s="693"/>
      <c r="N70" s="711"/>
      <c r="O70" s="688"/>
      <c r="P70" s="812"/>
      <c r="Q70" s="743"/>
      <c r="R70" s="256"/>
      <c r="S70" s="492"/>
      <c r="T70" s="256"/>
      <c r="U70" s="259"/>
      <c r="V70" s="46"/>
      <c r="W70" s="280"/>
      <c r="X70" s="283"/>
      <c r="Y70" s="236"/>
      <c r="Z70" s="571">
        <v>5553</v>
      </c>
      <c r="AA70" s="246" t="s">
        <v>2802</v>
      </c>
      <c r="AB70" s="587">
        <v>2530935</v>
      </c>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row>
    <row r="71" spans="1:133" s="50" customFormat="1" ht="15" x14ac:dyDescent="0.25">
      <c r="A71" s="693"/>
      <c r="B71" s="690"/>
      <c r="C71" s="690"/>
      <c r="D71" s="693"/>
      <c r="E71" s="690"/>
      <c r="F71" s="711"/>
      <c r="G71" s="735"/>
      <c r="H71" s="693"/>
      <c r="I71" s="693"/>
      <c r="J71" s="711"/>
      <c r="K71" s="693"/>
      <c r="L71" s="693"/>
      <c r="M71" s="693"/>
      <c r="N71" s="711"/>
      <c r="O71" s="688"/>
      <c r="P71" s="812"/>
      <c r="Q71" s="743"/>
      <c r="R71" s="256"/>
      <c r="S71" s="492"/>
      <c r="T71" s="256"/>
      <c r="U71" s="259"/>
      <c r="V71" s="46"/>
      <c r="W71" s="280"/>
      <c r="X71" s="283"/>
      <c r="Y71" s="236"/>
      <c r="Z71" s="571">
        <v>5556</v>
      </c>
      <c r="AA71" s="246" t="s">
        <v>2802</v>
      </c>
      <c r="AB71" s="587">
        <v>969467</v>
      </c>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row>
    <row r="72" spans="1:133" s="50" customFormat="1" ht="15" x14ac:dyDescent="0.25">
      <c r="A72" s="693"/>
      <c r="B72" s="690"/>
      <c r="C72" s="690"/>
      <c r="D72" s="693"/>
      <c r="E72" s="690"/>
      <c r="F72" s="711"/>
      <c r="G72" s="735"/>
      <c r="H72" s="693"/>
      <c r="I72" s="693"/>
      <c r="J72" s="711"/>
      <c r="K72" s="693"/>
      <c r="L72" s="693"/>
      <c r="M72" s="693"/>
      <c r="N72" s="711"/>
      <c r="O72" s="688"/>
      <c r="P72" s="812"/>
      <c r="Q72" s="743"/>
      <c r="R72" s="256"/>
      <c r="S72" s="492"/>
      <c r="T72" s="256"/>
      <c r="U72" s="259"/>
      <c r="V72" s="46"/>
      <c r="W72" s="280"/>
      <c r="X72" s="283"/>
      <c r="Y72" s="236"/>
      <c r="Z72" s="571">
        <v>5717</v>
      </c>
      <c r="AA72" s="246" t="s">
        <v>2777</v>
      </c>
      <c r="AB72" s="587">
        <v>1814633</v>
      </c>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row>
    <row r="73" spans="1:133" s="50" customFormat="1" ht="15" x14ac:dyDescent="0.25">
      <c r="A73" s="693"/>
      <c r="B73" s="690"/>
      <c r="C73" s="690"/>
      <c r="D73" s="693"/>
      <c r="E73" s="690"/>
      <c r="F73" s="711"/>
      <c r="G73" s="735"/>
      <c r="H73" s="693"/>
      <c r="I73" s="693"/>
      <c r="J73" s="711"/>
      <c r="K73" s="693"/>
      <c r="L73" s="693"/>
      <c r="M73" s="693"/>
      <c r="N73" s="711"/>
      <c r="O73" s="688"/>
      <c r="P73" s="812"/>
      <c r="Q73" s="743"/>
      <c r="R73" s="256"/>
      <c r="S73" s="492"/>
      <c r="T73" s="256"/>
      <c r="U73" s="259"/>
      <c r="V73" s="46"/>
      <c r="W73" s="280"/>
      <c r="X73" s="283"/>
      <c r="Y73" s="236"/>
      <c r="Z73" s="571">
        <v>5732</v>
      </c>
      <c r="AA73" s="246" t="s">
        <v>2787</v>
      </c>
      <c r="AB73" s="587">
        <v>2241891</v>
      </c>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row>
    <row r="74" spans="1:133" s="127" customFormat="1" ht="27" customHeight="1" x14ac:dyDescent="0.25">
      <c r="A74" s="693"/>
      <c r="B74" s="690"/>
      <c r="C74" s="690"/>
      <c r="D74" s="692" t="s">
        <v>861</v>
      </c>
      <c r="E74" s="689" t="s">
        <v>134</v>
      </c>
      <c r="F74" s="838">
        <v>18219645</v>
      </c>
      <c r="G74" s="687">
        <v>0</v>
      </c>
      <c r="H74" s="692"/>
      <c r="I74" s="692"/>
      <c r="J74" s="710">
        <v>1515143</v>
      </c>
      <c r="K74" s="692"/>
      <c r="L74" s="692"/>
      <c r="M74" s="692"/>
      <c r="N74" s="692"/>
      <c r="O74" s="728">
        <v>694342</v>
      </c>
      <c r="P74" s="810">
        <f>+F74+G74+H74+I74+J74+K74+L74+N74-O74</f>
        <v>19040446</v>
      </c>
      <c r="Q74" s="743"/>
      <c r="R74" s="689" t="s">
        <v>656</v>
      </c>
      <c r="S74" s="829">
        <v>2</v>
      </c>
      <c r="T74" s="832" t="s">
        <v>657</v>
      </c>
      <c r="U74" s="728">
        <v>5628160</v>
      </c>
      <c r="V74" s="46"/>
      <c r="W74" s="69">
        <v>31</v>
      </c>
      <c r="X74" s="279" t="s">
        <v>852</v>
      </c>
      <c r="Y74" s="236">
        <v>5628160</v>
      </c>
      <c r="Z74" s="250">
        <v>158</v>
      </c>
      <c r="AA74" s="122" t="s">
        <v>852</v>
      </c>
      <c r="AB74" s="275">
        <v>538991</v>
      </c>
    </row>
    <row r="75" spans="1:133" s="127" customFormat="1" ht="15" x14ac:dyDescent="0.25">
      <c r="A75" s="693"/>
      <c r="B75" s="690"/>
      <c r="C75" s="690"/>
      <c r="D75" s="693"/>
      <c r="E75" s="690"/>
      <c r="F75" s="839"/>
      <c r="G75" s="688"/>
      <c r="H75" s="693"/>
      <c r="I75" s="693"/>
      <c r="J75" s="711"/>
      <c r="K75" s="693"/>
      <c r="L75" s="693"/>
      <c r="M75" s="693"/>
      <c r="N75" s="693"/>
      <c r="O75" s="735"/>
      <c r="P75" s="812"/>
      <c r="Q75" s="743"/>
      <c r="R75" s="690"/>
      <c r="S75" s="830"/>
      <c r="T75" s="816"/>
      <c r="U75" s="735"/>
      <c r="V75" s="46"/>
      <c r="W75" s="69"/>
      <c r="X75" s="279"/>
      <c r="Y75" s="236"/>
      <c r="Z75" s="250">
        <v>159</v>
      </c>
      <c r="AA75" s="122" t="s">
        <v>852</v>
      </c>
      <c r="AB75" s="275">
        <v>246061</v>
      </c>
    </row>
    <row r="76" spans="1:133" s="127" customFormat="1" ht="15" x14ac:dyDescent="0.25">
      <c r="A76" s="693"/>
      <c r="B76" s="690"/>
      <c r="C76" s="690"/>
      <c r="D76" s="693"/>
      <c r="E76" s="690"/>
      <c r="F76" s="839"/>
      <c r="G76" s="688"/>
      <c r="H76" s="693"/>
      <c r="I76" s="693"/>
      <c r="J76" s="711"/>
      <c r="K76" s="693"/>
      <c r="L76" s="693"/>
      <c r="M76" s="693"/>
      <c r="N76" s="693"/>
      <c r="O76" s="735"/>
      <c r="P76" s="812"/>
      <c r="Q76" s="743"/>
      <c r="R76" s="690"/>
      <c r="S76" s="830"/>
      <c r="T76" s="816"/>
      <c r="U76" s="735"/>
      <c r="V76" s="46"/>
      <c r="W76" s="69"/>
      <c r="X76" s="279"/>
      <c r="Y76" s="236"/>
      <c r="Z76" s="250">
        <v>161</v>
      </c>
      <c r="AA76" s="122" t="s">
        <v>852</v>
      </c>
      <c r="AB76" s="275">
        <v>632729</v>
      </c>
    </row>
    <row r="77" spans="1:133" s="127" customFormat="1" ht="15" x14ac:dyDescent="0.25">
      <c r="A77" s="693"/>
      <c r="B77" s="690"/>
      <c r="C77" s="690"/>
      <c r="D77" s="693"/>
      <c r="E77" s="690"/>
      <c r="F77" s="839"/>
      <c r="G77" s="688"/>
      <c r="H77" s="693"/>
      <c r="I77" s="693"/>
      <c r="J77" s="711"/>
      <c r="K77" s="693"/>
      <c r="L77" s="693"/>
      <c r="M77" s="693"/>
      <c r="N77" s="693"/>
      <c r="O77" s="735"/>
      <c r="P77" s="812"/>
      <c r="Q77" s="743"/>
      <c r="R77" s="690"/>
      <c r="S77" s="830"/>
      <c r="T77" s="816"/>
      <c r="U77" s="735"/>
      <c r="V77" s="46"/>
      <c r="W77" s="69"/>
      <c r="X77" s="279"/>
      <c r="Y77" s="236"/>
      <c r="Z77" s="250">
        <v>162</v>
      </c>
      <c r="AA77" s="122" t="s">
        <v>852</v>
      </c>
      <c r="AB77" s="275">
        <v>632729</v>
      </c>
    </row>
    <row r="78" spans="1:133" s="127" customFormat="1" ht="15" x14ac:dyDescent="0.25">
      <c r="A78" s="693"/>
      <c r="B78" s="690"/>
      <c r="C78" s="690"/>
      <c r="D78" s="693"/>
      <c r="E78" s="690"/>
      <c r="F78" s="839"/>
      <c r="G78" s="688"/>
      <c r="H78" s="693"/>
      <c r="I78" s="693"/>
      <c r="J78" s="711"/>
      <c r="K78" s="693"/>
      <c r="L78" s="693"/>
      <c r="M78" s="693"/>
      <c r="N78" s="693"/>
      <c r="O78" s="735"/>
      <c r="P78" s="812"/>
      <c r="Q78" s="743"/>
      <c r="R78" s="690"/>
      <c r="S78" s="830"/>
      <c r="T78" s="816"/>
      <c r="U78" s="735"/>
      <c r="V78" s="46"/>
      <c r="W78" s="69"/>
      <c r="X78" s="279"/>
      <c r="Y78" s="236"/>
      <c r="Z78" s="250">
        <v>164</v>
      </c>
      <c r="AA78" s="122" t="s">
        <v>852</v>
      </c>
      <c r="AB78" s="275">
        <v>632729</v>
      </c>
    </row>
    <row r="79" spans="1:133" s="127" customFormat="1" ht="15" x14ac:dyDescent="0.25">
      <c r="A79" s="693"/>
      <c r="B79" s="690"/>
      <c r="C79" s="690"/>
      <c r="D79" s="693"/>
      <c r="E79" s="690"/>
      <c r="F79" s="839"/>
      <c r="G79" s="688"/>
      <c r="H79" s="693"/>
      <c r="I79" s="693"/>
      <c r="J79" s="711"/>
      <c r="K79" s="693"/>
      <c r="L79" s="693"/>
      <c r="M79" s="693"/>
      <c r="N79" s="693"/>
      <c r="O79" s="735"/>
      <c r="P79" s="812"/>
      <c r="Q79" s="743"/>
      <c r="R79" s="690"/>
      <c r="S79" s="830"/>
      <c r="T79" s="816"/>
      <c r="U79" s="735"/>
      <c r="V79" s="46"/>
      <c r="W79" s="69"/>
      <c r="X79" s="279"/>
      <c r="Y79" s="236"/>
      <c r="Z79" s="250">
        <v>175</v>
      </c>
      <c r="AA79" s="122" t="s">
        <v>852</v>
      </c>
      <c r="AB79" s="275">
        <v>632729</v>
      </c>
    </row>
    <row r="80" spans="1:133" s="127" customFormat="1" ht="15" x14ac:dyDescent="0.25">
      <c r="A80" s="693"/>
      <c r="B80" s="690"/>
      <c r="C80" s="690"/>
      <c r="D80" s="693"/>
      <c r="E80" s="690"/>
      <c r="F80" s="839"/>
      <c r="G80" s="688"/>
      <c r="H80" s="693"/>
      <c r="I80" s="693"/>
      <c r="J80" s="711"/>
      <c r="K80" s="693"/>
      <c r="L80" s="693"/>
      <c r="M80" s="693"/>
      <c r="N80" s="693"/>
      <c r="O80" s="735"/>
      <c r="P80" s="812"/>
      <c r="Q80" s="743"/>
      <c r="R80" s="690"/>
      <c r="S80" s="830"/>
      <c r="T80" s="816"/>
      <c r="U80" s="735"/>
      <c r="V80" s="46"/>
      <c r="W80" s="69"/>
      <c r="X80" s="279"/>
      <c r="Y80" s="236"/>
      <c r="Z80" s="250">
        <v>260</v>
      </c>
      <c r="AA80" s="122" t="s">
        <v>854</v>
      </c>
      <c r="AB80" s="275">
        <v>589765</v>
      </c>
    </row>
    <row r="81" spans="1:28" s="127" customFormat="1" ht="15" x14ac:dyDescent="0.25">
      <c r="A81" s="693"/>
      <c r="B81" s="690"/>
      <c r="C81" s="690"/>
      <c r="D81" s="693"/>
      <c r="E81" s="690"/>
      <c r="F81" s="839"/>
      <c r="G81" s="688"/>
      <c r="H81" s="693"/>
      <c r="I81" s="693"/>
      <c r="J81" s="711"/>
      <c r="K81" s="693"/>
      <c r="L81" s="693"/>
      <c r="M81" s="693"/>
      <c r="N81" s="693"/>
      <c r="O81" s="735"/>
      <c r="P81" s="812"/>
      <c r="Q81" s="743"/>
      <c r="R81" s="690"/>
      <c r="S81" s="830"/>
      <c r="T81" s="816"/>
      <c r="U81" s="735"/>
      <c r="V81" s="46"/>
      <c r="W81" s="69"/>
      <c r="X81" s="279"/>
      <c r="Y81" s="236"/>
      <c r="Z81" s="250">
        <v>265</v>
      </c>
      <c r="AA81" s="122" t="s">
        <v>854</v>
      </c>
      <c r="AB81" s="275">
        <v>589765</v>
      </c>
    </row>
    <row r="82" spans="1:28" s="127" customFormat="1" ht="15" x14ac:dyDescent="0.25">
      <c r="A82" s="693"/>
      <c r="B82" s="690"/>
      <c r="C82" s="690"/>
      <c r="D82" s="693"/>
      <c r="E82" s="690"/>
      <c r="F82" s="839"/>
      <c r="G82" s="688"/>
      <c r="H82" s="693"/>
      <c r="I82" s="693"/>
      <c r="J82" s="711"/>
      <c r="K82" s="693"/>
      <c r="L82" s="693"/>
      <c r="M82" s="693"/>
      <c r="N82" s="693"/>
      <c r="O82" s="735"/>
      <c r="P82" s="812"/>
      <c r="Q82" s="743"/>
      <c r="R82" s="690"/>
      <c r="S82" s="830"/>
      <c r="T82" s="816"/>
      <c r="U82" s="735"/>
      <c r="V82" s="46"/>
      <c r="W82" s="69"/>
      <c r="X82" s="279"/>
      <c r="Y82" s="236"/>
      <c r="Z82" s="250">
        <v>465</v>
      </c>
      <c r="AA82" s="122" t="s">
        <v>2871</v>
      </c>
      <c r="AB82" s="275">
        <v>597577</v>
      </c>
    </row>
    <row r="83" spans="1:28" s="127" customFormat="1" ht="15" x14ac:dyDescent="0.25">
      <c r="A83" s="693"/>
      <c r="B83" s="690"/>
      <c r="C83" s="690"/>
      <c r="D83" s="693"/>
      <c r="E83" s="690"/>
      <c r="F83" s="839"/>
      <c r="G83" s="688"/>
      <c r="H83" s="693"/>
      <c r="I83" s="693"/>
      <c r="J83" s="711"/>
      <c r="K83" s="693"/>
      <c r="L83" s="693"/>
      <c r="M83" s="693"/>
      <c r="N83" s="693"/>
      <c r="O83" s="735"/>
      <c r="P83" s="812"/>
      <c r="Q83" s="743"/>
      <c r="R83" s="691"/>
      <c r="S83" s="831"/>
      <c r="T83" s="817"/>
      <c r="U83" s="729"/>
      <c r="V83" s="46"/>
      <c r="W83" s="69"/>
      <c r="X83" s="279"/>
      <c r="Y83" s="236"/>
      <c r="Z83" s="250">
        <v>569</v>
      </c>
      <c r="AA83" s="122" t="s">
        <v>858</v>
      </c>
      <c r="AB83" s="275">
        <v>0</v>
      </c>
    </row>
    <row r="84" spans="1:28" s="127" customFormat="1" ht="15" x14ac:dyDescent="0.25">
      <c r="A84" s="693"/>
      <c r="B84" s="690"/>
      <c r="C84" s="690"/>
      <c r="D84" s="693"/>
      <c r="E84" s="690"/>
      <c r="F84" s="839"/>
      <c r="G84" s="688"/>
      <c r="H84" s="693"/>
      <c r="I84" s="693"/>
      <c r="J84" s="711"/>
      <c r="K84" s="693"/>
      <c r="L84" s="693"/>
      <c r="M84" s="693"/>
      <c r="N84" s="693"/>
      <c r="O84" s="735"/>
      <c r="P84" s="812"/>
      <c r="Q84" s="743"/>
      <c r="R84" s="386"/>
      <c r="S84" s="435"/>
      <c r="T84" s="388"/>
      <c r="U84" s="385"/>
      <c r="V84" s="46"/>
      <c r="W84" s="69"/>
      <c r="X84" s="279"/>
      <c r="Y84" s="236"/>
      <c r="Z84" s="391">
        <v>1051</v>
      </c>
      <c r="AA84" s="273" t="s">
        <v>856</v>
      </c>
      <c r="AB84" s="275">
        <v>535085</v>
      </c>
    </row>
    <row r="85" spans="1:28" s="127" customFormat="1" ht="108.75" customHeight="1" x14ac:dyDescent="0.25">
      <c r="A85" s="693"/>
      <c r="B85" s="690"/>
      <c r="C85" s="690"/>
      <c r="D85" s="693"/>
      <c r="E85" s="690"/>
      <c r="F85" s="839"/>
      <c r="G85" s="688"/>
      <c r="H85" s="693"/>
      <c r="I85" s="693"/>
      <c r="J85" s="711"/>
      <c r="K85" s="693"/>
      <c r="L85" s="693"/>
      <c r="M85" s="693"/>
      <c r="N85" s="693"/>
      <c r="O85" s="735"/>
      <c r="P85" s="812"/>
      <c r="Q85" s="743"/>
      <c r="R85" s="69" t="s">
        <v>1464</v>
      </c>
      <c r="S85" s="490" t="s">
        <v>1465</v>
      </c>
      <c r="T85" s="262" t="s">
        <v>1466</v>
      </c>
      <c r="U85" s="236">
        <v>8643385</v>
      </c>
      <c r="V85" s="46"/>
      <c r="W85" s="69">
        <v>771</v>
      </c>
      <c r="X85" s="279">
        <v>44742</v>
      </c>
      <c r="Y85" s="236">
        <v>8643385</v>
      </c>
      <c r="Z85" s="250">
        <v>3402</v>
      </c>
      <c r="AA85" s="122" t="s">
        <v>2873</v>
      </c>
      <c r="AB85" s="275">
        <v>656163</v>
      </c>
    </row>
    <row r="86" spans="1:28" s="49" customFormat="1" ht="15" x14ac:dyDescent="0.25">
      <c r="A86" s="693"/>
      <c r="B86" s="690"/>
      <c r="C86" s="690"/>
      <c r="D86" s="693"/>
      <c r="E86" s="690"/>
      <c r="F86" s="839"/>
      <c r="G86" s="688"/>
      <c r="H86" s="693"/>
      <c r="I86" s="693"/>
      <c r="J86" s="711"/>
      <c r="K86" s="693"/>
      <c r="L86" s="693"/>
      <c r="M86" s="693"/>
      <c r="N86" s="693"/>
      <c r="O86" s="735"/>
      <c r="P86" s="812"/>
      <c r="Q86" s="743"/>
      <c r="R86" s="281"/>
      <c r="S86" s="492"/>
      <c r="T86" s="256"/>
      <c r="U86" s="259"/>
      <c r="V86" s="46"/>
      <c r="W86" s="280"/>
      <c r="X86" s="279"/>
      <c r="Y86" s="236"/>
      <c r="Z86" s="391">
        <v>3414</v>
      </c>
      <c r="AA86" s="273" t="s">
        <v>2873</v>
      </c>
      <c r="AB86" s="275">
        <v>331987</v>
      </c>
    </row>
    <row r="87" spans="1:28" s="49" customFormat="1" ht="15" x14ac:dyDescent="0.25">
      <c r="A87" s="693"/>
      <c r="B87" s="690"/>
      <c r="C87" s="690"/>
      <c r="D87" s="693"/>
      <c r="E87" s="690"/>
      <c r="F87" s="839"/>
      <c r="G87" s="688"/>
      <c r="H87" s="693"/>
      <c r="I87" s="693"/>
      <c r="J87" s="711"/>
      <c r="K87" s="693"/>
      <c r="L87" s="693"/>
      <c r="M87" s="693"/>
      <c r="N87" s="693"/>
      <c r="O87" s="735"/>
      <c r="P87" s="812"/>
      <c r="Q87" s="743"/>
      <c r="R87" s="281"/>
      <c r="S87" s="492"/>
      <c r="T87" s="256"/>
      <c r="U87" s="259"/>
      <c r="V87" s="46"/>
      <c r="W87" s="280"/>
      <c r="X87" s="279"/>
      <c r="Y87" s="236"/>
      <c r="Z87" s="391">
        <v>3415</v>
      </c>
      <c r="AA87" s="273" t="s">
        <v>2873</v>
      </c>
      <c r="AB87" s="275">
        <v>214815</v>
      </c>
    </row>
    <row r="88" spans="1:28" s="49" customFormat="1" ht="15" x14ac:dyDescent="0.25">
      <c r="A88" s="693"/>
      <c r="B88" s="690"/>
      <c r="C88" s="690"/>
      <c r="D88" s="693"/>
      <c r="E88" s="690"/>
      <c r="F88" s="839"/>
      <c r="G88" s="688"/>
      <c r="H88" s="693"/>
      <c r="I88" s="693"/>
      <c r="J88" s="711"/>
      <c r="K88" s="693"/>
      <c r="L88" s="693"/>
      <c r="M88" s="693"/>
      <c r="N88" s="693"/>
      <c r="O88" s="735"/>
      <c r="P88" s="812"/>
      <c r="Q88" s="743"/>
      <c r="R88" s="281"/>
      <c r="S88" s="492"/>
      <c r="T88" s="256"/>
      <c r="U88" s="259"/>
      <c r="V88" s="46"/>
      <c r="W88" s="280"/>
      <c r="X88" s="279"/>
      <c r="Y88" s="236"/>
      <c r="Z88" s="391">
        <v>3416</v>
      </c>
      <c r="AA88" s="273" t="s">
        <v>2873</v>
      </c>
      <c r="AB88" s="275">
        <v>390573</v>
      </c>
    </row>
    <row r="89" spans="1:28" s="49" customFormat="1" ht="15" x14ac:dyDescent="0.25">
      <c r="A89" s="693"/>
      <c r="B89" s="690"/>
      <c r="C89" s="690"/>
      <c r="D89" s="693"/>
      <c r="E89" s="690"/>
      <c r="F89" s="839"/>
      <c r="G89" s="688"/>
      <c r="H89" s="693"/>
      <c r="I89" s="693"/>
      <c r="J89" s="711"/>
      <c r="K89" s="693"/>
      <c r="L89" s="693"/>
      <c r="M89" s="693"/>
      <c r="N89" s="693"/>
      <c r="O89" s="735"/>
      <c r="P89" s="812"/>
      <c r="Q89" s="743"/>
      <c r="R89" s="281"/>
      <c r="S89" s="492"/>
      <c r="T89" s="256"/>
      <c r="U89" s="259"/>
      <c r="V89" s="46"/>
      <c r="W89" s="280"/>
      <c r="X89" s="279"/>
      <c r="Y89" s="236"/>
      <c r="Z89" s="391">
        <v>3417</v>
      </c>
      <c r="AA89" s="273" t="s">
        <v>2873</v>
      </c>
      <c r="AB89" s="275">
        <v>800675</v>
      </c>
    </row>
    <row r="90" spans="1:28" s="49" customFormat="1" ht="15" x14ac:dyDescent="0.25">
      <c r="A90" s="693"/>
      <c r="B90" s="690"/>
      <c r="C90" s="690"/>
      <c r="D90" s="693"/>
      <c r="E90" s="690"/>
      <c r="F90" s="839"/>
      <c r="G90" s="688"/>
      <c r="H90" s="693"/>
      <c r="I90" s="693"/>
      <c r="J90" s="711"/>
      <c r="K90" s="693"/>
      <c r="L90" s="693"/>
      <c r="M90" s="693"/>
      <c r="N90" s="693"/>
      <c r="O90" s="735"/>
      <c r="P90" s="812"/>
      <c r="Q90" s="743"/>
      <c r="R90" s="281"/>
      <c r="S90" s="492"/>
      <c r="T90" s="256"/>
      <c r="U90" s="259"/>
      <c r="V90" s="46"/>
      <c r="W90" s="280"/>
      <c r="X90" s="279"/>
      <c r="Y90" s="236"/>
      <c r="Z90" s="391">
        <v>3418</v>
      </c>
      <c r="AA90" s="273" t="s">
        <v>2873</v>
      </c>
      <c r="AB90" s="275">
        <v>800675</v>
      </c>
    </row>
    <row r="91" spans="1:28" s="49" customFormat="1" ht="15" x14ac:dyDescent="0.25">
      <c r="A91" s="693"/>
      <c r="B91" s="690"/>
      <c r="C91" s="690"/>
      <c r="D91" s="693"/>
      <c r="E91" s="690"/>
      <c r="F91" s="839"/>
      <c r="G91" s="688"/>
      <c r="H91" s="693"/>
      <c r="I91" s="693"/>
      <c r="J91" s="711"/>
      <c r="K91" s="693"/>
      <c r="L91" s="693"/>
      <c r="M91" s="693"/>
      <c r="N91" s="693"/>
      <c r="O91" s="735"/>
      <c r="P91" s="812"/>
      <c r="Q91" s="743"/>
      <c r="R91" s="281"/>
      <c r="S91" s="492"/>
      <c r="T91" s="256"/>
      <c r="U91" s="259"/>
      <c r="V91" s="46"/>
      <c r="W91" s="280"/>
      <c r="X91" s="279"/>
      <c r="Y91" s="236"/>
      <c r="Z91" s="391">
        <v>3419</v>
      </c>
      <c r="AA91" s="273" t="s">
        <v>2873</v>
      </c>
      <c r="AB91" s="275">
        <v>656163</v>
      </c>
    </row>
    <row r="92" spans="1:28" s="49" customFormat="1" ht="15" x14ac:dyDescent="0.25">
      <c r="A92" s="693"/>
      <c r="B92" s="690"/>
      <c r="C92" s="690"/>
      <c r="D92" s="693"/>
      <c r="E92" s="690"/>
      <c r="F92" s="839"/>
      <c r="G92" s="688"/>
      <c r="H92" s="693"/>
      <c r="I92" s="693"/>
      <c r="J92" s="711"/>
      <c r="K92" s="693"/>
      <c r="L92" s="693"/>
      <c r="M92" s="693"/>
      <c r="N92" s="693"/>
      <c r="O92" s="735"/>
      <c r="P92" s="812"/>
      <c r="Q92" s="743"/>
      <c r="R92" s="281"/>
      <c r="S92" s="492"/>
      <c r="T92" s="256"/>
      <c r="U92" s="259"/>
      <c r="V92" s="46"/>
      <c r="W92" s="280"/>
      <c r="X92" s="279"/>
      <c r="Y92" s="236"/>
      <c r="Z92" s="391">
        <v>3421</v>
      </c>
      <c r="AA92" s="273" t="s">
        <v>2873</v>
      </c>
      <c r="AB92" s="275">
        <v>800675</v>
      </c>
    </row>
    <row r="93" spans="1:28" s="49" customFormat="1" ht="15" x14ac:dyDescent="0.25">
      <c r="A93" s="693"/>
      <c r="B93" s="690"/>
      <c r="C93" s="690"/>
      <c r="D93" s="693"/>
      <c r="E93" s="690"/>
      <c r="F93" s="839"/>
      <c r="G93" s="688"/>
      <c r="H93" s="693"/>
      <c r="I93" s="693"/>
      <c r="J93" s="711"/>
      <c r="K93" s="693"/>
      <c r="L93" s="693"/>
      <c r="M93" s="693"/>
      <c r="N93" s="693"/>
      <c r="O93" s="735"/>
      <c r="P93" s="812"/>
      <c r="Q93" s="743"/>
      <c r="R93" s="281"/>
      <c r="S93" s="492"/>
      <c r="T93" s="256"/>
      <c r="U93" s="259"/>
      <c r="V93" s="46"/>
      <c r="W93" s="280"/>
      <c r="X93" s="279"/>
      <c r="Y93" s="236"/>
      <c r="Z93" s="391">
        <v>3521</v>
      </c>
      <c r="AA93" s="273" t="s">
        <v>2874</v>
      </c>
      <c r="AB93" s="275">
        <v>624917</v>
      </c>
    </row>
    <row r="94" spans="1:28" s="49" customFormat="1" ht="15" x14ac:dyDescent="0.25">
      <c r="A94" s="693"/>
      <c r="B94" s="690"/>
      <c r="C94" s="690"/>
      <c r="D94" s="693"/>
      <c r="E94" s="690"/>
      <c r="F94" s="839"/>
      <c r="G94" s="688"/>
      <c r="H94" s="693"/>
      <c r="I94" s="693"/>
      <c r="J94" s="711"/>
      <c r="K94" s="693"/>
      <c r="L94" s="693"/>
      <c r="M94" s="693"/>
      <c r="N94" s="693"/>
      <c r="O94" s="735"/>
      <c r="P94" s="812"/>
      <c r="Q94" s="743"/>
      <c r="R94" s="281"/>
      <c r="S94" s="492"/>
      <c r="T94" s="256"/>
      <c r="U94" s="259"/>
      <c r="V94" s="46"/>
      <c r="W94" s="280"/>
      <c r="X94" s="279"/>
      <c r="Y94" s="236"/>
      <c r="Z94" s="391">
        <v>3522</v>
      </c>
      <c r="AA94" s="273" t="s">
        <v>2874</v>
      </c>
      <c r="AB94" s="275">
        <v>624917</v>
      </c>
    </row>
    <row r="95" spans="1:28" s="49" customFormat="1" ht="15" x14ac:dyDescent="0.25">
      <c r="A95" s="693"/>
      <c r="B95" s="690"/>
      <c r="C95" s="690"/>
      <c r="D95" s="693"/>
      <c r="E95" s="690"/>
      <c r="F95" s="839"/>
      <c r="G95" s="688"/>
      <c r="H95" s="693"/>
      <c r="I95" s="693"/>
      <c r="J95" s="711"/>
      <c r="K95" s="693"/>
      <c r="L95" s="693"/>
      <c r="M95" s="693"/>
      <c r="N95" s="693"/>
      <c r="O95" s="735"/>
      <c r="P95" s="812"/>
      <c r="Q95" s="743"/>
      <c r="R95" s="281"/>
      <c r="S95" s="492"/>
      <c r="T95" s="256"/>
      <c r="U95" s="259"/>
      <c r="V95" s="46"/>
      <c r="W95" s="280"/>
      <c r="X95" s="279"/>
      <c r="Y95" s="236"/>
      <c r="Z95" s="391">
        <v>3523</v>
      </c>
      <c r="AA95" s="273" t="s">
        <v>2874</v>
      </c>
      <c r="AB95" s="275">
        <v>624917</v>
      </c>
    </row>
    <row r="96" spans="1:28" s="49" customFormat="1" ht="15" x14ac:dyDescent="0.25">
      <c r="A96" s="693"/>
      <c r="B96" s="690"/>
      <c r="C96" s="690"/>
      <c r="D96" s="693"/>
      <c r="E96" s="690"/>
      <c r="F96" s="839"/>
      <c r="G96" s="688"/>
      <c r="H96" s="693"/>
      <c r="I96" s="693"/>
      <c r="J96" s="711"/>
      <c r="K96" s="693"/>
      <c r="L96" s="693"/>
      <c r="M96" s="693"/>
      <c r="N96" s="693"/>
      <c r="O96" s="735"/>
      <c r="P96" s="812"/>
      <c r="Q96" s="743"/>
      <c r="R96" s="281"/>
      <c r="S96" s="492"/>
      <c r="T96" s="256"/>
      <c r="U96" s="259"/>
      <c r="V96" s="46"/>
      <c r="W96" s="280"/>
      <c r="X96" s="279"/>
      <c r="Y96" s="236"/>
      <c r="Z96" s="391">
        <v>3525</v>
      </c>
      <c r="AA96" s="273" t="s">
        <v>2875</v>
      </c>
      <c r="AB96" s="275">
        <v>621012</v>
      </c>
    </row>
    <row r="97" spans="1:133" s="49" customFormat="1" ht="15" x14ac:dyDescent="0.25">
      <c r="A97" s="693"/>
      <c r="B97" s="690"/>
      <c r="C97" s="690"/>
      <c r="D97" s="693"/>
      <c r="E97" s="690"/>
      <c r="F97" s="839"/>
      <c r="G97" s="688"/>
      <c r="H97" s="693"/>
      <c r="I97" s="693"/>
      <c r="J97" s="711"/>
      <c r="K97" s="693"/>
      <c r="L97" s="693"/>
      <c r="M97" s="693"/>
      <c r="N97" s="693"/>
      <c r="O97" s="735"/>
      <c r="P97" s="812"/>
      <c r="Q97" s="743"/>
      <c r="R97" s="281"/>
      <c r="S97" s="492"/>
      <c r="T97" s="256"/>
      <c r="U97" s="259"/>
      <c r="V97" s="46"/>
      <c r="W97" s="280"/>
      <c r="X97" s="279"/>
      <c r="Y97" s="236"/>
      <c r="Z97" s="391">
        <v>4864</v>
      </c>
      <c r="AA97" s="273" t="s">
        <v>2821</v>
      </c>
      <c r="AB97" s="275">
        <v>570237</v>
      </c>
    </row>
    <row r="98" spans="1:133" s="49" customFormat="1" ht="15" x14ac:dyDescent="0.25">
      <c r="A98" s="693"/>
      <c r="B98" s="690"/>
      <c r="C98" s="690"/>
      <c r="D98" s="693"/>
      <c r="E98" s="690"/>
      <c r="F98" s="839"/>
      <c r="G98" s="688"/>
      <c r="H98" s="693"/>
      <c r="I98" s="693"/>
      <c r="J98" s="711"/>
      <c r="K98" s="693"/>
      <c r="L98" s="693"/>
      <c r="M98" s="693"/>
      <c r="N98" s="693"/>
      <c r="O98" s="735"/>
      <c r="P98" s="812"/>
      <c r="Q98" s="743"/>
      <c r="R98" s="281"/>
      <c r="S98" s="492"/>
      <c r="T98" s="256"/>
      <c r="U98" s="259"/>
      <c r="V98" s="46"/>
      <c r="W98" s="280"/>
      <c r="X98" s="279"/>
      <c r="Y98" s="236"/>
      <c r="Z98" s="391">
        <v>4985</v>
      </c>
      <c r="AA98" s="273" t="s">
        <v>2825</v>
      </c>
      <c r="AB98" s="275">
        <v>363233</v>
      </c>
    </row>
    <row r="99" spans="1:133" s="49" customFormat="1" ht="15" x14ac:dyDescent="0.25">
      <c r="A99" s="693"/>
      <c r="B99" s="690"/>
      <c r="C99" s="690"/>
      <c r="D99" s="693"/>
      <c r="E99" s="690"/>
      <c r="F99" s="839"/>
      <c r="G99" s="688"/>
      <c r="H99" s="693"/>
      <c r="I99" s="693"/>
      <c r="J99" s="711"/>
      <c r="K99" s="693"/>
      <c r="L99" s="693"/>
      <c r="M99" s="693"/>
      <c r="N99" s="693"/>
      <c r="O99" s="735"/>
      <c r="P99" s="812"/>
      <c r="Q99" s="743"/>
      <c r="R99" s="281"/>
      <c r="S99" s="492"/>
      <c r="T99" s="256"/>
      <c r="U99" s="259"/>
      <c r="V99" s="46"/>
      <c r="W99" s="280"/>
      <c r="X99" s="279"/>
      <c r="Y99" s="236"/>
      <c r="Z99" s="585">
        <v>5553</v>
      </c>
      <c r="AA99" s="273" t="s">
        <v>2802</v>
      </c>
      <c r="AB99" s="275">
        <v>207004</v>
      </c>
    </row>
    <row r="100" spans="1:133" s="49" customFormat="1" ht="15" x14ac:dyDescent="0.25">
      <c r="A100" s="693"/>
      <c r="B100" s="690"/>
      <c r="C100" s="690"/>
      <c r="D100" s="693"/>
      <c r="E100" s="690"/>
      <c r="F100" s="839"/>
      <c r="G100" s="688"/>
      <c r="H100" s="693"/>
      <c r="I100" s="693"/>
      <c r="J100" s="711"/>
      <c r="K100" s="693"/>
      <c r="L100" s="693"/>
      <c r="M100" s="693"/>
      <c r="N100" s="693"/>
      <c r="O100" s="735"/>
      <c r="P100" s="812"/>
      <c r="Q100" s="743"/>
      <c r="R100" s="281"/>
      <c r="S100" s="492"/>
      <c r="T100" s="256"/>
      <c r="U100" s="259"/>
      <c r="V100" s="46"/>
      <c r="W100" s="280"/>
      <c r="X100" s="279"/>
      <c r="Y100" s="236"/>
      <c r="Z100" s="585">
        <v>5556</v>
      </c>
      <c r="AA100" s="273" t="s">
        <v>2802</v>
      </c>
      <c r="AB100" s="275">
        <v>62492</v>
      </c>
    </row>
    <row r="101" spans="1:133" s="49" customFormat="1" ht="15" x14ac:dyDescent="0.25">
      <c r="A101" s="693"/>
      <c r="B101" s="690"/>
      <c r="C101" s="690"/>
      <c r="D101" s="693"/>
      <c r="E101" s="690"/>
      <c r="F101" s="839"/>
      <c r="G101" s="688"/>
      <c r="H101" s="693"/>
      <c r="I101" s="693"/>
      <c r="J101" s="711"/>
      <c r="K101" s="693"/>
      <c r="L101" s="693"/>
      <c r="M101" s="693"/>
      <c r="N101" s="693"/>
      <c r="O101" s="735"/>
      <c r="P101" s="812"/>
      <c r="Q101" s="743"/>
      <c r="R101" s="281"/>
      <c r="S101" s="492"/>
      <c r="T101" s="256"/>
      <c r="U101" s="259"/>
      <c r="V101" s="46"/>
      <c r="W101" s="280"/>
      <c r="X101" s="279"/>
      <c r="Y101" s="236"/>
      <c r="Z101" s="585">
        <v>5717</v>
      </c>
      <c r="AA101" s="273" t="s">
        <v>2777</v>
      </c>
      <c r="AB101" s="275">
        <v>148418</v>
      </c>
    </row>
    <row r="102" spans="1:133" s="49" customFormat="1" ht="15" x14ac:dyDescent="0.25">
      <c r="A102" s="693"/>
      <c r="B102" s="690"/>
      <c r="C102" s="690"/>
      <c r="D102" s="693"/>
      <c r="E102" s="690"/>
      <c r="F102" s="839"/>
      <c r="G102" s="688"/>
      <c r="H102" s="693"/>
      <c r="I102" s="693"/>
      <c r="J102" s="711"/>
      <c r="K102" s="693"/>
      <c r="L102" s="693"/>
      <c r="M102" s="693"/>
      <c r="N102" s="693"/>
      <c r="O102" s="735"/>
      <c r="P102" s="812"/>
      <c r="Q102" s="743"/>
      <c r="R102" s="281"/>
      <c r="S102" s="492"/>
      <c r="T102" s="256"/>
      <c r="U102" s="259"/>
      <c r="V102" s="46"/>
      <c r="W102" s="280"/>
      <c r="X102" s="279"/>
      <c r="Y102" s="236"/>
      <c r="Z102" s="585">
        <v>5732</v>
      </c>
      <c r="AA102" s="273" t="s">
        <v>2787</v>
      </c>
      <c r="AB102" s="275">
        <v>144512</v>
      </c>
    </row>
    <row r="103" spans="1:133" s="49" customFormat="1" ht="15" x14ac:dyDescent="0.25">
      <c r="A103" s="693"/>
      <c r="B103" s="690"/>
      <c r="C103" s="690"/>
      <c r="D103" s="693"/>
      <c r="E103" s="690"/>
      <c r="F103" s="839"/>
      <c r="G103" s="688"/>
      <c r="H103" s="693"/>
      <c r="I103" s="693"/>
      <c r="J103" s="711"/>
      <c r="K103" s="693"/>
      <c r="L103" s="693"/>
      <c r="M103" s="693"/>
      <c r="N103" s="693"/>
      <c r="O103" s="735"/>
      <c r="P103" s="812"/>
      <c r="Q103" s="743"/>
      <c r="R103" s="281"/>
      <c r="S103" s="492"/>
      <c r="T103" s="256"/>
      <c r="U103" s="259"/>
      <c r="V103" s="46"/>
      <c r="W103" s="280"/>
      <c r="X103" s="279"/>
      <c r="Y103" s="236"/>
      <c r="Z103" s="585"/>
      <c r="AA103" s="273"/>
      <c r="AB103" s="275"/>
    </row>
    <row r="104" spans="1:133" s="49" customFormat="1" ht="15" x14ac:dyDescent="0.25">
      <c r="A104" s="693"/>
      <c r="B104" s="690"/>
      <c r="C104" s="690"/>
      <c r="D104" s="693"/>
      <c r="E104" s="690"/>
      <c r="F104" s="839"/>
      <c r="G104" s="688"/>
      <c r="H104" s="693"/>
      <c r="I104" s="693"/>
      <c r="J104" s="711"/>
      <c r="K104" s="693"/>
      <c r="L104" s="693"/>
      <c r="M104" s="693"/>
      <c r="N104" s="693"/>
      <c r="O104" s="735"/>
      <c r="P104" s="812"/>
      <c r="Q104" s="743"/>
      <c r="R104" s="281"/>
      <c r="S104" s="492"/>
      <c r="T104" s="256"/>
      <c r="U104" s="259"/>
      <c r="V104" s="46"/>
      <c r="W104" s="280"/>
      <c r="X104" s="279"/>
      <c r="Y104" s="236"/>
      <c r="Z104" s="585"/>
      <c r="AA104" s="273"/>
      <c r="AB104" s="275"/>
    </row>
    <row r="105" spans="1:133" s="49" customFormat="1" ht="15" x14ac:dyDescent="0.25">
      <c r="A105" s="693"/>
      <c r="B105" s="690"/>
      <c r="C105" s="690"/>
      <c r="D105" s="694"/>
      <c r="E105" s="691"/>
      <c r="F105" s="840"/>
      <c r="G105" s="698"/>
      <c r="H105" s="694"/>
      <c r="I105" s="694"/>
      <c r="J105" s="712"/>
      <c r="K105" s="694"/>
      <c r="L105" s="694"/>
      <c r="M105" s="694"/>
      <c r="N105" s="694"/>
      <c r="O105" s="729"/>
      <c r="P105" s="811"/>
      <c r="Q105" s="743"/>
      <c r="R105" s="281"/>
      <c r="S105" s="492"/>
      <c r="T105" s="256"/>
      <c r="U105" s="259"/>
      <c r="V105" s="46"/>
      <c r="W105" s="280"/>
      <c r="X105" s="279"/>
      <c r="Y105" s="236"/>
      <c r="Z105" s="391"/>
      <c r="AA105" s="273"/>
      <c r="AB105" s="275"/>
    </row>
    <row r="106" spans="1:133" s="50" customFormat="1" ht="15" customHeight="1" x14ac:dyDescent="0.25">
      <c r="A106" s="693"/>
      <c r="B106" s="690"/>
      <c r="C106" s="690"/>
      <c r="D106" s="692" t="s">
        <v>862</v>
      </c>
      <c r="E106" s="689" t="s">
        <v>135</v>
      </c>
      <c r="F106" s="710">
        <v>62385527</v>
      </c>
      <c r="G106" s="728">
        <v>0</v>
      </c>
      <c r="H106" s="692"/>
      <c r="I106" s="692"/>
      <c r="J106" s="710">
        <v>2269207</v>
      </c>
      <c r="K106" s="692"/>
      <c r="L106" s="692"/>
      <c r="M106" s="692"/>
      <c r="N106" s="710">
        <v>1190008</v>
      </c>
      <c r="O106" s="728">
        <v>1005563</v>
      </c>
      <c r="P106" s="810">
        <f>+F106+G106+H106+I106+J106+K106+L106+N106-O106</f>
        <v>64839179</v>
      </c>
      <c r="Q106" s="743"/>
      <c r="R106" s="689" t="s">
        <v>667</v>
      </c>
      <c r="S106" s="829">
        <v>3</v>
      </c>
      <c r="T106" s="832" t="s">
        <v>668</v>
      </c>
      <c r="U106" s="728">
        <v>24099315</v>
      </c>
      <c r="V106" s="46"/>
      <c r="W106" s="280">
        <v>31</v>
      </c>
      <c r="X106" s="279" t="s">
        <v>852</v>
      </c>
      <c r="Y106" s="236">
        <v>24099315</v>
      </c>
      <c r="Z106" s="250">
        <v>158</v>
      </c>
      <c r="AA106" s="122" t="s">
        <v>852</v>
      </c>
      <c r="AB106" s="275">
        <v>544685</v>
      </c>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row>
    <row r="107" spans="1:133" s="50" customFormat="1" ht="15" x14ac:dyDescent="0.25">
      <c r="A107" s="693"/>
      <c r="B107" s="690"/>
      <c r="C107" s="690"/>
      <c r="D107" s="693"/>
      <c r="E107" s="690"/>
      <c r="F107" s="711"/>
      <c r="G107" s="735"/>
      <c r="H107" s="693"/>
      <c r="I107" s="693"/>
      <c r="J107" s="711"/>
      <c r="K107" s="693"/>
      <c r="L107" s="693"/>
      <c r="M107" s="693"/>
      <c r="N107" s="711"/>
      <c r="O107" s="735"/>
      <c r="P107" s="812"/>
      <c r="Q107" s="743"/>
      <c r="R107" s="690"/>
      <c r="S107" s="830"/>
      <c r="T107" s="816"/>
      <c r="U107" s="735"/>
      <c r="V107" s="46"/>
      <c r="W107" s="280"/>
      <c r="X107" s="279"/>
      <c r="Y107" s="236"/>
      <c r="Z107" s="250">
        <v>159</v>
      </c>
      <c r="AA107" s="122" t="s">
        <v>852</v>
      </c>
      <c r="AB107" s="275">
        <v>248660</v>
      </c>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row>
    <row r="108" spans="1:133" s="50" customFormat="1" ht="15" x14ac:dyDescent="0.25">
      <c r="A108" s="693"/>
      <c r="B108" s="690"/>
      <c r="C108" s="690"/>
      <c r="D108" s="693"/>
      <c r="E108" s="690"/>
      <c r="F108" s="711"/>
      <c r="G108" s="735"/>
      <c r="H108" s="693"/>
      <c r="I108" s="693"/>
      <c r="J108" s="711"/>
      <c r="K108" s="693"/>
      <c r="L108" s="693"/>
      <c r="M108" s="693"/>
      <c r="N108" s="711"/>
      <c r="O108" s="735"/>
      <c r="P108" s="812"/>
      <c r="Q108" s="743"/>
      <c r="R108" s="690"/>
      <c r="S108" s="830"/>
      <c r="T108" s="816"/>
      <c r="U108" s="735"/>
      <c r="V108" s="46"/>
      <c r="W108" s="280"/>
      <c r="X108" s="279"/>
      <c r="Y108" s="236"/>
      <c r="Z108" s="250">
        <v>161</v>
      </c>
      <c r="AA108" s="122" t="s">
        <v>852</v>
      </c>
      <c r="AB108" s="275">
        <v>870715</v>
      </c>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row>
    <row r="109" spans="1:133" s="50" customFormat="1" ht="15" x14ac:dyDescent="0.25">
      <c r="A109" s="693"/>
      <c r="B109" s="690"/>
      <c r="C109" s="690"/>
      <c r="D109" s="693"/>
      <c r="E109" s="690"/>
      <c r="F109" s="711"/>
      <c r="G109" s="735"/>
      <c r="H109" s="693"/>
      <c r="I109" s="693"/>
      <c r="J109" s="711"/>
      <c r="K109" s="693"/>
      <c r="L109" s="693"/>
      <c r="M109" s="693"/>
      <c r="N109" s="711"/>
      <c r="O109" s="735"/>
      <c r="P109" s="812"/>
      <c r="Q109" s="743"/>
      <c r="R109" s="690"/>
      <c r="S109" s="830"/>
      <c r="T109" s="816"/>
      <c r="U109" s="735"/>
      <c r="V109" s="46"/>
      <c r="W109" s="280"/>
      <c r="X109" s="279"/>
      <c r="Y109" s="236"/>
      <c r="Z109" s="250">
        <v>162</v>
      </c>
      <c r="AA109" s="122" t="s">
        <v>852</v>
      </c>
      <c r="AB109" s="275">
        <v>870715</v>
      </c>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row>
    <row r="110" spans="1:133" s="50" customFormat="1" ht="15" x14ac:dyDescent="0.25">
      <c r="A110" s="693"/>
      <c r="B110" s="690"/>
      <c r="C110" s="690"/>
      <c r="D110" s="693"/>
      <c r="E110" s="690"/>
      <c r="F110" s="711"/>
      <c r="G110" s="735"/>
      <c r="H110" s="693"/>
      <c r="I110" s="693"/>
      <c r="J110" s="711"/>
      <c r="K110" s="693"/>
      <c r="L110" s="693"/>
      <c r="M110" s="693"/>
      <c r="N110" s="711"/>
      <c r="O110" s="735"/>
      <c r="P110" s="812"/>
      <c r="Q110" s="743"/>
      <c r="R110" s="690"/>
      <c r="S110" s="830"/>
      <c r="T110" s="816"/>
      <c r="U110" s="735"/>
      <c r="V110" s="46"/>
      <c r="W110" s="280"/>
      <c r="X110" s="279"/>
      <c r="Y110" s="236"/>
      <c r="Z110" s="250">
        <v>163</v>
      </c>
      <c r="AA110" s="122" t="s">
        <v>852</v>
      </c>
      <c r="AB110" s="275">
        <v>930598</v>
      </c>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row>
    <row r="111" spans="1:133" s="50" customFormat="1" ht="15" x14ac:dyDescent="0.25">
      <c r="A111" s="693"/>
      <c r="B111" s="690"/>
      <c r="C111" s="690"/>
      <c r="D111" s="693"/>
      <c r="E111" s="690"/>
      <c r="F111" s="711"/>
      <c r="G111" s="735"/>
      <c r="H111" s="693"/>
      <c r="I111" s="693"/>
      <c r="J111" s="711"/>
      <c r="K111" s="693"/>
      <c r="L111" s="693"/>
      <c r="M111" s="693"/>
      <c r="N111" s="711"/>
      <c r="O111" s="735"/>
      <c r="P111" s="812"/>
      <c r="Q111" s="743"/>
      <c r="R111" s="690"/>
      <c r="S111" s="830"/>
      <c r="T111" s="816"/>
      <c r="U111" s="735"/>
      <c r="V111" s="46"/>
      <c r="W111" s="280"/>
      <c r="X111" s="279"/>
      <c r="Y111" s="236"/>
      <c r="Z111" s="250">
        <v>164</v>
      </c>
      <c r="AA111" s="122" t="s">
        <v>852</v>
      </c>
      <c r="AB111" s="275">
        <v>639413</v>
      </c>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row>
    <row r="112" spans="1:133" s="50" customFormat="1" ht="15" x14ac:dyDescent="0.25">
      <c r="A112" s="693"/>
      <c r="B112" s="690"/>
      <c r="C112" s="690"/>
      <c r="D112" s="693"/>
      <c r="E112" s="690"/>
      <c r="F112" s="711"/>
      <c r="G112" s="735"/>
      <c r="H112" s="693"/>
      <c r="I112" s="693"/>
      <c r="J112" s="711"/>
      <c r="K112" s="693"/>
      <c r="L112" s="693"/>
      <c r="M112" s="693"/>
      <c r="N112" s="711"/>
      <c r="O112" s="735"/>
      <c r="P112" s="812"/>
      <c r="Q112" s="743"/>
      <c r="R112" s="690"/>
      <c r="S112" s="830"/>
      <c r="T112" s="816"/>
      <c r="U112" s="735"/>
      <c r="V112" s="46"/>
      <c r="W112" s="280"/>
      <c r="X112" s="279"/>
      <c r="Y112" s="236"/>
      <c r="Z112" s="250">
        <v>166</v>
      </c>
      <c r="AA112" s="122" t="s">
        <v>852</v>
      </c>
      <c r="AB112" s="275">
        <v>930598</v>
      </c>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row>
    <row r="113" spans="1:133" s="50" customFormat="1" ht="15" x14ac:dyDescent="0.25">
      <c r="A113" s="693"/>
      <c r="B113" s="690"/>
      <c r="C113" s="690"/>
      <c r="D113" s="693"/>
      <c r="E113" s="690"/>
      <c r="F113" s="711"/>
      <c r="G113" s="735"/>
      <c r="H113" s="693"/>
      <c r="I113" s="693"/>
      <c r="J113" s="711"/>
      <c r="K113" s="693"/>
      <c r="L113" s="693"/>
      <c r="M113" s="693"/>
      <c r="N113" s="711"/>
      <c r="O113" s="735"/>
      <c r="P113" s="812"/>
      <c r="Q113" s="743"/>
      <c r="R113" s="690"/>
      <c r="S113" s="830"/>
      <c r="T113" s="816"/>
      <c r="U113" s="735"/>
      <c r="V113" s="46"/>
      <c r="W113" s="280"/>
      <c r="X113" s="279"/>
      <c r="Y113" s="236"/>
      <c r="Z113" s="250">
        <v>167</v>
      </c>
      <c r="AA113" s="122" t="s">
        <v>852</v>
      </c>
      <c r="AB113" s="275">
        <v>890387</v>
      </c>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row>
    <row r="114" spans="1:133" s="50" customFormat="1" ht="15" x14ac:dyDescent="0.25">
      <c r="A114" s="693"/>
      <c r="B114" s="690"/>
      <c r="C114" s="690"/>
      <c r="D114" s="693"/>
      <c r="E114" s="690"/>
      <c r="F114" s="711"/>
      <c r="G114" s="735"/>
      <c r="H114" s="693"/>
      <c r="I114" s="693"/>
      <c r="J114" s="711"/>
      <c r="K114" s="693"/>
      <c r="L114" s="693"/>
      <c r="M114" s="693"/>
      <c r="N114" s="711"/>
      <c r="O114" s="735"/>
      <c r="P114" s="812"/>
      <c r="Q114" s="743"/>
      <c r="R114" s="690"/>
      <c r="S114" s="830"/>
      <c r="T114" s="816"/>
      <c r="U114" s="735"/>
      <c r="V114" s="46"/>
      <c r="W114" s="280"/>
      <c r="X114" s="279"/>
      <c r="Y114" s="236"/>
      <c r="Z114" s="250">
        <v>169</v>
      </c>
      <c r="AA114" s="122" t="s">
        <v>852</v>
      </c>
      <c r="AB114" s="275">
        <v>890387</v>
      </c>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row>
    <row r="115" spans="1:133" s="50" customFormat="1" ht="15" x14ac:dyDescent="0.25">
      <c r="A115" s="693"/>
      <c r="B115" s="690"/>
      <c r="C115" s="690"/>
      <c r="D115" s="693"/>
      <c r="E115" s="690"/>
      <c r="F115" s="711"/>
      <c r="G115" s="735"/>
      <c r="H115" s="693"/>
      <c r="I115" s="693"/>
      <c r="J115" s="711"/>
      <c r="K115" s="693"/>
      <c r="L115" s="693"/>
      <c r="M115" s="693"/>
      <c r="N115" s="711"/>
      <c r="O115" s="735"/>
      <c r="P115" s="812"/>
      <c r="Q115" s="743"/>
      <c r="R115" s="690"/>
      <c r="S115" s="830"/>
      <c r="T115" s="816"/>
      <c r="U115" s="735"/>
      <c r="V115" s="46"/>
      <c r="W115" s="280"/>
      <c r="X115" s="279"/>
      <c r="Y115" s="236"/>
      <c r="Z115" s="250">
        <v>175</v>
      </c>
      <c r="AA115" s="122" t="s">
        <v>852</v>
      </c>
      <c r="AB115" s="275">
        <v>870715</v>
      </c>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row>
    <row r="116" spans="1:133" s="50" customFormat="1" ht="15" x14ac:dyDescent="0.25">
      <c r="A116" s="693"/>
      <c r="B116" s="690"/>
      <c r="C116" s="690"/>
      <c r="D116" s="693"/>
      <c r="E116" s="690"/>
      <c r="F116" s="711"/>
      <c r="G116" s="735"/>
      <c r="H116" s="693"/>
      <c r="I116" s="693"/>
      <c r="J116" s="711"/>
      <c r="K116" s="693"/>
      <c r="L116" s="693"/>
      <c r="M116" s="693"/>
      <c r="N116" s="711"/>
      <c r="O116" s="735"/>
      <c r="P116" s="812"/>
      <c r="Q116" s="743"/>
      <c r="R116" s="690"/>
      <c r="S116" s="830"/>
      <c r="T116" s="816"/>
      <c r="U116" s="735"/>
      <c r="V116" s="46"/>
      <c r="W116" s="280"/>
      <c r="X116" s="279"/>
      <c r="Y116" s="236"/>
      <c r="Z116" s="250">
        <v>189</v>
      </c>
      <c r="AA116" s="122" t="s">
        <v>853</v>
      </c>
      <c r="AB116" s="275">
        <v>884642</v>
      </c>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row>
    <row r="117" spans="1:133" s="50" customFormat="1" ht="15" x14ac:dyDescent="0.25">
      <c r="A117" s="693"/>
      <c r="B117" s="690"/>
      <c r="C117" s="690"/>
      <c r="D117" s="693"/>
      <c r="E117" s="690"/>
      <c r="F117" s="711"/>
      <c r="G117" s="735"/>
      <c r="H117" s="693"/>
      <c r="I117" s="693"/>
      <c r="J117" s="711"/>
      <c r="K117" s="693"/>
      <c r="L117" s="693"/>
      <c r="M117" s="693"/>
      <c r="N117" s="711"/>
      <c r="O117" s="735"/>
      <c r="P117" s="812"/>
      <c r="Q117" s="743"/>
      <c r="R117" s="690"/>
      <c r="S117" s="830"/>
      <c r="T117" s="816"/>
      <c r="U117" s="735"/>
      <c r="V117" s="46"/>
      <c r="W117" s="280"/>
      <c r="X117" s="279"/>
      <c r="Y117" s="236"/>
      <c r="Z117" s="250">
        <v>190</v>
      </c>
      <c r="AA117" s="122" t="s">
        <v>853</v>
      </c>
      <c r="AB117" s="275">
        <v>884642</v>
      </c>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row>
    <row r="118" spans="1:133" s="50" customFormat="1" ht="15" x14ac:dyDescent="0.25">
      <c r="A118" s="693"/>
      <c r="B118" s="690"/>
      <c r="C118" s="690"/>
      <c r="D118" s="693"/>
      <c r="E118" s="690"/>
      <c r="F118" s="711"/>
      <c r="G118" s="735"/>
      <c r="H118" s="693"/>
      <c r="I118" s="693"/>
      <c r="J118" s="711"/>
      <c r="K118" s="693"/>
      <c r="L118" s="693"/>
      <c r="M118" s="693"/>
      <c r="N118" s="711"/>
      <c r="O118" s="735"/>
      <c r="P118" s="812"/>
      <c r="Q118" s="743"/>
      <c r="R118" s="690"/>
      <c r="S118" s="830"/>
      <c r="T118" s="816"/>
      <c r="U118" s="735"/>
      <c r="V118" s="46"/>
      <c r="W118" s="280"/>
      <c r="X118" s="279"/>
      <c r="Y118" s="236"/>
      <c r="Z118" s="250">
        <v>260</v>
      </c>
      <c r="AA118" s="122" t="s">
        <v>854</v>
      </c>
      <c r="AB118" s="275">
        <v>595996</v>
      </c>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row>
    <row r="119" spans="1:133" s="50" customFormat="1" ht="15" x14ac:dyDescent="0.25">
      <c r="A119" s="693"/>
      <c r="B119" s="690"/>
      <c r="C119" s="690"/>
      <c r="D119" s="693"/>
      <c r="E119" s="690"/>
      <c r="F119" s="711"/>
      <c r="G119" s="735"/>
      <c r="H119" s="693"/>
      <c r="I119" s="693"/>
      <c r="J119" s="711"/>
      <c r="K119" s="693"/>
      <c r="L119" s="693"/>
      <c r="M119" s="693"/>
      <c r="N119" s="711"/>
      <c r="O119" s="735"/>
      <c r="P119" s="812"/>
      <c r="Q119" s="743"/>
      <c r="R119" s="690"/>
      <c r="S119" s="830"/>
      <c r="T119" s="816"/>
      <c r="U119" s="735"/>
      <c r="V119" s="46"/>
      <c r="W119" s="280"/>
      <c r="X119" s="279"/>
      <c r="Y119" s="236"/>
      <c r="Z119" s="250">
        <v>261</v>
      </c>
      <c r="AA119" s="122" t="s">
        <v>854</v>
      </c>
      <c r="AB119" s="275">
        <v>1018117</v>
      </c>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row>
    <row r="120" spans="1:133" s="50" customFormat="1" ht="15" x14ac:dyDescent="0.25">
      <c r="A120" s="693"/>
      <c r="B120" s="690"/>
      <c r="C120" s="690"/>
      <c r="D120" s="693"/>
      <c r="E120" s="690"/>
      <c r="F120" s="711"/>
      <c r="G120" s="735"/>
      <c r="H120" s="693"/>
      <c r="I120" s="693"/>
      <c r="J120" s="711"/>
      <c r="K120" s="693"/>
      <c r="L120" s="693"/>
      <c r="M120" s="693"/>
      <c r="N120" s="711"/>
      <c r="O120" s="735"/>
      <c r="P120" s="812"/>
      <c r="Q120" s="743"/>
      <c r="R120" s="690"/>
      <c r="S120" s="830"/>
      <c r="T120" s="816"/>
      <c r="U120" s="735"/>
      <c r="V120" s="46"/>
      <c r="W120" s="280"/>
      <c r="X120" s="279"/>
      <c r="Y120" s="236"/>
      <c r="Z120" s="250">
        <v>262</v>
      </c>
      <c r="AA120" s="122" t="s">
        <v>854</v>
      </c>
      <c r="AB120" s="275">
        <v>1312836</v>
      </c>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row>
    <row r="121" spans="1:133" s="50" customFormat="1" ht="15" x14ac:dyDescent="0.25">
      <c r="A121" s="693"/>
      <c r="B121" s="690"/>
      <c r="C121" s="690"/>
      <c r="D121" s="693"/>
      <c r="E121" s="690"/>
      <c r="F121" s="711"/>
      <c r="G121" s="735"/>
      <c r="H121" s="693"/>
      <c r="I121" s="693"/>
      <c r="J121" s="711"/>
      <c r="K121" s="693"/>
      <c r="L121" s="693"/>
      <c r="M121" s="693"/>
      <c r="N121" s="711"/>
      <c r="O121" s="735"/>
      <c r="P121" s="812"/>
      <c r="Q121" s="743"/>
      <c r="R121" s="690"/>
      <c r="S121" s="830"/>
      <c r="T121" s="816"/>
      <c r="U121" s="735"/>
      <c r="V121" s="46"/>
      <c r="W121" s="280"/>
      <c r="X121" s="279"/>
      <c r="Y121" s="236"/>
      <c r="Z121" s="250">
        <v>263</v>
      </c>
      <c r="AA121" s="122" t="s">
        <v>854</v>
      </c>
      <c r="AB121" s="275">
        <v>1850029</v>
      </c>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row>
    <row r="122" spans="1:133" s="50" customFormat="1" ht="15" x14ac:dyDescent="0.25">
      <c r="A122" s="693"/>
      <c r="B122" s="690"/>
      <c r="C122" s="690"/>
      <c r="D122" s="693"/>
      <c r="E122" s="690"/>
      <c r="F122" s="711"/>
      <c r="G122" s="735"/>
      <c r="H122" s="693"/>
      <c r="I122" s="693"/>
      <c r="J122" s="711"/>
      <c r="K122" s="693"/>
      <c r="L122" s="693"/>
      <c r="M122" s="693"/>
      <c r="N122" s="711"/>
      <c r="O122" s="735"/>
      <c r="P122" s="812"/>
      <c r="Q122" s="743"/>
      <c r="R122" s="690"/>
      <c r="S122" s="830"/>
      <c r="T122" s="816"/>
      <c r="U122" s="735"/>
      <c r="V122" s="46"/>
      <c r="W122" s="280"/>
      <c r="X122" s="279"/>
      <c r="Y122" s="236"/>
      <c r="Z122" s="250">
        <v>264</v>
      </c>
      <c r="AA122" s="122" t="s">
        <v>854</v>
      </c>
      <c r="AB122" s="275">
        <v>1850029</v>
      </c>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row>
    <row r="123" spans="1:133" s="50" customFormat="1" ht="15" x14ac:dyDescent="0.25">
      <c r="A123" s="693"/>
      <c r="B123" s="690"/>
      <c r="C123" s="690"/>
      <c r="D123" s="693"/>
      <c r="E123" s="690"/>
      <c r="F123" s="711"/>
      <c r="G123" s="735"/>
      <c r="H123" s="693"/>
      <c r="I123" s="693"/>
      <c r="J123" s="711"/>
      <c r="K123" s="693"/>
      <c r="L123" s="693"/>
      <c r="M123" s="693"/>
      <c r="N123" s="711"/>
      <c r="O123" s="735"/>
      <c r="P123" s="812"/>
      <c r="Q123" s="743"/>
      <c r="R123" s="690"/>
      <c r="S123" s="830"/>
      <c r="T123" s="816"/>
      <c r="U123" s="735"/>
      <c r="V123" s="46"/>
      <c r="W123" s="280"/>
      <c r="X123" s="279"/>
      <c r="Y123" s="236"/>
      <c r="Z123" s="250">
        <v>265</v>
      </c>
      <c r="AA123" s="122" t="s">
        <v>854</v>
      </c>
      <c r="AB123" s="275">
        <v>595996</v>
      </c>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row>
    <row r="124" spans="1:133" s="50" customFormat="1" ht="15" x14ac:dyDescent="0.25">
      <c r="A124" s="693"/>
      <c r="B124" s="690"/>
      <c r="C124" s="690"/>
      <c r="D124" s="693"/>
      <c r="E124" s="690"/>
      <c r="F124" s="711"/>
      <c r="G124" s="735"/>
      <c r="H124" s="693"/>
      <c r="I124" s="693"/>
      <c r="J124" s="711"/>
      <c r="K124" s="693"/>
      <c r="L124" s="693"/>
      <c r="M124" s="693"/>
      <c r="N124" s="711"/>
      <c r="O124" s="735"/>
      <c r="P124" s="812"/>
      <c r="Q124" s="743"/>
      <c r="R124" s="690"/>
      <c r="S124" s="830"/>
      <c r="T124" s="816"/>
      <c r="U124" s="735"/>
      <c r="V124" s="46"/>
      <c r="W124" s="280"/>
      <c r="X124" s="279"/>
      <c r="Y124" s="236"/>
      <c r="Z124" s="250">
        <v>266</v>
      </c>
      <c r="AA124" s="122" t="s">
        <v>854</v>
      </c>
      <c r="AB124" s="275">
        <v>536342</v>
      </c>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row>
    <row r="125" spans="1:133" s="50" customFormat="1" ht="15" x14ac:dyDescent="0.25">
      <c r="A125" s="693"/>
      <c r="B125" s="690"/>
      <c r="C125" s="690"/>
      <c r="D125" s="693"/>
      <c r="E125" s="690"/>
      <c r="F125" s="711"/>
      <c r="G125" s="735"/>
      <c r="H125" s="693"/>
      <c r="I125" s="693"/>
      <c r="J125" s="711"/>
      <c r="K125" s="693"/>
      <c r="L125" s="693"/>
      <c r="M125" s="693"/>
      <c r="N125" s="711"/>
      <c r="O125" s="735"/>
      <c r="P125" s="812"/>
      <c r="Q125" s="743"/>
      <c r="R125" s="690"/>
      <c r="S125" s="830"/>
      <c r="T125" s="816"/>
      <c r="U125" s="735"/>
      <c r="V125" s="46"/>
      <c r="W125" s="280"/>
      <c r="X125" s="279"/>
      <c r="Y125" s="236"/>
      <c r="Z125" s="250">
        <v>269</v>
      </c>
      <c r="AA125" s="122" t="s">
        <v>854</v>
      </c>
      <c r="AB125" s="275">
        <v>907620</v>
      </c>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row>
    <row r="126" spans="1:133" s="50" customFormat="1" ht="15" x14ac:dyDescent="0.25">
      <c r="A126" s="693"/>
      <c r="B126" s="690"/>
      <c r="C126" s="690"/>
      <c r="D126" s="693"/>
      <c r="E126" s="690"/>
      <c r="F126" s="711"/>
      <c r="G126" s="735"/>
      <c r="H126" s="693"/>
      <c r="I126" s="693"/>
      <c r="J126" s="711"/>
      <c r="K126" s="693"/>
      <c r="L126" s="693"/>
      <c r="M126" s="693"/>
      <c r="N126" s="711"/>
      <c r="O126" s="735"/>
      <c r="P126" s="812"/>
      <c r="Q126" s="743"/>
      <c r="R126" s="690"/>
      <c r="S126" s="830"/>
      <c r="T126" s="816"/>
      <c r="U126" s="735"/>
      <c r="V126" s="46"/>
      <c r="W126" s="280"/>
      <c r="X126" s="279"/>
      <c r="Y126" s="236"/>
      <c r="Z126" s="250">
        <v>270</v>
      </c>
      <c r="AA126" s="122" t="s">
        <v>854</v>
      </c>
      <c r="AB126" s="275">
        <v>1056780</v>
      </c>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row>
    <row r="127" spans="1:133" s="50" customFormat="1" ht="15" x14ac:dyDescent="0.25">
      <c r="A127" s="693"/>
      <c r="B127" s="690"/>
      <c r="C127" s="690"/>
      <c r="D127" s="693"/>
      <c r="E127" s="690"/>
      <c r="F127" s="711"/>
      <c r="G127" s="735"/>
      <c r="H127" s="693"/>
      <c r="I127" s="693"/>
      <c r="J127" s="711"/>
      <c r="K127" s="693"/>
      <c r="L127" s="693"/>
      <c r="M127" s="693"/>
      <c r="N127" s="711"/>
      <c r="O127" s="735"/>
      <c r="P127" s="812"/>
      <c r="Q127" s="743"/>
      <c r="R127" s="690"/>
      <c r="S127" s="830"/>
      <c r="T127" s="816"/>
      <c r="U127" s="735"/>
      <c r="V127" s="46"/>
      <c r="W127" s="280"/>
      <c r="X127" s="279"/>
      <c r="Y127" s="236"/>
      <c r="Z127" s="250">
        <v>465</v>
      </c>
      <c r="AA127" s="122" t="s">
        <v>2871</v>
      </c>
      <c r="AB127" s="275">
        <v>799894</v>
      </c>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row>
    <row r="128" spans="1:133" s="50" customFormat="1" ht="15" x14ac:dyDescent="0.25">
      <c r="A128" s="693"/>
      <c r="B128" s="690"/>
      <c r="C128" s="690"/>
      <c r="D128" s="693"/>
      <c r="E128" s="690"/>
      <c r="F128" s="711"/>
      <c r="G128" s="735"/>
      <c r="H128" s="693"/>
      <c r="I128" s="693"/>
      <c r="J128" s="711"/>
      <c r="K128" s="693"/>
      <c r="L128" s="693"/>
      <c r="M128" s="693"/>
      <c r="N128" s="711"/>
      <c r="O128" s="735"/>
      <c r="P128" s="812"/>
      <c r="Q128" s="743"/>
      <c r="R128" s="690"/>
      <c r="S128" s="830"/>
      <c r="T128" s="816"/>
      <c r="U128" s="735"/>
      <c r="V128" s="46"/>
      <c r="W128" s="280"/>
      <c r="X128" s="279"/>
      <c r="Y128" s="236"/>
      <c r="Z128" s="250">
        <v>557</v>
      </c>
      <c r="AA128" s="122" t="s">
        <v>2872</v>
      </c>
      <c r="AB128" s="275">
        <v>901876</v>
      </c>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row>
    <row r="129" spans="1:133" s="50" customFormat="1" ht="15" x14ac:dyDescent="0.25">
      <c r="A129" s="693"/>
      <c r="B129" s="690"/>
      <c r="C129" s="690"/>
      <c r="D129" s="693"/>
      <c r="E129" s="690"/>
      <c r="F129" s="711"/>
      <c r="G129" s="735"/>
      <c r="H129" s="693"/>
      <c r="I129" s="693"/>
      <c r="J129" s="711"/>
      <c r="K129" s="693"/>
      <c r="L129" s="693"/>
      <c r="M129" s="693"/>
      <c r="N129" s="711"/>
      <c r="O129" s="735"/>
      <c r="P129" s="812"/>
      <c r="Q129" s="743"/>
      <c r="R129" s="690"/>
      <c r="S129" s="830"/>
      <c r="T129" s="816"/>
      <c r="U129" s="735"/>
      <c r="V129" s="46"/>
      <c r="W129" s="280"/>
      <c r="X129" s="279"/>
      <c r="Y129" s="236"/>
      <c r="Z129" s="250">
        <v>569</v>
      </c>
      <c r="AA129" s="122" t="s">
        <v>858</v>
      </c>
      <c r="AB129" s="275">
        <v>827198</v>
      </c>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row>
    <row r="130" spans="1:133" s="50" customFormat="1" ht="15" x14ac:dyDescent="0.25">
      <c r="A130" s="693"/>
      <c r="B130" s="690"/>
      <c r="C130" s="690"/>
      <c r="D130" s="693"/>
      <c r="E130" s="690"/>
      <c r="F130" s="711"/>
      <c r="G130" s="735"/>
      <c r="H130" s="693"/>
      <c r="I130" s="693"/>
      <c r="J130" s="711"/>
      <c r="K130" s="693"/>
      <c r="L130" s="693"/>
      <c r="M130" s="693"/>
      <c r="N130" s="711"/>
      <c r="O130" s="735"/>
      <c r="P130" s="812"/>
      <c r="Q130" s="743"/>
      <c r="R130" s="690"/>
      <c r="S130" s="830"/>
      <c r="T130" s="816"/>
      <c r="U130" s="735"/>
      <c r="V130" s="46"/>
      <c r="W130" s="280"/>
      <c r="X130" s="279"/>
      <c r="Y130" s="236"/>
      <c r="Z130" s="250">
        <v>1001</v>
      </c>
      <c r="AA130" s="122" t="s">
        <v>856</v>
      </c>
      <c r="AB130" s="275">
        <v>827198</v>
      </c>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row>
    <row r="131" spans="1:133" s="50" customFormat="1" ht="15" x14ac:dyDescent="0.25">
      <c r="A131" s="693"/>
      <c r="B131" s="690"/>
      <c r="C131" s="690"/>
      <c r="D131" s="693"/>
      <c r="E131" s="690"/>
      <c r="F131" s="711"/>
      <c r="G131" s="735"/>
      <c r="H131" s="693"/>
      <c r="I131" s="693"/>
      <c r="J131" s="711"/>
      <c r="K131" s="693"/>
      <c r="L131" s="693"/>
      <c r="M131" s="693"/>
      <c r="N131" s="711"/>
      <c r="O131" s="735"/>
      <c r="P131" s="812"/>
      <c r="Q131" s="743"/>
      <c r="R131" s="690"/>
      <c r="S131" s="830"/>
      <c r="T131" s="816"/>
      <c r="U131" s="735"/>
      <c r="V131" s="46"/>
      <c r="W131" s="280"/>
      <c r="X131" s="279"/>
      <c r="Y131" s="236"/>
      <c r="Z131" s="250">
        <v>1050</v>
      </c>
      <c r="AA131" s="122" t="s">
        <v>856</v>
      </c>
      <c r="AB131" s="275">
        <v>235522</v>
      </c>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row>
    <row r="132" spans="1:133" s="50" customFormat="1" ht="15" x14ac:dyDescent="0.25">
      <c r="A132" s="693"/>
      <c r="B132" s="690"/>
      <c r="C132" s="690"/>
      <c r="D132" s="693"/>
      <c r="E132" s="690"/>
      <c r="F132" s="711"/>
      <c r="G132" s="735"/>
      <c r="H132" s="693"/>
      <c r="I132" s="693"/>
      <c r="J132" s="711"/>
      <c r="K132" s="693"/>
      <c r="L132" s="693"/>
      <c r="M132" s="693"/>
      <c r="N132" s="711"/>
      <c r="O132" s="735"/>
      <c r="P132" s="812"/>
      <c r="Q132" s="743"/>
      <c r="R132" s="691"/>
      <c r="S132" s="831"/>
      <c r="T132" s="817"/>
      <c r="U132" s="729"/>
      <c r="V132" s="46"/>
      <c r="W132" s="280"/>
      <c r="X132" s="279"/>
      <c r="Y132" s="236"/>
      <c r="Z132" s="250">
        <v>1051</v>
      </c>
      <c r="AA132" s="122" t="s">
        <v>856</v>
      </c>
      <c r="AB132" s="275">
        <v>540738</v>
      </c>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row>
    <row r="133" spans="1:133" s="50" customFormat="1" ht="15" x14ac:dyDescent="0.25">
      <c r="A133" s="693"/>
      <c r="B133" s="690"/>
      <c r="C133" s="690"/>
      <c r="D133" s="693"/>
      <c r="E133" s="690"/>
      <c r="F133" s="711"/>
      <c r="G133" s="735"/>
      <c r="H133" s="693"/>
      <c r="I133" s="693"/>
      <c r="J133" s="711"/>
      <c r="K133" s="693"/>
      <c r="L133" s="693"/>
      <c r="M133" s="693"/>
      <c r="N133" s="711"/>
      <c r="O133" s="735"/>
      <c r="P133" s="812"/>
      <c r="Q133" s="743"/>
      <c r="R133" s="400"/>
      <c r="S133" s="434"/>
      <c r="T133" s="402"/>
      <c r="U133" s="398"/>
      <c r="V133" s="46"/>
      <c r="W133" s="280"/>
      <c r="X133" s="279"/>
      <c r="Y133" s="236"/>
      <c r="Z133" s="404">
        <v>1052</v>
      </c>
      <c r="AA133" s="273" t="s">
        <v>856</v>
      </c>
      <c r="AB133" s="275">
        <v>786987</v>
      </c>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row>
    <row r="134" spans="1:133" s="50" customFormat="1" ht="15" x14ac:dyDescent="0.25">
      <c r="A134" s="693"/>
      <c r="B134" s="690"/>
      <c r="C134" s="690"/>
      <c r="D134" s="693"/>
      <c r="E134" s="690"/>
      <c r="F134" s="711"/>
      <c r="G134" s="735"/>
      <c r="H134" s="693"/>
      <c r="I134" s="693"/>
      <c r="J134" s="711"/>
      <c r="K134" s="693"/>
      <c r="L134" s="693"/>
      <c r="M134" s="693"/>
      <c r="N134" s="711"/>
      <c r="O134" s="735"/>
      <c r="P134" s="812"/>
      <c r="Q134" s="743"/>
      <c r="R134" s="272" t="s">
        <v>1467</v>
      </c>
      <c r="S134" s="491" t="s">
        <v>1468</v>
      </c>
      <c r="T134" s="245" t="s">
        <v>1469</v>
      </c>
      <c r="U134" s="236">
        <v>28881141</v>
      </c>
      <c r="V134" s="46"/>
      <c r="W134" s="137">
        <v>771</v>
      </c>
      <c r="X134" s="279">
        <v>44742</v>
      </c>
      <c r="Y134" s="236">
        <v>28881141</v>
      </c>
      <c r="Z134" s="250">
        <v>3389</v>
      </c>
      <c r="AA134" s="122" t="s">
        <v>2873</v>
      </c>
      <c r="AB134" s="275">
        <v>965064</v>
      </c>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row>
    <row r="135" spans="1:133" s="50" customFormat="1" ht="15" x14ac:dyDescent="0.25">
      <c r="A135" s="693"/>
      <c r="B135" s="690"/>
      <c r="C135" s="690"/>
      <c r="D135" s="693"/>
      <c r="E135" s="690"/>
      <c r="F135" s="711"/>
      <c r="G135" s="735"/>
      <c r="H135" s="693"/>
      <c r="I135" s="693"/>
      <c r="J135" s="711"/>
      <c r="K135" s="693"/>
      <c r="L135" s="693"/>
      <c r="M135" s="693"/>
      <c r="N135" s="711"/>
      <c r="O135" s="735"/>
      <c r="P135" s="812"/>
      <c r="Q135" s="743"/>
      <c r="R135" s="405"/>
      <c r="S135" s="433"/>
      <c r="T135" s="405"/>
      <c r="U135" s="397"/>
      <c r="V135" s="46"/>
      <c r="W135" s="137"/>
      <c r="X135" s="279"/>
      <c r="Y135" s="236"/>
      <c r="Z135" s="404">
        <v>3391</v>
      </c>
      <c r="AA135" s="273" t="s">
        <v>2873</v>
      </c>
      <c r="AB135" s="275">
        <v>965064</v>
      </c>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row>
    <row r="136" spans="1:133" s="50" customFormat="1" ht="15" x14ac:dyDescent="0.25">
      <c r="A136" s="693"/>
      <c r="B136" s="690"/>
      <c r="C136" s="690"/>
      <c r="D136" s="693"/>
      <c r="E136" s="690"/>
      <c r="F136" s="711"/>
      <c r="G136" s="735"/>
      <c r="H136" s="693"/>
      <c r="I136" s="693"/>
      <c r="J136" s="711"/>
      <c r="K136" s="693"/>
      <c r="L136" s="693"/>
      <c r="M136" s="693"/>
      <c r="N136" s="711"/>
      <c r="O136" s="735"/>
      <c r="P136" s="812"/>
      <c r="Q136" s="743"/>
      <c r="R136" s="405"/>
      <c r="S136" s="433"/>
      <c r="T136" s="405"/>
      <c r="U136" s="397"/>
      <c r="V136" s="46"/>
      <c r="W136" s="137"/>
      <c r="X136" s="279"/>
      <c r="Y136" s="236"/>
      <c r="Z136" s="404">
        <v>3392</v>
      </c>
      <c r="AA136" s="273" t="s">
        <v>2873</v>
      </c>
      <c r="AB136" s="275">
        <v>965064</v>
      </c>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row>
    <row r="137" spans="1:133" s="50" customFormat="1" ht="15" x14ac:dyDescent="0.25">
      <c r="A137" s="693"/>
      <c r="B137" s="690"/>
      <c r="C137" s="690"/>
      <c r="D137" s="693"/>
      <c r="E137" s="690"/>
      <c r="F137" s="711"/>
      <c r="G137" s="735"/>
      <c r="H137" s="693"/>
      <c r="I137" s="693"/>
      <c r="J137" s="711"/>
      <c r="K137" s="693"/>
      <c r="L137" s="693"/>
      <c r="M137" s="693"/>
      <c r="N137" s="711"/>
      <c r="O137" s="735"/>
      <c r="P137" s="812"/>
      <c r="Q137" s="743"/>
      <c r="R137" s="405"/>
      <c r="S137" s="433"/>
      <c r="T137" s="405"/>
      <c r="U137" s="397"/>
      <c r="V137" s="46"/>
      <c r="W137" s="137"/>
      <c r="X137" s="279"/>
      <c r="Y137" s="236"/>
      <c r="Z137" s="404">
        <v>3393</v>
      </c>
      <c r="AA137" s="273" t="s">
        <v>2873</v>
      </c>
      <c r="AB137" s="275">
        <v>965064</v>
      </c>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row>
    <row r="138" spans="1:133" s="50" customFormat="1" ht="15" x14ac:dyDescent="0.25">
      <c r="A138" s="693"/>
      <c r="B138" s="690"/>
      <c r="C138" s="690"/>
      <c r="D138" s="693"/>
      <c r="E138" s="690"/>
      <c r="F138" s="711"/>
      <c r="G138" s="735"/>
      <c r="H138" s="693"/>
      <c r="I138" s="693"/>
      <c r="J138" s="711"/>
      <c r="K138" s="693"/>
      <c r="L138" s="693"/>
      <c r="M138" s="693"/>
      <c r="N138" s="711"/>
      <c r="O138" s="735"/>
      <c r="P138" s="812"/>
      <c r="Q138" s="743"/>
      <c r="R138" s="405"/>
      <c r="S138" s="433"/>
      <c r="T138" s="405"/>
      <c r="U138" s="397"/>
      <c r="V138" s="46"/>
      <c r="W138" s="137"/>
      <c r="X138" s="279"/>
      <c r="Y138" s="236"/>
      <c r="Z138" s="404">
        <v>3400</v>
      </c>
      <c r="AA138" s="273" t="s">
        <v>2873</v>
      </c>
      <c r="AB138" s="275">
        <v>2312537</v>
      </c>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row>
    <row r="139" spans="1:133" s="50" customFormat="1" ht="15" x14ac:dyDescent="0.25">
      <c r="A139" s="693"/>
      <c r="B139" s="690"/>
      <c r="C139" s="690"/>
      <c r="D139" s="693"/>
      <c r="E139" s="690"/>
      <c r="F139" s="711"/>
      <c r="G139" s="735"/>
      <c r="H139" s="693"/>
      <c r="I139" s="693"/>
      <c r="J139" s="711"/>
      <c r="K139" s="693"/>
      <c r="L139" s="693"/>
      <c r="M139" s="693"/>
      <c r="N139" s="711"/>
      <c r="O139" s="735"/>
      <c r="P139" s="812"/>
      <c r="Q139" s="743"/>
      <c r="R139" s="405"/>
      <c r="S139" s="433"/>
      <c r="T139" s="405"/>
      <c r="U139" s="397"/>
      <c r="V139" s="46"/>
      <c r="W139" s="137"/>
      <c r="X139" s="279"/>
      <c r="Y139" s="236"/>
      <c r="Z139" s="404">
        <v>3402</v>
      </c>
      <c r="AA139" s="273" t="s">
        <v>2873</v>
      </c>
      <c r="AB139" s="275">
        <v>663095</v>
      </c>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row>
    <row r="140" spans="1:133" s="50" customFormat="1" ht="15" x14ac:dyDescent="0.25">
      <c r="A140" s="693"/>
      <c r="B140" s="690"/>
      <c r="C140" s="690"/>
      <c r="D140" s="693"/>
      <c r="E140" s="690"/>
      <c r="F140" s="711"/>
      <c r="G140" s="735"/>
      <c r="H140" s="693"/>
      <c r="I140" s="693"/>
      <c r="J140" s="711"/>
      <c r="K140" s="693"/>
      <c r="L140" s="693"/>
      <c r="M140" s="693"/>
      <c r="N140" s="711"/>
      <c r="O140" s="735"/>
      <c r="P140" s="812"/>
      <c r="Q140" s="743"/>
      <c r="R140" s="405"/>
      <c r="S140" s="433"/>
      <c r="T140" s="405"/>
      <c r="U140" s="397"/>
      <c r="V140" s="46"/>
      <c r="W140" s="137"/>
      <c r="X140" s="279"/>
      <c r="Y140" s="236"/>
      <c r="Z140" s="404">
        <v>3403</v>
      </c>
      <c r="AA140" s="273" t="s">
        <v>2873</v>
      </c>
      <c r="AB140" s="275">
        <v>1082555</v>
      </c>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row>
    <row r="141" spans="1:133" s="50" customFormat="1" ht="15" x14ac:dyDescent="0.25">
      <c r="A141" s="693"/>
      <c r="B141" s="690"/>
      <c r="C141" s="690"/>
      <c r="D141" s="693"/>
      <c r="E141" s="690"/>
      <c r="F141" s="711"/>
      <c r="G141" s="735"/>
      <c r="H141" s="693"/>
      <c r="I141" s="693"/>
      <c r="J141" s="711"/>
      <c r="K141" s="693"/>
      <c r="L141" s="693"/>
      <c r="M141" s="693"/>
      <c r="N141" s="711"/>
      <c r="O141" s="735"/>
      <c r="P141" s="812"/>
      <c r="Q141" s="743"/>
      <c r="R141" s="405"/>
      <c r="S141" s="433"/>
      <c r="T141" s="405"/>
      <c r="U141" s="397"/>
      <c r="V141" s="46"/>
      <c r="W141" s="137"/>
      <c r="X141" s="279"/>
      <c r="Y141" s="236"/>
      <c r="Z141" s="404">
        <v>3404</v>
      </c>
      <c r="AA141" s="273" t="s">
        <v>2873</v>
      </c>
      <c r="AB141" s="275">
        <v>741034</v>
      </c>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row>
    <row r="142" spans="1:133" s="50" customFormat="1" ht="15" x14ac:dyDescent="0.25">
      <c r="A142" s="693"/>
      <c r="B142" s="690"/>
      <c r="C142" s="690"/>
      <c r="D142" s="693"/>
      <c r="E142" s="690"/>
      <c r="F142" s="711"/>
      <c r="G142" s="735"/>
      <c r="H142" s="693"/>
      <c r="I142" s="693"/>
      <c r="J142" s="711"/>
      <c r="K142" s="693"/>
      <c r="L142" s="693"/>
      <c r="M142" s="693"/>
      <c r="N142" s="711"/>
      <c r="O142" s="735"/>
      <c r="P142" s="812"/>
      <c r="Q142" s="743"/>
      <c r="R142" s="405"/>
      <c r="S142" s="433"/>
      <c r="T142" s="405"/>
      <c r="U142" s="397"/>
      <c r="V142" s="46"/>
      <c r="W142" s="137"/>
      <c r="X142" s="279"/>
      <c r="Y142" s="236"/>
      <c r="Z142" s="404">
        <v>3405</v>
      </c>
      <c r="AA142" s="273" t="s">
        <v>2873</v>
      </c>
      <c r="AB142" s="275">
        <v>965064</v>
      </c>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row>
    <row r="143" spans="1:133" s="50" customFormat="1" ht="15" x14ac:dyDescent="0.25">
      <c r="A143" s="693"/>
      <c r="B143" s="690"/>
      <c r="C143" s="690"/>
      <c r="D143" s="693"/>
      <c r="E143" s="690"/>
      <c r="F143" s="711"/>
      <c r="G143" s="735"/>
      <c r="H143" s="693"/>
      <c r="I143" s="693"/>
      <c r="J143" s="711"/>
      <c r="K143" s="693"/>
      <c r="L143" s="693"/>
      <c r="M143" s="693"/>
      <c r="N143" s="711"/>
      <c r="O143" s="735"/>
      <c r="P143" s="812"/>
      <c r="Q143" s="743"/>
      <c r="R143" s="405"/>
      <c r="S143" s="433"/>
      <c r="T143" s="405"/>
      <c r="U143" s="397"/>
      <c r="V143" s="46"/>
      <c r="W143" s="137"/>
      <c r="X143" s="279"/>
      <c r="Y143" s="236"/>
      <c r="Z143" s="404">
        <v>3406</v>
      </c>
      <c r="AA143" s="273" t="s">
        <v>2873</v>
      </c>
      <c r="AB143" s="275">
        <v>1177608</v>
      </c>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row>
    <row r="144" spans="1:133" s="50" customFormat="1" ht="15" x14ac:dyDescent="0.25">
      <c r="A144" s="693"/>
      <c r="B144" s="690"/>
      <c r="C144" s="690"/>
      <c r="D144" s="693"/>
      <c r="E144" s="690"/>
      <c r="F144" s="711"/>
      <c r="G144" s="735"/>
      <c r="H144" s="693"/>
      <c r="I144" s="693"/>
      <c r="J144" s="711"/>
      <c r="K144" s="693"/>
      <c r="L144" s="693"/>
      <c r="M144" s="693"/>
      <c r="N144" s="711"/>
      <c r="O144" s="735"/>
      <c r="P144" s="812"/>
      <c r="Q144" s="743"/>
      <c r="R144" s="405"/>
      <c r="S144" s="433"/>
      <c r="T144" s="405"/>
      <c r="U144" s="397"/>
      <c r="V144" s="46"/>
      <c r="W144" s="137"/>
      <c r="X144" s="279"/>
      <c r="Y144" s="236"/>
      <c r="Z144" s="404">
        <v>3407</v>
      </c>
      <c r="AA144" s="273" t="s">
        <v>2873</v>
      </c>
      <c r="AB144" s="275">
        <v>965064</v>
      </c>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row>
    <row r="145" spans="1:133" s="50" customFormat="1" ht="15" x14ac:dyDescent="0.25">
      <c r="A145" s="693"/>
      <c r="B145" s="690"/>
      <c r="C145" s="690"/>
      <c r="D145" s="693"/>
      <c r="E145" s="690"/>
      <c r="F145" s="711"/>
      <c r="G145" s="735"/>
      <c r="H145" s="693"/>
      <c r="I145" s="693"/>
      <c r="J145" s="711"/>
      <c r="K145" s="693"/>
      <c r="L145" s="693"/>
      <c r="M145" s="693"/>
      <c r="N145" s="711"/>
      <c r="O145" s="735"/>
      <c r="P145" s="812"/>
      <c r="Q145" s="743"/>
      <c r="R145" s="405"/>
      <c r="S145" s="433"/>
      <c r="T145" s="405"/>
      <c r="U145" s="397"/>
      <c r="V145" s="46"/>
      <c r="W145" s="137"/>
      <c r="X145" s="279"/>
      <c r="Y145" s="236"/>
      <c r="Z145" s="404">
        <v>3408</v>
      </c>
      <c r="AA145" s="273" t="s">
        <v>2873</v>
      </c>
      <c r="AB145" s="275">
        <v>488277</v>
      </c>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row>
    <row r="146" spans="1:133" s="50" customFormat="1" ht="15" x14ac:dyDescent="0.25">
      <c r="A146" s="693"/>
      <c r="B146" s="690"/>
      <c r="C146" s="690"/>
      <c r="D146" s="693"/>
      <c r="E146" s="690"/>
      <c r="F146" s="711"/>
      <c r="G146" s="735"/>
      <c r="H146" s="693"/>
      <c r="I146" s="693"/>
      <c r="J146" s="711"/>
      <c r="K146" s="693"/>
      <c r="L146" s="693"/>
      <c r="M146" s="693"/>
      <c r="N146" s="711"/>
      <c r="O146" s="735"/>
      <c r="P146" s="812"/>
      <c r="Q146" s="743"/>
      <c r="R146" s="405"/>
      <c r="S146" s="433"/>
      <c r="T146" s="405"/>
      <c r="U146" s="397"/>
      <c r="V146" s="46"/>
      <c r="W146" s="137"/>
      <c r="X146" s="279"/>
      <c r="Y146" s="236"/>
      <c r="Z146" s="404">
        <v>3409</v>
      </c>
      <c r="AA146" s="273" t="s">
        <v>2873</v>
      </c>
      <c r="AB146" s="275">
        <v>383543</v>
      </c>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row>
    <row r="147" spans="1:133" s="50" customFormat="1" ht="15" x14ac:dyDescent="0.25">
      <c r="A147" s="693"/>
      <c r="B147" s="690"/>
      <c r="C147" s="690"/>
      <c r="D147" s="693"/>
      <c r="E147" s="690"/>
      <c r="F147" s="711"/>
      <c r="G147" s="735"/>
      <c r="H147" s="693"/>
      <c r="I147" s="693"/>
      <c r="J147" s="711"/>
      <c r="K147" s="693"/>
      <c r="L147" s="693"/>
      <c r="M147" s="693"/>
      <c r="N147" s="711"/>
      <c r="O147" s="735"/>
      <c r="P147" s="812"/>
      <c r="Q147" s="743"/>
      <c r="R147" s="405"/>
      <c r="S147" s="433"/>
      <c r="T147" s="405"/>
      <c r="U147" s="397"/>
      <c r="V147" s="46"/>
      <c r="W147" s="137"/>
      <c r="X147" s="279"/>
      <c r="Y147" s="236"/>
      <c r="Z147" s="404">
        <v>3410</v>
      </c>
      <c r="AA147" s="273" t="s">
        <v>2873</v>
      </c>
      <c r="AB147" s="275">
        <v>660610</v>
      </c>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row>
    <row r="148" spans="1:133" s="50" customFormat="1" ht="15" x14ac:dyDescent="0.25">
      <c r="A148" s="693"/>
      <c r="B148" s="690"/>
      <c r="C148" s="690"/>
      <c r="D148" s="693"/>
      <c r="E148" s="690"/>
      <c r="F148" s="711"/>
      <c r="G148" s="735"/>
      <c r="H148" s="693"/>
      <c r="I148" s="693"/>
      <c r="J148" s="711"/>
      <c r="K148" s="693"/>
      <c r="L148" s="693"/>
      <c r="M148" s="693"/>
      <c r="N148" s="711"/>
      <c r="O148" s="735"/>
      <c r="P148" s="812"/>
      <c r="Q148" s="743"/>
      <c r="R148" s="405"/>
      <c r="S148" s="433"/>
      <c r="T148" s="405"/>
      <c r="U148" s="397"/>
      <c r="V148" s="46"/>
      <c r="W148" s="137"/>
      <c r="X148" s="279"/>
      <c r="Y148" s="236"/>
      <c r="Z148" s="404">
        <v>3414</v>
      </c>
      <c r="AA148" s="273" t="s">
        <v>2873</v>
      </c>
      <c r="AB148" s="275">
        <v>456857</v>
      </c>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row>
    <row r="149" spans="1:133" s="50" customFormat="1" ht="15" x14ac:dyDescent="0.25">
      <c r="A149" s="693"/>
      <c r="B149" s="690"/>
      <c r="C149" s="690"/>
      <c r="D149" s="693"/>
      <c r="E149" s="690"/>
      <c r="F149" s="711"/>
      <c r="G149" s="735"/>
      <c r="H149" s="693"/>
      <c r="I149" s="693"/>
      <c r="J149" s="711"/>
      <c r="K149" s="693"/>
      <c r="L149" s="693"/>
      <c r="M149" s="693"/>
      <c r="N149" s="711"/>
      <c r="O149" s="735"/>
      <c r="P149" s="812"/>
      <c r="Q149" s="743"/>
      <c r="R149" s="405"/>
      <c r="S149" s="433"/>
      <c r="T149" s="405"/>
      <c r="U149" s="397"/>
      <c r="V149" s="46"/>
      <c r="W149" s="137"/>
      <c r="X149" s="279"/>
      <c r="Y149" s="236"/>
      <c r="Z149" s="404">
        <v>3415</v>
      </c>
      <c r="AA149" s="273" t="s">
        <v>2873</v>
      </c>
      <c r="AB149" s="275">
        <v>295613</v>
      </c>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row>
    <row r="150" spans="1:133" s="50" customFormat="1" ht="15" x14ac:dyDescent="0.25">
      <c r="A150" s="693"/>
      <c r="B150" s="690"/>
      <c r="C150" s="690"/>
      <c r="D150" s="693"/>
      <c r="E150" s="690"/>
      <c r="F150" s="711"/>
      <c r="G150" s="735"/>
      <c r="H150" s="693"/>
      <c r="I150" s="693"/>
      <c r="J150" s="711"/>
      <c r="K150" s="693"/>
      <c r="L150" s="693"/>
      <c r="M150" s="693"/>
      <c r="N150" s="711"/>
      <c r="O150" s="735"/>
      <c r="P150" s="812"/>
      <c r="Q150" s="743"/>
      <c r="R150" s="405"/>
      <c r="S150" s="433"/>
      <c r="T150" s="405"/>
      <c r="U150" s="397"/>
      <c r="V150" s="46"/>
      <c r="W150" s="137"/>
      <c r="X150" s="279"/>
      <c r="Y150" s="236"/>
      <c r="Z150" s="404">
        <v>3416</v>
      </c>
      <c r="AA150" s="273" t="s">
        <v>2873</v>
      </c>
      <c r="AB150" s="275">
        <v>553603</v>
      </c>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row>
    <row r="151" spans="1:133" s="50" customFormat="1" ht="15" x14ac:dyDescent="0.25">
      <c r="A151" s="693"/>
      <c r="B151" s="690"/>
      <c r="C151" s="690"/>
      <c r="D151" s="693"/>
      <c r="E151" s="690"/>
      <c r="F151" s="711"/>
      <c r="G151" s="735"/>
      <c r="H151" s="693"/>
      <c r="I151" s="693"/>
      <c r="J151" s="711"/>
      <c r="K151" s="693"/>
      <c r="L151" s="693"/>
      <c r="M151" s="693"/>
      <c r="N151" s="711"/>
      <c r="O151" s="735"/>
      <c r="P151" s="812"/>
      <c r="Q151" s="743"/>
      <c r="R151" s="405"/>
      <c r="S151" s="433"/>
      <c r="T151" s="405"/>
      <c r="U151" s="397"/>
      <c r="V151" s="46"/>
      <c r="W151" s="137"/>
      <c r="X151" s="279"/>
      <c r="Y151" s="236"/>
      <c r="Z151" s="404">
        <v>3417</v>
      </c>
      <c r="AA151" s="273" t="s">
        <v>2873</v>
      </c>
      <c r="AB151" s="275">
        <v>809133</v>
      </c>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row>
    <row r="152" spans="1:133" s="50" customFormat="1" ht="15" x14ac:dyDescent="0.25">
      <c r="A152" s="693"/>
      <c r="B152" s="690"/>
      <c r="C152" s="690"/>
      <c r="D152" s="693"/>
      <c r="E152" s="690"/>
      <c r="F152" s="711"/>
      <c r="G152" s="735"/>
      <c r="H152" s="693"/>
      <c r="I152" s="693"/>
      <c r="J152" s="711"/>
      <c r="K152" s="693"/>
      <c r="L152" s="693"/>
      <c r="M152" s="693"/>
      <c r="N152" s="711"/>
      <c r="O152" s="735"/>
      <c r="P152" s="812"/>
      <c r="Q152" s="743"/>
      <c r="R152" s="405"/>
      <c r="S152" s="433"/>
      <c r="T152" s="405"/>
      <c r="U152" s="397"/>
      <c r="V152" s="46"/>
      <c r="W152" s="137"/>
      <c r="X152" s="279"/>
      <c r="Y152" s="236"/>
      <c r="Z152" s="404">
        <v>3418</v>
      </c>
      <c r="AA152" s="273" t="s">
        <v>2873</v>
      </c>
      <c r="AB152" s="275">
        <v>809133</v>
      </c>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row>
    <row r="153" spans="1:133" s="50" customFormat="1" ht="15" x14ac:dyDescent="0.25">
      <c r="A153" s="693"/>
      <c r="B153" s="690"/>
      <c r="C153" s="690"/>
      <c r="D153" s="693"/>
      <c r="E153" s="690"/>
      <c r="F153" s="711"/>
      <c r="G153" s="735"/>
      <c r="H153" s="693"/>
      <c r="I153" s="693"/>
      <c r="J153" s="711"/>
      <c r="K153" s="693"/>
      <c r="L153" s="693"/>
      <c r="M153" s="693"/>
      <c r="N153" s="711"/>
      <c r="O153" s="735"/>
      <c r="P153" s="812"/>
      <c r="Q153" s="743"/>
      <c r="R153" s="405"/>
      <c r="S153" s="433"/>
      <c r="T153" s="405"/>
      <c r="U153" s="397"/>
      <c r="V153" s="46"/>
      <c r="W153" s="137"/>
      <c r="X153" s="279"/>
      <c r="Y153" s="236"/>
      <c r="Z153" s="404">
        <v>3419</v>
      </c>
      <c r="AA153" s="273" t="s">
        <v>2873</v>
      </c>
      <c r="AB153" s="275">
        <v>663095</v>
      </c>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row>
    <row r="154" spans="1:133" s="50" customFormat="1" ht="15" x14ac:dyDescent="0.25">
      <c r="A154" s="693"/>
      <c r="B154" s="690"/>
      <c r="C154" s="690"/>
      <c r="D154" s="693"/>
      <c r="E154" s="690"/>
      <c r="F154" s="711"/>
      <c r="G154" s="735"/>
      <c r="H154" s="693"/>
      <c r="I154" s="693"/>
      <c r="J154" s="711"/>
      <c r="K154" s="693"/>
      <c r="L154" s="693"/>
      <c r="M154" s="693"/>
      <c r="N154" s="711"/>
      <c r="O154" s="735"/>
      <c r="P154" s="812"/>
      <c r="Q154" s="743"/>
      <c r="R154" s="405"/>
      <c r="S154" s="433"/>
      <c r="T154" s="405"/>
      <c r="U154" s="397"/>
      <c r="V154" s="46"/>
      <c r="W154" s="137"/>
      <c r="X154" s="279"/>
      <c r="Y154" s="236"/>
      <c r="Z154" s="404">
        <v>3420</v>
      </c>
      <c r="AA154" s="273" t="s">
        <v>2873</v>
      </c>
      <c r="AB154" s="275">
        <v>1320974</v>
      </c>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row>
    <row r="155" spans="1:133" s="50" customFormat="1" ht="15" x14ac:dyDescent="0.25">
      <c r="A155" s="693"/>
      <c r="B155" s="690"/>
      <c r="C155" s="690"/>
      <c r="D155" s="693"/>
      <c r="E155" s="690"/>
      <c r="F155" s="711"/>
      <c r="G155" s="735"/>
      <c r="H155" s="693"/>
      <c r="I155" s="693"/>
      <c r="J155" s="711"/>
      <c r="K155" s="693"/>
      <c r="L155" s="693"/>
      <c r="M155" s="693"/>
      <c r="N155" s="711"/>
      <c r="O155" s="735"/>
      <c r="P155" s="812"/>
      <c r="Q155" s="743"/>
      <c r="R155" s="405"/>
      <c r="S155" s="433"/>
      <c r="T155" s="405"/>
      <c r="U155" s="397"/>
      <c r="V155" s="46"/>
      <c r="W155" s="137"/>
      <c r="X155" s="279"/>
      <c r="Y155" s="236"/>
      <c r="Z155" s="404">
        <v>3421</v>
      </c>
      <c r="AA155" s="273" t="s">
        <v>2873</v>
      </c>
      <c r="AB155" s="275">
        <v>1044448</v>
      </c>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row>
    <row r="156" spans="1:133" s="50" customFormat="1" ht="15" x14ac:dyDescent="0.25">
      <c r="A156" s="693"/>
      <c r="B156" s="690"/>
      <c r="C156" s="690"/>
      <c r="D156" s="693"/>
      <c r="E156" s="690"/>
      <c r="F156" s="711"/>
      <c r="G156" s="735"/>
      <c r="H156" s="693"/>
      <c r="I156" s="693"/>
      <c r="J156" s="711"/>
      <c r="K156" s="693"/>
      <c r="L156" s="693"/>
      <c r="M156" s="693"/>
      <c r="N156" s="711"/>
      <c r="O156" s="735"/>
      <c r="P156" s="812"/>
      <c r="Q156" s="743"/>
      <c r="R156" s="405"/>
      <c r="S156" s="433"/>
      <c r="T156" s="405"/>
      <c r="U156" s="397"/>
      <c r="V156" s="46"/>
      <c r="W156" s="137"/>
      <c r="X156" s="279"/>
      <c r="Y156" s="236"/>
      <c r="Z156" s="404">
        <v>3422</v>
      </c>
      <c r="AA156" s="273" t="s">
        <v>2873</v>
      </c>
      <c r="AB156" s="275">
        <v>1740820</v>
      </c>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row>
    <row r="157" spans="1:133" s="50" customFormat="1" ht="15" x14ac:dyDescent="0.25">
      <c r="A157" s="693"/>
      <c r="B157" s="690"/>
      <c r="C157" s="690"/>
      <c r="D157" s="693"/>
      <c r="E157" s="690"/>
      <c r="F157" s="711"/>
      <c r="G157" s="735"/>
      <c r="H157" s="693"/>
      <c r="I157" s="693"/>
      <c r="J157" s="711"/>
      <c r="K157" s="693"/>
      <c r="L157" s="693"/>
      <c r="M157" s="693"/>
      <c r="N157" s="711"/>
      <c r="O157" s="735"/>
      <c r="P157" s="812"/>
      <c r="Q157" s="743"/>
      <c r="R157" s="405"/>
      <c r="S157" s="433"/>
      <c r="T157" s="405"/>
      <c r="U157" s="397"/>
      <c r="V157" s="46"/>
      <c r="W157" s="137"/>
      <c r="X157" s="279"/>
      <c r="Y157" s="236"/>
      <c r="Z157" s="404">
        <v>3521</v>
      </c>
      <c r="AA157" s="273" t="s">
        <v>2874</v>
      </c>
      <c r="AB157" s="275">
        <v>631519</v>
      </c>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row>
    <row r="158" spans="1:133" s="50" customFormat="1" ht="15" x14ac:dyDescent="0.25">
      <c r="A158" s="693"/>
      <c r="B158" s="690"/>
      <c r="C158" s="690"/>
      <c r="D158" s="693"/>
      <c r="E158" s="690"/>
      <c r="F158" s="711"/>
      <c r="G158" s="735"/>
      <c r="H158" s="693"/>
      <c r="I158" s="693"/>
      <c r="J158" s="711"/>
      <c r="K158" s="693"/>
      <c r="L158" s="693"/>
      <c r="M158" s="693"/>
      <c r="N158" s="711"/>
      <c r="O158" s="735"/>
      <c r="P158" s="812"/>
      <c r="Q158" s="743"/>
      <c r="R158" s="405"/>
      <c r="S158" s="433"/>
      <c r="T158" s="405"/>
      <c r="U158" s="397"/>
      <c r="V158" s="46"/>
      <c r="W158" s="137"/>
      <c r="X158" s="279"/>
      <c r="Y158" s="236"/>
      <c r="Z158" s="404">
        <v>3522</v>
      </c>
      <c r="AA158" s="273" t="s">
        <v>2874</v>
      </c>
      <c r="AB158" s="275">
        <v>631519</v>
      </c>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row>
    <row r="159" spans="1:133" s="50" customFormat="1" ht="15" x14ac:dyDescent="0.25">
      <c r="A159" s="693"/>
      <c r="B159" s="690"/>
      <c r="C159" s="690"/>
      <c r="D159" s="693"/>
      <c r="E159" s="690"/>
      <c r="F159" s="711"/>
      <c r="G159" s="735"/>
      <c r="H159" s="693"/>
      <c r="I159" s="693"/>
      <c r="J159" s="711"/>
      <c r="K159" s="693"/>
      <c r="L159" s="693"/>
      <c r="M159" s="693"/>
      <c r="N159" s="711"/>
      <c r="O159" s="735"/>
      <c r="P159" s="812"/>
      <c r="Q159" s="743"/>
      <c r="R159" s="405"/>
      <c r="S159" s="433"/>
      <c r="T159" s="405"/>
      <c r="U159" s="397"/>
      <c r="V159" s="46"/>
      <c r="W159" s="137"/>
      <c r="X159" s="279"/>
      <c r="Y159" s="236"/>
      <c r="Z159" s="404">
        <v>3523</v>
      </c>
      <c r="AA159" s="273" t="s">
        <v>2874</v>
      </c>
      <c r="AB159" s="275">
        <v>631519</v>
      </c>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row>
    <row r="160" spans="1:133" s="50" customFormat="1" ht="15" x14ac:dyDescent="0.25">
      <c r="A160" s="693"/>
      <c r="B160" s="690"/>
      <c r="C160" s="690"/>
      <c r="D160" s="693"/>
      <c r="E160" s="690"/>
      <c r="F160" s="711"/>
      <c r="G160" s="735"/>
      <c r="H160" s="693"/>
      <c r="I160" s="693"/>
      <c r="J160" s="711"/>
      <c r="K160" s="693"/>
      <c r="L160" s="693"/>
      <c r="M160" s="693"/>
      <c r="N160" s="711"/>
      <c r="O160" s="735"/>
      <c r="P160" s="812"/>
      <c r="Q160" s="743"/>
      <c r="R160" s="405"/>
      <c r="S160" s="433"/>
      <c r="T160" s="405"/>
      <c r="U160" s="397"/>
      <c r="V160" s="46"/>
      <c r="W160" s="137"/>
      <c r="X160" s="279"/>
      <c r="Y160" s="236"/>
      <c r="Z160" s="404">
        <v>3525</v>
      </c>
      <c r="AA160" s="273" t="s">
        <v>2875</v>
      </c>
      <c r="AB160" s="275">
        <v>493418</v>
      </c>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row>
    <row r="161" spans="1:133" s="50" customFormat="1" ht="15" x14ac:dyDescent="0.25">
      <c r="A161" s="693"/>
      <c r="B161" s="690"/>
      <c r="C161" s="690"/>
      <c r="D161" s="693"/>
      <c r="E161" s="690"/>
      <c r="F161" s="711"/>
      <c r="G161" s="735"/>
      <c r="H161" s="693"/>
      <c r="I161" s="693"/>
      <c r="J161" s="711"/>
      <c r="K161" s="693"/>
      <c r="L161" s="693"/>
      <c r="M161" s="693"/>
      <c r="N161" s="711"/>
      <c r="O161" s="735"/>
      <c r="P161" s="812"/>
      <c r="Q161" s="743"/>
      <c r="R161" s="405"/>
      <c r="S161" s="433"/>
      <c r="T161" s="405"/>
      <c r="U161" s="397"/>
      <c r="V161" s="46"/>
      <c r="W161" s="137"/>
      <c r="X161" s="279"/>
      <c r="Y161" s="236"/>
      <c r="Z161" s="404">
        <v>3875</v>
      </c>
      <c r="AA161" s="273" t="s">
        <v>2859</v>
      </c>
      <c r="AB161" s="275">
        <v>821454</v>
      </c>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row>
    <row r="162" spans="1:133" s="50" customFormat="1" ht="15" x14ac:dyDescent="0.25">
      <c r="A162" s="693"/>
      <c r="B162" s="690"/>
      <c r="C162" s="690"/>
      <c r="D162" s="693"/>
      <c r="E162" s="690"/>
      <c r="F162" s="711"/>
      <c r="G162" s="735"/>
      <c r="H162" s="693"/>
      <c r="I162" s="693"/>
      <c r="J162" s="711"/>
      <c r="K162" s="693"/>
      <c r="L162" s="693"/>
      <c r="M162" s="693"/>
      <c r="N162" s="711"/>
      <c r="O162" s="735"/>
      <c r="P162" s="812"/>
      <c r="Q162" s="743"/>
      <c r="R162" s="405"/>
      <c r="S162" s="433"/>
      <c r="T162" s="405"/>
      <c r="U162" s="397"/>
      <c r="V162" s="46"/>
      <c r="W162" s="137"/>
      <c r="X162" s="279"/>
      <c r="Y162" s="236"/>
      <c r="Z162" s="404">
        <v>3891</v>
      </c>
      <c r="AA162" s="273" t="s">
        <v>2859</v>
      </c>
      <c r="AB162" s="275">
        <v>821454</v>
      </c>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row>
    <row r="163" spans="1:133" s="50" customFormat="1" ht="15" x14ac:dyDescent="0.25">
      <c r="A163" s="693"/>
      <c r="B163" s="690"/>
      <c r="C163" s="690"/>
      <c r="D163" s="693"/>
      <c r="E163" s="690"/>
      <c r="F163" s="711"/>
      <c r="G163" s="735"/>
      <c r="H163" s="693"/>
      <c r="I163" s="693"/>
      <c r="J163" s="711"/>
      <c r="K163" s="693"/>
      <c r="L163" s="693"/>
      <c r="M163" s="693"/>
      <c r="N163" s="711"/>
      <c r="O163" s="735"/>
      <c r="P163" s="812"/>
      <c r="Q163" s="743"/>
      <c r="R163" s="405"/>
      <c r="S163" s="433"/>
      <c r="T163" s="405"/>
      <c r="U163" s="397"/>
      <c r="V163" s="46"/>
      <c r="W163" s="137"/>
      <c r="X163" s="279"/>
      <c r="Y163" s="236"/>
      <c r="Z163" s="404">
        <v>4864</v>
      </c>
      <c r="AA163" s="273" t="s">
        <v>2821</v>
      </c>
      <c r="AB163" s="275">
        <v>784718</v>
      </c>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row>
    <row r="164" spans="1:133" s="50" customFormat="1" ht="15" x14ac:dyDescent="0.25">
      <c r="A164" s="693"/>
      <c r="B164" s="690"/>
      <c r="C164" s="690"/>
      <c r="D164" s="693"/>
      <c r="E164" s="690"/>
      <c r="F164" s="711"/>
      <c r="G164" s="735"/>
      <c r="H164" s="693"/>
      <c r="I164" s="693"/>
      <c r="J164" s="711"/>
      <c r="K164" s="693"/>
      <c r="L164" s="693"/>
      <c r="M164" s="693"/>
      <c r="N164" s="711"/>
      <c r="O164" s="735"/>
      <c r="P164" s="812"/>
      <c r="Q164" s="743"/>
      <c r="R164" s="405"/>
      <c r="S164" s="433"/>
      <c r="T164" s="405"/>
      <c r="U164" s="397"/>
      <c r="V164" s="46"/>
      <c r="W164" s="137"/>
      <c r="X164" s="279"/>
      <c r="Y164" s="236"/>
      <c r="Z164" s="404">
        <v>4970</v>
      </c>
      <c r="AA164" s="273" t="s">
        <v>2876</v>
      </c>
      <c r="AB164" s="275">
        <v>545721</v>
      </c>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row>
    <row r="165" spans="1:133" s="50" customFormat="1" ht="15" x14ac:dyDescent="0.25">
      <c r="A165" s="693"/>
      <c r="B165" s="690"/>
      <c r="C165" s="690"/>
      <c r="D165" s="693"/>
      <c r="E165" s="690"/>
      <c r="F165" s="711"/>
      <c r="G165" s="735"/>
      <c r="H165" s="693"/>
      <c r="I165" s="693"/>
      <c r="J165" s="711"/>
      <c r="K165" s="693"/>
      <c r="L165" s="693"/>
      <c r="M165" s="693"/>
      <c r="N165" s="711"/>
      <c r="O165" s="735"/>
      <c r="P165" s="812"/>
      <c r="Q165" s="743"/>
      <c r="R165" s="405"/>
      <c r="S165" s="433"/>
      <c r="T165" s="405"/>
      <c r="U165" s="397"/>
      <c r="V165" s="46"/>
      <c r="W165" s="137"/>
      <c r="X165" s="279"/>
      <c r="Y165" s="236"/>
      <c r="Z165" s="404">
        <v>4978</v>
      </c>
      <c r="AA165" s="273" t="s">
        <v>2877</v>
      </c>
      <c r="AB165" s="275">
        <v>1120918</v>
      </c>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row>
    <row r="166" spans="1:133" s="50" customFormat="1" ht="15" x14ac:dyDescent="0.25">
      <c r="A166" s="693"/>
      <c r="B166" s="690"/>
      <c r="C166" s="690"/>
      <c r="D166" s="693"/>
      <c r="E166" s="690"/>
      <c r="F166" s="711"/>
      <c r="G166" s="735"/>
      <c r="H166" s="693"/>
      <c r="I166" s="693"/>
      <c r="J166" s="711"/>
      <c r="K166" s="693"/>
      <c r="L166" s="693"/>
      <c r="M166" s="693"/>
      <c r="N166" s="711"/>
      <c r="O166" s="735"/>
      <c r="P166" s="812"/>
      <c r="Q166" s="743"/>
      <c r="R166" s="405"/>
      <c r="S166" s="433"/>
      <c r="T166" s="405"/>
      <c r="U166" s="397"/>
      <c r="V166" s="46"/>
      <c r="W166" s="137"/>
      <c r="X166" s="279"/>
      <c r="Y166" s="236"/>
      <c r="Z166" s="404">
        <v>4985</v>
      </c>
      <c r="AA166" s="273" t="s">
        <v>2825</v>
      </c>
      <c r="AB166" s="275">
        <v>367070</v>
      </c>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row>
    <row r="167" spans="1:133" s="50" customFormat="1" ht="15" x14ac:dyDescent="0.25">
      <c r="A167" s="693"/>
      <c r="B167" s="690"/>
      <c r="C167" s="690"/>
      <c r="D167" s="693"/>
      <c r="E167" s="690"/>
      <c r="F167" s="711"/>
      <c r="G167" s="735"/>
      <c r="H167" s="693"/>
      <c r="I167" s="693"/>
      <c r="J167" s="711"/>
      <c r="K167" s="693"/>
      <c r="L167" s="693"/>
      <c r="M167" s="693"/>
      <c r="N167" s="711"/>
      <c r="O167" s="735"/>
      <c r="P167" s="812"/>
      <c r="Q167" s="743"/>
      <c r="R167" s="584"/>
      <c r="S167" s="581"/>
      <c r="T167" s="584"/>
      <c r="U167" s="577"/>
      <c r="V167" s="46"/>
      <c r="W167" s="137"/>
      <c r="X167" s="279"/>
      <c r="Y167" s="236"/>
      <c r="Z167" s="585">
        <v>5404</v>
      </c>
      <c r="AA167" s="273" t="s">
        <v>2786</v>
      </c>
      <c r="AB167" s="275">
        <v>361899</v>
      </c>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row>
    <row r="168" spans="1:133" s="50" customFormat="1" ht="15" x14ac:dyDescent="0.25">
      <c r="A168" s="693"/>
      <c r="B168" s="690"/>
      <c r="C168" s="690"/>
      <c r="D168" s="693"/>
      <c r="E168" s="690"/>
      <c r="F168" s="711"/>
      <c r="G168" s="735"/>
      <c r="H168" s="693"/>
      <c r="I168" s="693"/>
      <c r="J168" s="711"/>
      <c r="K168" s="693"/>
      <c r="L168" s="693"/>
      <c r="M168" s="693"/>
      <c r="N168" s="711"/>
      <c r="O168" s="735"/>
      <c r="P168" s="812"/>
      <c r="Q168" s="743"/>
      <c r="R168" s="584"/>
      <c r="S168" s="581"/>
      <c r="T168" s="584"/>
      <c r="U168" s="577"/>
      <c r="V168" s="46"/>
      <c r="W168" s="137"/>
      <c r="X168" s="279"/>
      <c r="Y168" s="236"/>
      <c r="Z168" s="585">
        <v>5553</v>
      </c>
      <c r="AA168" s="273" t="s">
        <v>2802</v>
      </c>
      <c r="AB168" s="275">
        <v>228162</v>
      </c>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row>
    <row r="169" spans="1:133" s="50" customFormat="1" ht="15" x14ac:dyDescent="0.25">
      <c r="A169" s="693"/>
      <c r="B169" s="690"/>
      <c r="C169" s="690"/>
      <c r="D169" s="693"/>
      <c r="E169" s="690"/>
      <c r="F169" s="711"/>
      <c r="G169" s="735"/>
      <c r="H169" s="693"/>
      <c r="I169" s="693"/>
      <c r="J169" s="711"/>
      <c r="K169" s="693"/>
      <c r="L169" s="693"/>
      <c r="M169" s="693"/>
      <c r="N169" s="711"/>
      <c r="O169" s="735"/>
      <c r="P169" s="812"/>
      <c r="Q169" s="743"/>
      <c r="R169" s="584"/>
      <c r="S169" s="581"/>
      <c r="T169" s="584"/>
      <c r="U169" s="577"/>
      <c r="V169" s="46"/>
      <c r="W169" s="137"/>
      <c r="X169" s="279"/>
      <c r="Y169" s="236"/>
      <c r="Z169" s="585">
        <v>5556</v>
      </c>
      <c r="AA169" s="273" t="s">
        <v>2802</v>
      </c>
      <c r="AB169" s="275">
        <v>85996</v>
      </c>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row>
    <row r="170" spans="1:133" s="50" customFormat="1" ht="15" x14ac:dyDescent="0.25">
      <c r="A170" s="693"/>
      <c r="B170" s="690"/>
      <c r="C170" s="690"/>
      <c r="D170" s="693"/>
      <c r="E170" s="690"/>
      <c r="F170" s="711"/>
      <c r="G170" s="735"/>
      <c r="H170" s="693"/>
      <c r="I170" s="693"/>
      <c r="J170" s="711"/>
      <c r="K170" s="693"/>
      <c r="L170" s="693"/>
      <c r="M170" s="693"/>
      <c r="N170" s="711"/>
      <c r="O170" s="735"/>
      <c r="P170" s="812"/>
      <c r="Q170" s="743"/>
      <c r="R170" s="584"/>
      <c r="S170" s="581"/>
      <c r="T170" s="584"/>
      <c r="U170" s="577"/>
      <c r="V170" s="46"/>
      <c r="W170" s="137"/>
      <c r="X170" s="279"/>
      <c r="Y170" s="236"/>
      <c r="Z170" s="585">
        <v>5717</v>
      </c>
      <c r="AA170" s="273" t="s">
        <v>2777</v>
      </c>
      <c r="AB170" s="275">
        <v>163588</v>
      </c>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row>
    <row r="171" spans="1:133" s="50" customFormat="1" ht="15" x14ac:dyDescent="0.25">
      <c r="A171" s="693"/>
      <c r="B171" s="690"/>
      <c r="C171" s="690"/>
      <c r="D171" s="693"/>
      <c r="E171" s="690"/>
      <c r="F171" s="711"/>
      <c r="G171" s="735"/>
      <c r="H171" s="693"/>
      <c r="I171" s="693"/>
      <c r="J171" s="711"/>
      <c r="K171" s="693"/>
      <c r="L171" s="693"/>
      <c r="M171" s="693"/>
      <c r="N171" s="711"/>
      <c r="O171" s="735"/>
      <c r="P171" s="812"/>
      <c r="Q171" s="743"/>
      <c r="R171" s="584"/>
      <c r="S171" s="581"/>
      <c r="T171" s="584"/>
      <c r="U171" s="577"/>
      <c r="V171" s="46"/>
      <c r="W171" s="137"/>
      <c r="X171" s="279"/>
      <c r="Y171" s="236"/>
      <c r="Z171" s="585">
        <v>5732</v>
      </c>
      <c r="AA171" s="273" t="s">
        <v>2787</v>
      </c>
      <c r="AB171" s="275">
        <v>198867</v>
      </c>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row>
    <row r="172" spans="1:133" s="50" customFormat="1" ht="27" customHeight="1" x14ac:dyDescent="0.25">
      <c r="A172" s="693"/>
      <c r="B172" s="690"/>
      <c r="C172" s="690"/>
      <c r="D172" s="692" t="s">
        <v>863</v>
      </c>
      <c r="E172" s="689" t="s">
        <v>136</v>
      </c>
      <c r="F172" s="710">
        <v>65779738</v>
      </c>
      <c r="G172" s="728">
        <v>0</v>
      </c>
      <c r="H172" s="692"/>
      <c r="I172" s="692"/>
      <c r="J172" s="710">
        <v>2353446</v>
      </c>
      <c r="K172" s="692"/>
      <c r="L172" s="692"/>
      <c r="M172" s="692"/>
      <c r="N172" s="710">
        <v>1457738</v>
      </c>
      <c r="O172" s="728">
        <v>1067386</v>
      </c>
      <c r="P172" s="810">
        <f>+F172+G172+H172+I172+J172+K172+L172+N172-O172</f>
        <v>68523536</v>
      </c>
      <c r="Q172" s="743"/>
      <c r="R172" s="833" t="s">
        <v>654</v>
      </c>
      <c r="S172" s="834">
        <v>4</v>
      </c>
      <c r="T172" s="832" t="s">
        <v>655</v>
      </c>
      <c r="U172" s="728">
        <v>25326040</v>
      </c>
      <c r="V172" s="46"/>
      <c r="W172" s="69">
        <v>31</v>
      </c>
      <c r="X172" s="279" t="s">
        <v>852</v>
      </c>
      <c r="Y172" s="236">
        <v>25326040</v>
      </c>
      <c r="Z172" s="250">
        <v>158</v>
      </c>
      <c r="AA172" s="122" t="s">
        <v>852</v>
      </c>
      <c r="AB172" s="275">
        <v>569741</v>
      </c>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row>
    <row r="173" spans="1:133" s="50" customFormat="1" ht="15" x14ac:dyDescent="0.25">
      <c r="A173" s="693"/>
      <c r="B173" s="690"/>
      <c r="C173" s="690"/>
      <c r="D173" s="693"/>
      <c r="E173" s="690"/>
      <c r="F173" s="711"/>
      <c r="G173" s="735"/>
      <c r="H173" s="693"/>
      <c r="I173" s="693"/>
      <c r="J173" s="711"/>
      <c r="K173" s="693"/>
      <c r="L173" s="693"/>
      <c r="M173" s="693"/>
      <c r="N173" s="711"/>
      <c r="O173" s="735"/>
      <c r="P173" s="812"/>
      <c r="Q173" s="743"/>
      <c r="R173" s="833"/>
      <c r="S173" s="834"/>
      <c r="T173" s="816"/>
      <c r="U173" s="735"/>
      <c r="V173" s="46"/>
      <c r="W173" s="69"/>
      <c r="X173" s="279"/>
      <c r="Y173" s="236"/>
      <c r="Z173" s="250">
        <v>159</v>
      </c>
      <c r="AA173" s="122" t="s">
        <v>852</v>
      </c>
      <c r="AB173" s="275">
        <v>253882</v>
      </c>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row>
    <row r="174" spans="1:133" s="50" customFormat="1" ht="15" x14ac:dyDescent="0.25">
      <c r="A174" s="693"/>
      <c r="B174" s="690"/>
      <c r="C174" s="690"/>
      <c r="D174" s="693"/>
      <c r="E174" s="690"/>
      <c r="F174" s="711"/>
      <c r="G174" s="735"/>
      <c r="H174" s="693"/>
      <c r="I174" s="693"/>
      <c r="J174" s="711"/>
      <c r="K174" s="693"/>
      <c r="L174" s="693"/>
      <c r="M174" s="693"/>
      <c r="N174" s="711"/>
      <c r="O174" s="735"/>
      <c r="P174" s="812"/>
      <c r="Q174" s="743"/>
      <c r="R174" s="833"/>
      <c r="S174" s="834"/>
      <c r="T174" s="816"/>
      <c r="U174" s="735"/>
      <c r="V174" s="46"/>
      <c r="W174" s="69"/>
      <c r="X174" s="279"/>
      <c r="Y174" s="236"/>
      <c r="Z174" s="250">
        <v>161</v>
      </c>
      <c r="AA174" s="122" t="s">
        <v>852</v>
      </c>
      <c r="AB174" s="275">
        <v>917734</v>
      </c>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row>
    <row r="175" spans="1:133" s="50" customFormat="1" ht="15" x14ac:dyDescent="0.25">
      <c r="A175" s="693"/>
      <c r="B175" s="690"/>
      <c r="C175" s="690"/>
      <c r="D175" s="693"/>
      <c r="E175" s="690"/>
      <c r="F175" s="711"/>
      <c r="G175" s="735"/>
      <c r="H175" s="693"/>
      <c r="I175" s="693"/>
      <c r="J175" s="711"/>
      <c r="K175" s="693"/>
      <c r="L175" s="693"/>
      <c r="M175" s="693"/>
      <c r="N175" s="711"/>
      <c r="O175" s="735"/>
      <c r="P175" s="812"/>
      <c r="Q175" s="743"/>
      <c r="R175" s="833"/>
      <c r="S175" s="834"/>
      <c r="T175" s="816"/>
      <c r="U175" s="735"/>
      <c r="V175" s="46"/>
      <c r="W175" s="69"/>
      <c r="X175" s="279"/>
      <c r="Y175" s="236"/>
      <c r="Z175" s="250">
        <v>162</v>
      </c>
      <c r="AA175" s="122" t="s">
        <v>852</v>
      </c>
      <c r="AB175" s="275">
        <v>917734</v>
      </c>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row>
    <row r="176" spans="1:133" s="50" customFormat="1" ht="15" x14ac:dyDescent="0.25">
      <c r="A176" s="693"/>
      <c r="B176" s="690"/>
      <c r="C176" s="690"/>
      <c r="D176" s="693"/>
      <c r="E176" s="690"/>
      <c r="F176" s="711"/>
      <c r="G176" s="735"/>
      <c r="H176" s="693"/>
      <c r="I176" s="693"/>
      <c r="J176" s="711"/>
      <c r="K176" s="693"/>
      <c r="L176" s="693"/>
      <c r="M176" s="693"/>
      <c r="N176" s="711"/>
      <c r="O176" s="735"/>
      <c r="P176" s="812"/>
      <c r="Q176" s="743"/>
      <c r="R176" s="833"/>
      <c r="S176" s="834"/>
      <c r="T176" s="816"/>
      <c r="U176" s="735"/>
      <c r="V176" s="46"/>
      <c r="W176" s="69"/>
      <c r="X176" s="279"/>
      <c r="Y176" s="236"/>
      <c r="Z176" s="250">
        <v>163</v>
      </c>
      <c r="AA176" s="122" t="s">
        <v>852</v>
      </c>
      <c r="AB176" s="275">
        <v>980850</v>
      </c>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row>
    <row r="177" spans="1:133" s="50" customFormat="1" ht="15" x14ac:dyDescent="0.25">
      <c r="A177" s="693"/>
      <c r="B177" s="690"/>
      <c r="C177" s="690"/>
      <c r="D177" s="693"/>
      <c r="E177" s="690"/>
      <c r="F177" s="711"/>
      <c r="G177" s="735"/>
      <c r="H177" s="693"/>
      <c r="I177" s="693"/>
      <c r="J177" s="711"/>
      <c r="K177" s="693"/>
      <c r="L177" s="693"/>
      <c r="M177" s="693"/>
      <c r="N177" s="711"/>
      <c r="O177" s="735"/>
      <c r="P177" s="812"/>
      <c r="Q177" s="743"/>
      <c r="R177" s="833"/>
      <c r="S177" s="834"/>
      <c r="T177" s="816"/>
      <c r="U177" s="735"/>
      <c r="V177" s="46"/>
      <c r="W177" s="69"/>
      <c r="X177" s="279"/>
      <c r="Y177" s="236"/>
      <c r="Z177" s="250">
        <v>164</v>
      </c>
      <c r="AA177" s="122" t="s">
        <v>852</v>
      </c>
      <c r="AB177" s="275">
        <v>673941</v>
      </c>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row>
    <row r="178" spans="1:133" s="50" customFormat="1" ht="15" x14ac:dyDescent="0.25">
      <c r="A178" s="693"/>
      <c r="B178" s="690"/>
      <c r="C178" s="690"/>
      <c r="D178" s="693"/>
      <c r="E178" s="690"/>
      <c r="F178" s="711"/>
      <c r="G178" s="735"/>
      <c r="H178" s="693"/>
      <c r="I178" s="693"/>
      <c r="J178" s="711"/>
      <c r="K178" s="693"/>
      <c r="L178" s="693"/>
      <c r="M178" s="693"/>
      <c r="N178" s="711"/>
      <c r="O178" s="735"/>
      <c r="P178" s="812"/>
      <c r="Q178" s="743"/>
      <c r="R178" s="833"/>
      <c r="S178" s="834"/>
      <c r="T178" s="816"/>
      <c r="U178" s="735"/>
      <c r="V178" s="46"/>
      <c r="W178" s="69"/>
      <c r="X178" s="279"/>
      <c r="Y178" s="236"/>
      <c r="Z178" s="250">
        <v>166</v>
      </c>
      <c r="AA178" s="122" t="s">
        <v>852</v>
      </c>
      <c r="AB178" s="275">
        <v>980850</v>
      </c>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row>
    <row r="179" spans="1:133" s="50" customFormat="1" ht="15" x14ac:dyDescent="0.25">
      <c r="A179" s="693"/>
      <c r="B179" s="690"/>
      <c r="C179" s="690"/>
      <c r="D179" s="693"/>
      <c r="E179" s="690"/>
      <c r="F179" s="711"/>
      <c r="G179" s="735"/>
      <c r="H179" s="693"/>
      <c r="I179" s="693"/>
      <c r="J179" s="711"/>
      <c r="K179" s="693"/>
      <c r="L179" s="693"/>
      <c r="M179" s="693"/>
      <c r="N179" s="711"/>
      <c r="O179" s="735"/>
      <c r="P179" s="812"/>
      <c r="Q179" s="743"/>
      <c r="R179" s="833"/>
      <c r="S179" s="834"/>
      <c r="T179" s="816"/>
      <c r="U179" s="735"/>
      <c r="V179" s="46"/>
      <c r="W179" s="69"/>
      <c r="X179" s="279"/>
      <c r="Y179" s="236"/>
      <c r="Z179" s="250">
        <v>167</v>
      </c>
      <c r="AA179" s="122" t="s">
        <v>852</v>
      </c>
      <c r="AB179" s="275">
        <v>936390</v>
      </c>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row>
    <row r="180" spans="1:133" s="50" customFormat="1" ht="15" x14ac:dyDescent="0.25">
      <c r="A180" s="693"/>
      <c r="B180" s="690"/>
      <c r="C180" s="690"/>
      <c r="D180" s="693"/>
      <c r="E180" s="690"/>
      <c r="F180" s="711"/>
      <c r="G180" s="735"/>
      <c r="H180" s="693"/>
      <c r="I180" s="693"/>
      <c r="J180" s="711"/>
      <c r="K180" s="693"/>
      <c r="L180" s="693"/>
      <c r="M180" s="693"/>
      <c r="N180" s="711"/>
      <c r="O180" s="735"/>
      <c r="P180" s="812"/>
      <c r="Q180" s="743"/>
      <c r="R180" s="833"/>
      <c r="S180" s="834"/>
      <c r="T180" s="816"/>
      <c r="U180" s="735"/>
      <c r="V180" s="46"/>
      <c r="W180" s="69"/>
      <c r="X180" s="279"/>
      <c r="Y180" s="236"/>
      <c r="Z180" s="250">
        <v>169</v>
      </c>
      <c r="AA180" s="122" t="s">
        <v>852</v>
      </c>
      <c r="AB180" s="275">
        <v>936390</v>
      </c>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row>
    <row r="181" spans="1:133" s="50" customFormat="1" ht="15" x14ac:dyDescent="0.25">
      <c r="A181" s="693"/>
      <c r="B181" s="690"/>
      <c r="C181" s="690"/>
      <c r="D181" s="693"/>
      <c r="E181" s="690"/>
      <c r="F181" s="711"/>
      <c r="G181" s="735"/>
      <c r="H181" s="693"/>
      <c r="I181" s="693"/>
      <c r="J181" s="711"/>
      <c r="K181" s="693"/>
      <c r="L181" s="693"/>
      <c r="M181" s="693"/>
      <c r="N181" s="711"/>
      <c r="O181" s="735"/>
      <c r="P181" s="812"/>
      <c r="Q181" s="743"/>
      <c r="R181" s="833"/>
      <c r="S181" s="834"/>
      <c r="T181" s="816"/>
      <c r="U181" s="735"/>
      <c r="V181" s="46"/>
      <c r="W181" s="69"/>
      <c r="X181" s="279"/>
      <c r="Y181" s="236"/>
      <c r="Z181" s="250">
        <v>175</v>
      </c>
      <c r="AA181" s="122" t="s">
        <v>852</v>
      </c>
      <c r="AB181" s="275">
        <v>917734</v>
      </c>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row>
    <row r="182" spans="1:133" s="50" customFormat="1" ht="15" x14ac:dyDescent="0.25">
      <c r="A182" s="693"/>
      <c r="B182" s="690"/>
      <c r="C182" s="690"/>
      <c r="D182" s="693"/>
      <c r="E182" s="690"/>
      <c r="F182" s="711"/>
      <c r="G182" s="735"/>
      <c r="H182" s="693"/>
      <c r="I182" s="693"/>
      <c r="J182" s="711"/>
      <c r="K182" s="693"/>
      <c r="L182" s="693"/>
      <c r="M182" s="693"/>
      <c r="N182" s="711"/>
      <c r="O182" s="735"/>
      <c r="P182" s="812"/>
      <c r="Q182" s="743"/>
      <c r="R182" s="833"/>
      <c r="S182" s="834"/>
      <c r="T182" s="816"/>
      <c r="U182" s="735"/>
      <c r="V182" s="46"/>
      <c r="W182" s="69"/>
      <c r="X182" s="279"/>
      <c r="Y182" s="236"/>
      <c r="Z182" s="250">
        <v>189</v>
      </c>
      <c r="AA182" s="122" t="s">
        <v>853</v>
      </c>
      <c r="AB182" s="275">
        <v>930054</v>
      </c>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row>
    <row r="183" spans="1:133" s="50" customFormat="1" ht="15" x14ac:dyDescent="0.25">
      <c r="A183" s="693"/>
      <c r="B183" s="690"/>
      <c r="C183" s="690"/>
      <c r="D183" s="693"/>
      <c r="E183" s="690"/>
      <c r="F183" s="711"/>
      <c r="G183" s="735"/>
      <c r="H183" s="693"/>
      <c r="I183" s="693"/>
      <c r="J183" s="711"/>
      <c r="K183" s="693"/>
      <c r="L183" s="693"/>
      <c r="M183" s="693"/>
      <c r="N183" s="711"/>
      <c r="O183" s="735"/>
      <c r="P183" s="812"/>
      <c r="Q183" s="743"/>
      <c r="R183" s="833"/>
      <c r="S183" s="834"/>
      <c r="T183" s="816"/>
      <c r="U183" s="735"/>
      <c r="V183" s="46"/>
      <c r="W183" s="69"/>
      <c r="X183" s="279"/>
      <c r="Y183" s="236"/>
      <c r="Z183" s="250">
        <v>190</v>
      </c>
      <c r="AA183" s="122" t="s">
        <v>853</v>
      </c>
      <c r="AB183" s="275">
        <v>930054</v>
      </c>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row>
    <row r="184" spans="1:133" s="50" customFormat="1" ht="15" x14ac:dyDescent="0.25">
      <c r="A184" s="693"/>
      <c r="B184" s="690"/>
      <c r="C184" s="690"/>
      <c r="D184" s="693"/>
      <c r="E184" s="690"/>
      <c r="F184" s="711"/>
      <c r="G184" s="735"/>
      <c r="H184" s="693"/>
      <c r="I184" s="693"/>
      <c r="J184" s="711"/>
      <c r="K184" s="693"/>
      <c r="L184" s="693"/>
      <c r="M184" s="693"/>
      <c r="N184" s="711"/>
      <c r="O184" s="735"/>
      <c r="P184" s="812"/>
      <c r="Q184" s="743"/>
      <c r="R184" s="833"/>
      <c r="S184" s="834"/>
      <c r="T184" s="816"/>
      <c r="U184" s="735"/>
      <c r="V184" s="46"/>
      <c r="W184" s="69"/>
      <c r="X184" s="279"/>
      <c r="Y184" s="236"/>
      <c r="Z184" s="250">
        <v>260</v>
      </c>
      <c r="AA184" s="122" t="s">
        <v>854</v>
      </c>
      <c r="AB184" s="275">
        <v>625994</v>
      </c>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row>
    <row r="185" spans="1:133" s="50" customFormat="1" ht="15" x14ac:dyDescent="0.25">
      <c r="A185" s="693"/>
      <c r="B185" s="690"/>
      <c r="C185" s="690"/>
      <c r="D185" s="693"/>
      <c r="E185" s="690"/>
      <c r="F185" s="711"/>
      <c r="G185" s="735"/>
      <c r="H185" s="693"/>
      <c r="I185" s="693"/>
      <c r="J185" s="711"/>
      <c r="K185" s="693"/>
      <c r="L185" s="693"/>
      <c r="M185" s="693"/>
      <c r="N185" s="711"/>
      <c r="O185" s="735"/>
      <c r="P185" s="812"/>
      <c r="Q185" s="743"/>
      <c r="R185" s="833"/>
      <c r="S185" s="834"/>
      <c r="T185" s="816"/>
      <c r="U185" s="735"/>
      <c r="V185" s="46"/>
      <c r="W185" s="69"/>
      <c r="X185" s="279"/>
      <c r="Y185" s="236"/>
      <c r="Z185" s="250">
        <v>261</v>
      </c>
      <c r="AA185" s="122" t="s">
        <v>854</v>
      </c>
      <c r="AB185" s="275">
        <v>1071738</v>
      </c>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row>
    <row r="186" spans="1:133" s="50" customFormat="1" ht="15" x14ac:dyDescent="0.25">
      <c r="A186" s="693"/>
      <c r="B186" s="690"/>
      <c r="C186" s="690"/>
      <c r="D186" s="693"/>
      <c r="E186" s="690"/>
      <c r="F186" s="711"/>
      <c r="G186" s="735"/>
      <c r="H186" s="693"/>
      <c r="I186" s="693"/>
      <c r="J186" s="711"/>
      <c r="K186" s="693"/>
      <c r="L186" s="693"/>
      <c r="M186" s="693"/>
      <c r="N186" s="711"/>
      <c r="O186" s="735"/>
      <c r="P186" s="812"/>
      <c r="Q186" s="743"/>
      <c r="R186" s="833"/>
      <c r="S186" s="834"/>
      <c r="T186" s="816"/>
      <c r="U186" s="735"/>
      <c r="V186" s="46"/>
      <c r="W186" s="69"/>
      <c r="X186" s="279"/>
      <c r="Y186" s="236"/>
      <c r="Z186" s="250">
        <v>262</v>
      </c>
      <c r="AA186" s="122" t="s">
        <v>854</v>
      </c>
      <c r="AB186" s="275">
        <v>1384604</v>
      </c>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row>
    <row r="187" spans="1:133" s="50" customFormat="1" ht="15" x14ac:dyDescent="0.25">
      <c r="A187" s="693"/>
      <c r="B187" s="690"/>
      <c r="C187" s="690"/>
      <c r="D187" s="693"/>
      <c r="E187" s="690"/>
      <c r="F187" s="711"/>
      <c r="G187" s="735"/>
      <c r="H187" s="693"/>
      <c r="I187" s="693"/>
      <c r="J187" s="711"/>
      <c r="K187" s="693"/>
      <c r="L187" s="693"/>
      <c r="M187" s="693"/>
      <c r="N187" s="711"/>
      <c r="O187" s="735"/>
      <c r="P187" s="812"/>
      <c r="Q187" s="743"/>
      <c r="R187" s="833"/>
      <c r="S187" s="834"/>
      <c r="T187" s="816"/>
      <c r="U187" s="735"/>
      <c r="V187" s="46"/>
      <c r="W187" s="69"/>
      <c r="X187" s="279"/>
      <c r="Y187" s="236"/>
      <c r="Z187" s="250">
        <v>263</v>
      </c>
      <c r="AA187" s="122" t="s">
        <v>854</v>
      </c>
      <c r="AB187" s="275">
        <v>1951164</v>
      </c>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row>
    <row r="188" spans="1:133" s="50" customFormat="1" ht="15" x14ac:dyDescent="0.25">
      <c r="A188" s="693"/>
      <c r="B188" s="690"/>
      <c r="C188" s="690"/>
      <c r="D188" s="693"/>
      <c r="E188" s="690"/>
      <c r="F188" s="711"/>
      <c r="G188" s="735"/>
      <c r="H188" s="693"/>
      <c r="I188" s="693"/>
      <c r="J188" s="711"/>
      <c r="K188" s="693"/>
      <c r="L188" s="693"/>
      <c r="M188" s="693"/>
      <c r="N188" s="711"/>
      <c r="O188" s="735"/>
      <c r="P188" s="812"/>
      <c r="Q188" s="743"/>
      <c r="R188" s="833"/>
      <c r="S188" s="834"/>
      <c r="T188" s="816"/>
      <c r="U188" s="735"/>
      <c r="V188" s="46"/>
      <c r="W188" s="69"/>
      <c r="X188" s="279"/>
      <c r="Y188" s="236"/>
      <c r="Z188" s="250">
        <v>264</v>
      </c>
      <c r="AA188" s="122" t="s">
        <v>854</v>
      </c>
      <c r="AB188" s="275">
        <v>1951164</v>
      </c>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row>
    <row r="189" spans="1:133" s="50" customFormat="1" ht="15" x14ac:dyDescent="0.25">
      <c r="A189" s="693"/>
      <c r="B189" s="690"/>
      <c r="C189" s="690"/>
      <c r="D189" s="693"/>
      <c r="E189" s="690"/>
      <c r="F189" s="711"/>
      <c r="G189" s="735"/>
      <c r="H189" s="693"/>
      <c r="I189" s="693"/>
      <c r="J189" s="711"/>
      <c r="K189" s="693"/>
      <c r="L189" s="693"/>
      <c r="M189" s="693"/>
      <c r="N189" s="711"/>
      <c r="O189" s="735"/>
      <c r="P189" s="812"/>
      <c r="Q189" s="743"/>
      <c r="R189" s="833"/>
      <c r="S189" s="834"/>
      <c r="T189" s="816"/>
      <c r="U189" s="735"/>
      <c r="V189" s="46"/>
      <c r="W189" s="69"/>
      <c r="X189" s="279"/>
      <c r="Y189" s="236"/>
      <c r="Z189" s="250">
        <v>265</v>
      </c>
      <c r="AA189" s="122" t="s">
        <v>854</v>
      </c>
      <c r="AB189" s="275">
        <v>625994</v>
      </c>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row>
    <row r="190" spans="1:133" s="50" customFormat="1" ht="15" x14ac:dyDescent="0.25">
      <c r="A190" s="693"/>
      <c r="B190" s="690"/>
      <c r="C190" s="690"/>
      <c r="D190" s="693"/>
      <c r="E190" s="690"/>
      <c r="F190" s="711"/>
      <c r="G190" s="735"/>
      <c r="H190" s="693"/>
      <c r="I190" s="693"/>
      <c r="J190" s="711"/>
      <c r="K190" s="693"/>
      <c r="L190" s="693"/>
      <c r="M190" s="693"/>
      <c r="N190" s="711"/>
      <c r="O190" s="735"/>
      <c r="P190" s="812"/>
      <c r="Q190" s="743"/>
      <c r="R190" s="833"/>
      <c r="S190" s="834"/>
      <c r="T190" s="816"/>
      <c r="U190" s="735"/>
      <c r="V190" s="46"/>
      <c r="W190" s="69"/>
      <c r="X190" s="279"/>
      <c r="Y190" s="236"/>
      <c r="Z190" s="250">
        <v>266</v>
      </c>
      <c r="AA190" s="122" t="s">
        <v>854</v>
      </c>
      <c r="AB190" s="275">
        <v>548320</v>
      </c>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row>
    <row r="191" spans="1:133" s="50" customFormat="1" ht="15" x14ac:dyDescent="0.25">
      <c r="A191" s="693"/>
      <c r="B191" s="690"/>
      <c r="C191" s="690"/>
      <c r="D191" s="693"/>
      <c r="E191" s="690"/>
      <c r="F191" s="711"/>
      <c r="G191" s="735"/>
      <c r="H191" s="693"/>
      <c r="I191" s="693"/>
      <c r="J191" s="711"/>
      <c r="K191" s="693"/>
      <c r="L191" s="693"/>
      <c r="M191" s="693"/>
      <c r="N191" s="711"/>
      <c r="O191" s="735"/>
      <c r="P191" s="812"/>
      <c r="Q191" s="743"/>
      <c r="R191" s="833"/>
      <c r="S191" s="834"/>
      <c r="T191" s="816"/>
      <c r="U191" s="735"/>
      <c r="V191" s="46"/>
      <c r="W191" s="69"/>
      <c r="X191" s="279"/>
      <c r="Y191" s="236"/>
      <c r="Z191" s="250">
        <v>269</v>
      </c>
      <c r="AA191" s="122" t="s">
        <v>854</v>
      </c>
      <c r="AB191" s="275">
        <v>955421</v>
      </c>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row>
    <row r="192" spans="1:133" s="50" customFormat="1" ht="15" x14ac:dyDescent="0.25">
      <c r="A192" s="693"/>
      <c r="B192" s="690"/>
      <c r="C192" s="690"/>
      <c r="D192" s="693"/>
      <c r="E192" s="690"/>
      <c r="F192" s="711"/>
      <c r="G192" s="735"/>
      <c r="H192" s="693"/>
      <c r="I192" s="693"/>
      <c r="J192" s="711"/>
      <c r="K192" s="693"/>
      <c r="L192" s="693"/>
      <c r="M192" s="693"/>
      <c r="N192" s="711"/>
      <c r="O192" s="735"/>
      <c r="P192" s="812"/>
      <c r="Q192" s="743"/>
      <c r="R192" s="833"/>
      <c r="S192" s="834"/>
      <c r="T192" s="816"/>
      <c r="U192" s="735"/>
      <c r="V192" s="46"/>
      <c r="W192" s="69"/>
      <c r="X192" s="279"/>
      <c r="Y192" s="236"/>
      <c r="Z192" s="250">
        <v>270</v>
      </c>
      <c r="AA192" s="122" t="s">
        <v>854</v>
      </c>
      <c r="AB192" s="275">
        <v>1114551</v>
      </c>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row>
    <row r="193" spans="1:133" s="50" customFormat="1" ht="15" x14ac:dyDescent="0.25">
      <c r="A193" s="693"/>
      <c r="B193" s="690"/>
      <c r="C193" s="690"/>
      <c r="D193" s="693"/>
      <c r="E193" s="690"/>
      <c r="F193" s="711"/>
      <c r="G193" s="735"/>
      <c r="H193" s="693"/>
      <c r="I193" s="693"/>
      <c r="J193" s="711"/>
      <c r="K193" s="693"/>
      <c r="L193" s="693"/>
      <c r="M193" s="693"/>
      <c r="N193" s="711"/>
      <c r="O193" s="735"/>
      <c r="P193" s="812"/>
      <c r="Q193" s="743"/>
      <c r="R193" s="833"/>
      <c r="S193" s="834"/>
      <c r="T193" s="816"/>
      <c r="U193" s="735"/>
      <c r="V193" s="46"/>
      <c r="W193" s="69"/>
      <c r="X193" s="279"/>
      <c r="Y193" s="236"/>
      <c r="Z193" s="250">
        <v>465</v>
      </c>
      <c r="AA193" s="122" t="s">
        <v>2871</v>
      </c>
      <c r="AB193" s="275">
        <v>841755</v>
      </c>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row>
    <row r="194" spans="1:133" s="50" customFormat="1" ht="15" x14ac:dyDescent="0.25">
      <c r="A194" s="693"/>
      <c r="B194" s="690"/>
      <c r="C194" s="690"/>
      <c r="D194" s="693"/>
      <c r="E194" s="690"/>
      <c r="F194" s="711"/>
      <c r="G194" s="735"/>
      <c r="H194" s="693"/>
      <c r="I194" s="693"/>
      <c r="J194" s="711"/>
      <c r="K194" s="693"/>
      <c r="L194" s="693"/>
      <c r="M194" s="693"/>
      <c r="N194" s="711"/>
      <c r="O194" s="735"/>
      <c r="P194" s="812"/>
      <c r="Q194" s="743"/>
      <c r="R194" s="833"/>
      <c r="S194" s="834"/>
      <c r="T194" s="816"/>
      <c r="U194" s="735"/>
      <c r="V194" s="46"/>
      <c r="W194" s="69"/>
      <c r="X194" s="279"/>
      <c r="Y194" s="236"/>
      <c r="Z194" s="250">
        <v>557</v>
      </c>
      <c r="AA194" s="122" t="s">
        <v>2872</v>
      </c>
      <c r="AB194" s="275">
        <v>949074</v>
      </c>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row>
    <row r="195" spans="1:133" s="50" customFormat="1" ht="15" x14ac:dyDescent="0.25">
      <c r="A195" s="693"/>
      <c r="B195" s="690"/>
      <c r="C195" s="690"/>
      <c r="D195" s="693"/>
      <c r="E195" s="690"/>
      <c r="F195" s="711"/>
      <c r="G195" s="735"/>
      <c r="H195" s="693"/>
      <c r="I195" s="693"/>
      <c r="J195" s="711"/>
      <c r="K195" s="693"/>
      <c r="L195" s="693"/>
      <c r="M195" s="693"/>
      <c r="N195" s="711"/>
      <c r="O195" s="735"/>
      <c r="P195" s="812"/>
      <c r="Q195" s="743"/>
      <c r="R195" s="833"/>
      <c r="S195" s="834"/>
      <c r="T195" s="816"/>
      <c r="U195" s="735"/>
      <c r="V195" s="46"/>
      <c r="W195" s="69"/>
      <c r="X195" s="279"/>
      <c r="Y195" s="236"/>
      <c r="Z195" s="250">
        <v>569</v>
      </c>
      <c r="AA195" s="122" t="s">
        <v>858</v>
      </c>
      <c r="AB195" s="275">
        <v>866904</v>
      </c>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row>
    <row r="196" spans="1:133" s="50" customFormat="1" ht="15" x14ac:dyDescent="0.25">
      <c r="A196" s="693"/>
      <c r="B196" s="690"/>
      <c r="C196" s="690"/>
      <c r="D196" s="693"/>
      <c r="E196" s="690"/>
      <c r="F196" s="711"/>
      <c r="G196" s="735"/>
      <c r="H196" s="693"/>
      <c r="I196" s="693"/>
      <c r="J196" s="711"/>
      <c r="K196" s="693"/>
      <c r="L196" s="693"/>
      <c r="M196" s="693"/>
      <c r="N196" s="711"/>
      <c r="O196" s="735"/>
      <c r="P196" s="812"/>
      <c r="Q196" s="743"/>
      <c r="R196" s="833"/>
      <c r="S196" s="834"/>
      <c r="T196" s="816"/>
      <c r="U196" s="735"/>
      <c r="V196" s="46"/>
      <c r="W196" s="69"/>
      <c r="X196" s="279"/>
      <c r="Y196" s="236"/>
      <c r="Z196" s="250">
        <v>1001</v>
      </c>
      <c r="AA196" s="122" t="s">
        <v>856</v>
      </c>
      <c r="AB196" s="275">
        <v>866904</v>
      </c>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row>
    <row r="197" spans="1:133" s="50" customFormat="1" ht="15" x14ac:dyDescent="0.25">
      <c r="A197" s="693"/>
      <c r="B197" s="690"/>
      <c r="C197" s="690"/>
      <c r="D197" s="693"/>
      <c r="E197" s="690"/>
      <c r="F197" s="711"/>
      <c r="G197" s="735"/>
      <c r="H197" s="693"/>
      <c r="I197" s="693"/>
      <c r="J197" s="711"/>
      <c r="K197" s="693"/>
      <c r="L197" s="693"/>
      <c r="M197" s="693"/>
      <c r="N197" s="711"/>
      <c r="O197" s="735"/>
      <c r="P197" s="812"/>
      <c r="Q197" s="743"/>
      <c r="R197" s="833"/>
      <c r="S197" s="834"/>
      <c r="T197" s="816"/>
      <c r="U197" s="735"/>
      <c r="V197" s="46"/>
      <c r="W197" s="69"/>
      <c r="X197" s="279"/>
      <c r="Y197" s="236"/>
      <c r="Z197" s="250">
        <v>1050</v>
      </c>
      <c r="AA197" s="122" t="s">
        <v>856</v>
      </c>
      <c r="AB197" s="275">
        <v>238741</v>
      </c>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row>
    <row r="198" spans="1:133" s="50" customFormat="1" ht="15" x14ac:dyDescent="0.25">
      <c r="A198" s="693"/>
      <c r="B198" s="690"/>
      <c r="C198" s="690"/>
      <c r="D198" s="693"/>
      <c r="E198" s="690"/>
      <c r="F198" s="711"/>
      <c r="G198" s="735"/>
      <c r="H198" s="693"/>
      <c r="I198" s="693"/>
      <c r="J198" s="711"/>
      <c r="K198" s="693"/>
      <c r="L198" s="693"/>
      <c r="M198" s="693"/>
      <c r="N198" s="711"/>
      <c r="O198" s="735"/>
      <c r="P198" s="812"/>
      <c r="Q198" s="743"/>
      <c r="R198" s="833"/>
      <c r="S198" s="834"/>
      <c r="T198" s="817"/>
      <c r="U198" s="729"/>
      <c r="V198" s="46"/>
      <c r="W198" s="69"/>
      <c r="X198" s="279"/>
      <c r="Y198" s="236"/>
      <c r="Z198" s="250">
        <v>1051</v>
      </c>
      <c r="AA198" s="122" t="s">
        <v>856</v>
      </c>
      <c r="AB198" s="275">
        <v>565432</v>
      </c>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row>
    <row r="199" spans="1:133" s="50" customFormat="1" ht="15" x14ac:dyDescent="0.25">
      <c r="A199" s="693"/>
      <c r="B199" s="690"/>
      <c r="C199" s="690"/>
      <c r="D199" s="693"/>
      <c r="E199" s="690"/>
      <c r="F199" s="711"/>
      <c r="G199" s="735"/>
      <c r="H199" s="693"/>
      <c r="I199" s="693"/>
      <c r="J199" s="711"/>
      <c r="K199" s="693"/>
      <c r="L199" s="693"/>
      <c r="M199" s="693"/>
      <c r="N199" s="711"/>
      <c r="O199" s="735"/>
      <c r="P199" s="812"/>
      <c r="Q199" s="743"/>
      <c r="R199" s="391"/>
      <c r="S199" s="148"/>
      <c r="T199" s="387"/>
      <c r="U199" s="384"/>
      <c r="V199" s="46"/>
      <c r="W199" s="69"/>
      <c r="X199" s="279"/>
      <c r="Y199" s="259"/>
      <c r="Z199" s="391">
        <v>1052</v>
      </c>
      <c r="AA199" s="273" t="s">
        <v>856</v>
      </c>
      <c r="AB199" s="275">
        <v>822926</v>
      </c>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row>
    <row r="200" spans="1:133" s="50" customFormat="1" ht="15" x14ac:dyDescent="0.25">
      <c r="A200" s="693"/>
      <c r="B200" s="690"/>
      <c r="C200" s="690"/>
      <c r="D200" s="693"/>
      <c r="E200" s="690"/>
      <c r="F200" s="711"/>
      <c r="G200" s="735"/>
      <c r="H200" s="693"/>
      <c r="I200" s="693"/>
      <c r="J200" s="711"/>
      <c r="K200" s="693"/>
      <c r="L200" s="693"/>
      <c r="M200" s="693"/>
      <c r="N200" s="711"/>
      <c r="O200" s="735"/>
      <c r="P200" s="812"/>
      <c r="Q200" s="743"/>
      <c r="R200" s="80" t="s">
        <v>1470</v>
      </c>
      <c r="S200" s="457" t="s">
        <v>1471</v>
      </c>
      <c r="T200" s="245" t="s">
        <v>1472</v>
      </c>
      <c r="U200" s="539">
        <v>30417536</v>
      </c>
      <c r="V200" s="46"/>
      <c r="W200" s="69">
        <v>771</v>
      </c>
      <c r="X200" s="279">
        <v>44742</v>
      </c>
      <c r="Y200" s="269">
        <v>30417536</v>
      </c>
      <c r="Z200" s="250">
        <v>3389</v>
      </c>
      <c r="AA200" s="122" t="s">
        <v>2873</v>
      </c>
      <c r="AB200" s="275">
        <v>1019108</v>
      </c>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row>
    <row r="201" spans="1:133" s="50" customFormat="1" ht="15" x14ac:dyDescent="0.25">
      <c r="A201" s="693"/>
      <c r="B201" s="690"/>
      <c r="C201" s="690"/>
      <c r="D201" s="693"/>
      <c r="E201" s="690"/>
      <c r="F201" s="711"/>
      <c r="G201" s="735"/>
      <c r="H201" s="693"/>
      <c r="I201" s="693"/>
      <c r="J201" s="711"/>
      <c r="K201" s="693"/>
      <c r="L201" s="693"/>
      <c r="M201" s="693"/>
      <c r="N201" s="711"/>
      <c r="O201" s="735"/>
      <c r="P201" s="812"/>
      <c r="Q201" s="743"/>
      <c r="R201" s="390"/>
      <c r="S201" s="433"/>
      <c r="T201" s="390"/>
      <c r="U201" s="383"/>
      <c r="V201" s="46"/>
      <c r="W201" s="281"/>
      <c r="X201" s="282"/>
      <c r="Y201" s="383"/>
      <c r="Z201" s="391">
        <v>3391</v>
      </c>
      <c r="AA201" s="273" t="s">
        <v>2873</v>
      </c>
      <c r="AB201" s="275">
        <v>1019108</v>
      </c>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row>
    <row r="202" spans="1:133" s="50" customFormat="1" ht="15" x14ac:dyDescent="0.25">
      <c r="A202" s="693"/>
      <c r="B202" s="690"/>
      <c r="C202" s="690"/>
      <c r="D202" s="693"/>
      <c r="E202" s="690"/>
      <c r="F202" s="711"/>
      <c r="G202" s="735"/>
      <c r="H202" s="693"/>
      <c r="I202" s="693"/>
      <c r="J202" s="711"/>
      <c r="K202" s="693"/>
      <c r="L202" s="693"/>
      <c r="M202" s="693"/>
      <c r="N202" s="711"/>
      <c r="O202" s="735"/>
      <c r="P202" s="812"/>
      <c r="Q202" s="743"/>
      <c r="R202" s="390"/>
      <c r="S202" s="433"/>
      <c r="T202" s="390"/>
      <c r="U202" s="383"/>
      <c r="V202" s="46"/>
      <c r="W202" s="281"/>
      <c r="X202" s="282"/>
      <c r="Y202" s="383"/>
      <c r="Z202" s="391">
        <v>3392</v>
      </c>
      <c r="AA202" s="273" t="s">
        <v>2873</v>
      </c>
      <c r="AB202" s="275">
        <v>1019108</v>
      </c>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row>
    <row r="203" spans="1:133" s="50" customFormat="1" ht="15" x14ac:dyDescent="0.25">
      <c r="A203" s="693"/>
      <c r="B203" s="690"/>
      <c r="C203" s="690"/>
      <c r="D203" s="693"/>
      <c r="E203" s="690"/>
      <c r="F203" s="711"/>
      <c r="G203" s="735"/>
      <c r="H203" s="693"/>
      <c r="I203" s="693"/>
      <c r="J203" s="711"/>
      <c r="K203" s="693"/>
      <c r="L203" s="693"/>
      <c r="M203" s="693"/>
      <c r="N203" s="711"/>
      <c r="O203" s="735"/>
      <c r="P203" s="812"/>
      <c r="Q203" s="743"/>
      <c r="R203" s="390"/>
      <c r="S203" s="433"/>
      <c r="T203" s="390"/>
      <c r="U203" s="383"/>
      <c r="V203" s="46"/>
      <c r="W203" s="281"/>
      <c r="X203" s="282"/>
      <c r="Y203" s="383"/>
      <c r="Z203" s="391">
        <v>3393</v>
      </c>
      <c r="AA203" s="273" t="s">
        <v>2873</v>
      </c>
      <c r="AB203" s="275">
        <v>1019108</v>
      </c>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row>
    <row r="204" spans="1:133" s="50" customFormat="1" ht="15" x14ac:dyDescent="0.25">
      <c r="A204" s="693"/>
      <c r="B204" s="690"/>
      <c r="C204" s="690"/>
      <c r="D204" s="693"/>
      <c r="E204" s="690"/>
      <c r="F204" s="711"/>
      <c r="G204" s="735"/>
      <c r="H204" s="693"/>
      <c r="I204" s="693"/>
      <c r="J204" s="711"/>
      <c r="K204" s="693"/>
      <c r="L204" s="693"/>
      <c r="M204" s="693"/>
      <c r="N204" s="711"/>
      <c r="O204" s="735"/>
      <c r="P204" s="812"/>
      <c r="Q204" s="743"/>
      <c r="R204" s="390"/>
      <c r="S204" s="433"/>
      <c r="T204" s="390"/>
      <c r="U204" s="383"/>
      <c r="V204" s="46"/>
      <c r="W204" s="281"/>
      <c r="X204" s="282"/>
      <c r="Y204" s="383"/>
      <c r="Z204" s="391">
        <v>3400</v>
      </c>
      <c r="AA204" s="273" t="s">
        <v>2873</v>
      </c>
      <c r="AB204" s="275">
        <v>2470560</v>
      </c>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row>
    <row r="205" spans="1:133" s="50" customFormat="1" ht="15" x14ac:dyDescent="0.25">
      <c r="A205" s="693"/>
      <c r="B205" s="690"/>
      <c r="C205" s="690"/>
      <c r="D205" s="693"/>
      <c r="E205" s="690"/>
      <c r="F205" s="711"/>
      <c r="G205" s="735"/>
      <c r="H205" s="693"/>
      <c r="I205" s="693"/>
      <c r="J205" s="711"/>
      <c r="K205" s="693"/>
      <c r="L205" s="693"/>
      <c r="M205" s="693"/>
      <c r="N205" s="711"/>
      <c r="O205" s="735"/>
      <c r="P205" s="812"/>
      <c r="Q205" s="743"/>
      <c r="R205" s="390"/>
      <c r="S205" s="433"/>
      <c r="T205" s="390"/>
      <c r="U205" s="383"/>
      <c r="V205" s="46"/>
      <c r="W205" s="281"/>
      <c r="X205" s="282"/>
      <c r="Y205" s="383"/>
      <c r="Z205" s="391">
        <v>3402</v>
      </c>
      <c r="AA205" s="273" t="s">
        <v>2873</v>
      </c>
      <c r="AB205" s="275">
        <v>700228</v>
      </c>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row>
    <row r="206" spans="1:133" s="50" customFormat="1" ht="15" x14ac:dyDescent="0.25">
      <c r="A206" s="693"/>
      <c r="B206" s="690"/>
      <c r="C206" s="690"/>
      <c r="D206" s="693"/>
      <c r="E206" s="690"/>
      <c r="F206" s="711"/>
      <c r="G206" s="735"/>
      <c r="H206" s="693"/>
      <c r="I206" s="693"/>
      <c r="J206" s="711"/>
      <c r="K206" s="693"/>
      <c r="L206" s="693"/>
      <c r="M206" s="693"/>
      <c r="N206" s="711"/>
      <c r="O206" s="735"/>
      <c r="P206" s="812"/>
      <c r="Q206" s="743"/>
      <c r="R206" s="390"/>
      <c r="S206" s="433"/>
      <c r="T206" s="390"/>
      <c r="U206" s="383"/>
      <c r="V206" s="46"/>
      <c r="W206" s="281"/>
      <c r="X206" s="282"/>
      <c r="Y206" s="383"/>
      <c r="Z206" s="391">
        <v>3403</v>
      </c>
      <c r="AA206" s="273" t="s">
        <v>2873</v>
      </c>
      <c r="AB206" s="275">
        <v>1143178</v>
      </c>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row>
    <row r="207" spans="1:133" s="50" customFormat="1" ht="15" x14ac:dyDescent="0.25">
      <c r="A207" s="693"/>
      <c r="B207" s="690"/>
      <c r="C207" s="690"/>
      <c r="D207" s="693"/>
      <c r="E207" s="690"/>
      <c r="F207" s="711"/>
      <c r="G207" s="735"/>
      <c r="H207" s="693"/>
      <c r="I207" s="693"/>
      <c r="J207" s="711"/>
      <c r="K207" s="693"/>
      <c r="L207" s="693"/>
      <c r="M207" s="693"/>
      <c r="N207" s="711"/>
      <c r="O207" s="735"/>
      <c r="P207" s="812"/>
      <c r="Q207" s="743"/>
      <c r="R207" s="390"/>
      <c r="S207" s="433"/>
      <c r="T207" s="390"/>
      <c r="U207" s="383"/>
      <c r="V207" s="46"/>
      <c r="W207" s="281"/>
      <c r="X207" s="282"/>
      <c r="Y207" s="383"/>
      <c r="Z207" s="391">
        <v>3404</v>
      </c>
      <c r="AA207" s="273" t="s">
        <v>2873</v>
      </c>
      <c r="AB207" s="275">
        <v>769440</v>
      </c>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row>
    <row r="208" spans="1:133" s="50" customFormat="1" ht="15" x14ac:dyDescent="0.25">
      <c r="A208" s="693"/>
      <c r="B208" s="690"/>
      <c r="C208" s="690"/>
      <c r="D208" s="693"/>
      <c r="E208" s="690"/>
      <c r="F208" s="711"/>
      <c r="G208" s="735"/>
      <c r="H208" s="693"/>
      <c r="I208" s="693"/>
      <c r="J208" s="711"/>
      <c r="K208" s="693"/>
      <c r="L208" s="693"/>
      <c r="M208" s="693"/>
      <c r="N208" s="711"/>
      <c r="O208" s="735"/>
      <c r="P208" s="812"/>
      <c r="Q208" s="743"/>
      <c r="R208" s="390"/>
      <c r="S208" s="433"/>
      <c r="T208" s="390"/>
      <c r="U208" s="383"/>
      <c r="V208" s="46"/>
      <c r="W208" s="281"/>
      <c r="X208" s="282"/>
      <c r="Y208" s="383"/>
      <c r="Z208" s="391">
        <v>3405</v>
      </c>
      <c r="AA208" s="273" t="s">
        <v>2873</v>
      </c>
      <c r="AB208" s="275">
        <v>1019108</v>
      </c>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row>
    <row r="209" spans="1:133" s="50" customFormat="1" ht="15" x14ac:dyDescent="0.25">
      <c r="A209" s="693"/>
      <c r="B209" s="690"/>
      <c r="C209" s="690"/>
      <c r="D209" s="693"/>
      <c r="E209" s="690"/>
      <c r="F209" s="711"/>
      <c r="G209" s="735"/>
      <c r="H209" s="693"/>
      <c r="I209" s="693"/>
      <c r="J209" s="711"/>
      <c r="K209" s="693"/>
      <c r="L209" s="693"/>
      <c r="M209" s="693"/>
      <c r="N209" s="711"/>
      <c r="O209" s="735"/>
      <c r="P209" s="812"/>
      <c r="Q209" s="743"/>
      <c r="R209" s="390"/>
      <c r="S209" s="433"/>
      <c r="T209" s="390"/>
      <c r="U209" s="383"/>
      <c r="V209" s="46"/>
      <c r="W209" s="281"/>
      <c r="X209" s="282"/>
      <c r="Y209" s="383"/>
      <c r="Z209" s="391">
        <v>3406</v>
      </c>
      <c r="AA209" s="273" t="s">
        <v>2873</v>
      </c>
      <c r="AB209" s="275">
        <v>1258078</v>
      </c>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row>
    <row r="210" spans="1:133" s="50" customFormat="1" ht="15" x14ac:dyDescent="0.25">
      <c r="A210" s="693"/>
      <c r="B210" s="690"/>
      <c r="C210" s="690"/>
      <c r="D210" s="693"/>
      <c r="E210" s="690"/>
      <c r="F210" s="711"/>
      <c r="G210" s="735"/>
      <c r="H210" s="693"/>
      <c r="I210" s="693"/>
      <c r="J210" s="711"/>
      <c r="K210" s="693"/>
      <c r="L210" s="693"/>
      <c r="M210" s="693"/>
      <c r="N210" s="711"/>
      <c r="O210" s="735"/>
      <c r="P210" s="812"/>
      <c r="Q210" s="743"/>
      <c r="R210" s="390"/>
      <c r="S210" s="433"/>
      <c r="T210" s="390"/>
      <c r="U210" s="383"/>
      <c r="V210" s="46"/>
      <c r="W210" s="281"/>
      <c r="X210" s="282"/>
      <c r="Y210" s="383"/>
      <c r="Z210" s="391">
        <v>3407</v>
      </c>
      <c r="AA210" s="273" t="s">
        <v>2873</v>
      </c>
      <c r="AB210" s="275">
        <v>1019108</v>
      </c>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row>
    <row r="211" spans="1:133" s="50" customFormat="1" ht="15" x14ac:dyDescent="0.25">
      <c r="A211" s="693"/>
      <c r="B211" s="690"/>
      <c r="C211" s="690"/>
      <c r="D211" s="693"/>
      <c r="E211" s="690"/>
      <c r="F211" s="711"/>
      <c r="G211" s="735"/>
      <c r="H211" s="693"/>
      <c r="I211" s="693"/>
      <c r="J211" s="711"/>
      <c r="K211" s="693"/>
      <c r="L211" s="693"/>
      <c r="M211" s="693"/>
      <c r="N211" s="711"/>
      <c r="O211" s="735"/>
      <c r="P211" s="812"/>
      <c r="Q211" s="743"/>
      <c r="R211" s="390"/>
      <c r="S211" s="433"/>
      <c r="T211" s="390"/>
      <c r="U211" s="383"/>
      <c r="V211" s="46"/>
      <c r="W211" s="281"/>
      <c r="X211" s="282"/>
      <c r="Y211" s="383"/>
      <c r="Z211" s="391">
        <v>3408</v>
      </c>
      <c r="AA211" s="273" t="s">
        <v>2873</v>
      </c>
      <c r="AB211" s="275">
        <v>502112</v>
      </c>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row>
    <row r="212" spans="1:133" s="50" customFormat="1" ht="15" x14ac:dyDescent="0.25">
      <c r="A212" s="693"/>
      <c r="B212" s="690"/>
      <c r="C212" s="690"/>
      <c r="D212" s="693"/>
      <c r="E212" s="690"/>
      <c r="F212" s="711"/>
      <c r="G212" s="735"/>
      <c r="H212" s="693"/>
      <c r="I212" s="693"/>
      <c r="J212" s="711"/>
      <c r="K212" s="693"/>
      <c r="L212" s="693"/>
      <c r="M212" s="693"/>
      <c r="N212" s="711"/>
      <c r="O212" s="735"/>
      <c r="P212" s="812"/>
      <c r="Q212" s="743"/>
      <c r="R212" s="390"/>
      <c r="S212" s="433"/>
      <c r="T212" s="390"/>
      <c r="U212" s="383"/>
      <c r="V212" s="46"/>
      <c r="W212" s="281"/>
      <c r="X212" s="282"/>
      <c r="Y212" s="383"/>
      <c r="Z212" s="391">
        <v>3409</v>
      </c>
      <c r="AA212" s="273" t="s">
        <v>2873</v>
      </c>
      <c r="AB212" s="275">
        <v>387890</v>
      </c>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row>
    <row r="213" spans="1:133" s="50" customFormat="1" ht="15" x14ac:dyDescent="0.25">
      <c r="A213" s="693"/>
      <c r="B213" s="690"/>
      <c r="C213" s="690"/>
      <c r="D213" s="693"/>
      <c r="E213" s="690"/>
      <c r="F213" s="711"/>
      <c r="G213" s="735"/>
      <c r="H213" s="693"/>
      <c r="I213" s="693"/>
      <c r="J213" s="711"/>
      <c r="K213" s="693"/>
      <c r="L213" s="693"/>
      <c r="M213" s="693"/>
      <c r="N213" s="711"/>
      <c r="O213" s="735"/>
      <c r="P213" s="812"/>
      <c r="Q213" s="743"/>
      <c r="R213" s="390"/>
      <c r="S213" s="433"/>
      <c r="T213" s="390"/>
      <c r="U213" s="383"/>
      <c r="V213" s="46"/>
      <c r="W213" s="281"/>
      <c r="X213" s="282"/>
      <c r="Y213" s="383"/>
      <c r="Z213" s="391">
        <v>3410</v>
      </c>
      <c r="AA213" s="273" t="s">
        <v>2873</v>
      </c>
      <c r="AB213" s="275">
        <v>685933</v>
      </c>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row>
    <row r="214" spans="1:133" s="50" customFormat="1" ht="15" x14ac:dyDescent="0.25">
      <c r="A214" s="693"/>
      <c r="B214" s="690"/>
      <c r="C214" s="690"/>
      <c r="D214" s="693"/>
      <c r="E214" s="690"/>
      <c r="F214" s="711"/>
      <c r="G214" s="735"/>
      <c r="H214" s="693"/>
      <c r="I214" s="693"/>
      <c r="J214" s="711"/>
      <c r="K214" s="693"/>
      <c r="L214" s="693"/>
      <c r="M214" s="693"/>
      <c r="N214" s="711"/>
      <c r="O214" s="735"/>
      <c r="P214" s="812"/>
      <c r="Q214" s="743"/>
      <c r="R214" s="390"/>
      <c r="S214" s="433"/>
      <c r="T214" s="390"/>
      <c r="U214" s="383"/>
      <c r="V214" s="46"/>
      <c r="W214" s="281"/>
      <c r="X214" s="282"/>
      <c r="Y214" s="383"/>
      <c r="Z214" s="391">
        <v>3414</v>
      </c>
      <c r="AA214" s="273" t="s">
        <v>2873</v>
      </c>
      <c r="AB214" s="275">
        <v>469801</v>
      </c>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row>
    <row r="215" spans="1:133" s="50" customFormat="1" ht="15" x14ac:dyDescent="0.25">
      <c r="A215" s="693"/>
      <c r="B215" s="690"/>
      <c r="C215" s="690"/>
      <c r="D215" s="693"/>
      <c r="E215" s="690"/>
      <c r="F215" s="711"/>
      <c r="G215" s="735"/>
      <c r="H215" s="693"/>
      <c r="I215" s="693"/>
      <c r="J215" s="711"/>
      <c r="K215" s="693"/>
      <c r="L215" s="693"/>
      <c r="M215" s="693"/>
      <c r="N215" s="711"/>
      <c r="O215" s="735"/>
      <c r="P215" s="812"/>
      <c r="Q215" s="743"/>
      <c r="R215" s="390"/>
      <c r="S215" s="433"/>
      <c r="T215" s="390"/>
      <c r="U215" s="383"/>
      <c r="V215" s="46"/>
      <c r="W215" s="281"/>
      <c r="X215" s="282"/>
      <c r="Y215" s="383"/>
      <c r="Z215" s="391">
        <v>3415</v>
      </c>
      <c r="AA215" s="273" t="s">
        <v>2873</v>
      </c>
      <c r="AB215" s="275">
        <v>301033</v>
      </c>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row>
    <row r="216" spans="1:133" s="50" customFormat="1" ht="15" x14ac:dyDescent="0.25">
      <c r="A216" s="693"/>
      <c r="B216" s="690"/>
      <c r="C216" s="690"/>
      <c r="D216" s="693"/>
      <c r="E216" s="690"/>
      <c r="F216" s="711"/>
      <c r="G216" s="735"/>
      <c r="H216" s="693"/>
      <c r="I216" s="693"/>
      <c r="J216" s="711"/>
      <c r="K216" s="693"/>
      <c r="L216" s="693"/>
      <c r="M216" s="693"/>
      <c r="N216" s="711"/>
      <c r="O216" s="735"/>
      <c r="P216" s="812"/>
      <c r="Q216" s="743"/>
      <c r="R216" s="390"/>
      <c r="S216" s="433"/>
      <c r="T216" s="390"/>
      <c r="U216" s="383"/>
      <c r="V216" s="46"/>
      <c r="W216" s="281"/>
      <c r="X216" s="282"/>
      <c r="Y216" s="383"/>
      <c r="Z216" s="391">
        <v>3416</v>
      </c>
      <c r="AA216" s="273" t="s">
        <v>2873</v>
      </c>
      <c r="AB216" s="275">
        <v>572610</v>
      </c>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row>
    <row r="217" spans="1:133" s="50" customFormat="1" ht="15" x14ac:dyDescent="0.25">
      <c r="A217" s="693"/>
      <c r="B217" s="690"/>
      <c r="C217" s="690"/>
      <c r="D217" s="693"/>
      <c r="E217" s="690"/>
      <c r="F217" s="711"/>
      <c r="G217" s="735"/>
      <c r="H217" s="693"/>
      <c r="I217" s="693"/>
      <c r="J217" s="711"/>
      <c r="K217" s="693"/>
      <c r="L217" s="693"/>
      <c r="M217" s="693"/>
      <c r="N217" s="711"/>
      <c r="O217" s="735"/>
      <c r="P217" s="812"/>
      <c r="Q217" s="743"/>
      <c r="R217" s="390"/>
      <c r="S217" s="433"/>
      <c r="T217" s="390"/>
      <c r="U217" s="383"/>
      <c r="V217" s="46"/>
      <c r="W217" s="281"/>
      <c r="X217" s="282"/>
      <c r="Y217" s="383"/>
      <c r="Z217" s="391">
        <v>3417</v>
      </c>
      <c r="AA217" s="273" t="s">
        <v>2873</v>
      </c>
      <c r="AB217" s="275">
        <v>864424</v>
      </c>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row>
    <row r="218" spans="1:133" s="50" customFormat="1" ht="15" x14ac:dyDescent="0.25">
      <c r="A218" s="693"/>
      <c r="B218" s="690"/>
      <c r="C218" s="690"/>
      <c r="D218" s="693"/>
      <c r="E218" s="690"/>
      <c r="F218" s="711"/>
      <c r="G218" s="735"/>
      <c r="H218" s="693"/>
      <c r="I218" s="693"/>
      <c r="J218" s="711"/>
      <c r="K218" s="693"/>
      <c r="L218" s="693"/>
      <c r="M218" s="693"/>
      <c r="N218" s="711"/>
      <c r="O218" s="735"/>
      <c r="P218" s="812"/>
      <c r="Q218" s="743"/>
      <c r="R218" s="390"/>
      <c r="S218" s="433"/>
      <c r="T218" s="390"/>
      <c r="U218" s="383"/>
      <c r="V218" s="46"/>
      <c r="W218" s="281"/>
      <c r="X218" s="282"/>
      <c r="Y218" s="383"/>
      <c r="Z218" s="391">
        <v>3418</v>
      </c>
      <c r="AA218" s="273" t="s">
        <v>2873</v>
      </c>
      <c r="AB218" s="275">
        <v>864424</v>
      </c>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row>
    <row r="219" spans="1:133" s="50" customFormat="1" ht="15" x14ac:dyDescent="0.25">
      <c r="A219" s="693"/>
      <c r="B219" s="690"/>
      <c r="C219" s="690"/>
      <c r="D219" s="693"/>
      <c r="E219" s="690"/>
      <c r="F219" s="711"/>
      <c r="G219" s="735"/>
      <c r="H219" s="693"/>
      <c r="I219" s="693"/>
      <c r="J219" s="711"/>
      <c r="K219" s="693"/>
      <c r="L219" s="693"/>
      <c r="M219" s="693"/>
      <c r="N219" s="711"/>
      <c r="O219" s="735"/>
      <c r="P219" s="812"/>
      <c r="Q219" s="743"/>
      <c r="R219" s="390"/>
      <c r="S219" s="433"/>
      <c r="T219" s="390"/>
      <c r="U219" s="383"/>
      <c r="V219" s="46"/>
      <c r="W219" s="281"/>
      <c r="X219" s="282"/>
      <c r="Y219" s="383"/>
      <c r="Z219" s="391">
        <v>3419</v>
      </c>
      <c r="AA219" s="273" t="s">
        <v>2873</v>
      </c>
      <c r="AB219" s="275">
        <v>700228</v>
      </c>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row>
    <row r="220" spans="1:133" s="50" customFormat="1" ht="15" x14ac:dyDescent="0.25">
      <c r="A220" s="693"/>
      <c r="B220" s="690"/>
      <c r="C220" s="690"/>
      <c r="D220" s="693"/>
      <c r="E220" s="690"/>
      <c r="F220" s="711"/>
      <c r="G220" s="735"/>
      <c r="H220" s="693"/>
      <c r="I220" s="693"/>
      <c r="J220" s="711"/>
      <c r="K220" s="693"/>
      <c r="L220" s="693"/>
      <c r="M220" s="693"/>
      <c r="N220" s="711"/>
      <c r="O220" s="735"/>
      <c r="P220" s="812"/>
      <c r="Q220" s="743"/>
      <c r="R220" s="390"/>
      <c r="S220" s="433"/>
      <c r="T220" s="390"/>
      <c r="U220" s="383"/>
      <c r="V220" s="46"/>
      <c r="W220" s="281"/>
      <c r="X220" s="282"/>
      <c r="Y220" s="383"/>
      <c r="Z220" s="391">
        <v>3420</v>
      </c>
      <c r="AA220" s="273" t="s">
        <v>2873</v>
      </c>
      <c r="AB220" s="275">
        <v>1411241</v>
      </c>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row>
    <row r="221" spans="1:133" s="50" customFormat="1" ht="15" x14ac:dyDescent="0.25">
      <c r="A221" s="693"/>
      <c r="B221" s="690"/>
      <c r="C221" s="690"/>
      <c r="D221" s="693"/>
      <c r="E221" s="690"/>
      <c r="F221" s="711"/>
      <c r="G221" s="735"/>
      <c r="H221" s="693"/>
      <c r="I221" s="693"/>
      <c r="J221" s="711"/>
      <c r="K221" s="693"/>
      <c r="L221" s="693"/>
      <c r="M221" s="693"/>
      <c r="N221" s="711"/>
      <c r="O221" s="735"/>
      <c r="P221" s="812"/>
      <c r="Q221" s="743"/>
      <c r="R221" s="390"/>
      <c r="S221" s="433"/>
      <c r="T221" s="390"/>
      <c r="U221" s="383"/>
      <c r="V221" s="46"/>
      <c r="W221" s="281"/>
      <c r="X221" s="282"/>
      <c r="Y221" s="383"/>
      <c r="Z221" s="391">
        <v>3421</v>
      </c>
      <c r="AA221" s="273" t="s">
        <v>2873</v>
      </c>
      <c r="AB221" s="275">
        <v>1115819</v>
      </c>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row>
    <row r="222" spans="1:133" s="50" customFormat="1" ht="15" x14ac:dyDescent="0.25">
      <c r="A222" s="693"/>
      <c r="B222" s="690"/>
      <c r="C222" s="690"/>
      <c r="D222" s="693"/>
      <c r="E222" s="690"/>
      <c r="F222" s="711"/>
      <c r="G222" s="735"/>
      <c r="H222" s="693"/>
      <c r="I222" s="693"/>
      <c r="J222" s="711"/>
      <c r="K222" s="693"/>
      <c r="L222" s="693"/>
      <c r="M222" s="693"/>
      <c r="N222" s="711"/>
      <c r="O222" s="735"/>
      <c r="P222" s="812"/>
      <c r="Q222" s="743"/>
      <c r="R222" s="390"/>
      <c r="S222" s="433"/>
      <c r="T222" s="390"/>
      <c r="U222" s="383"/>
      <c r="V222" s="46"/>
      <c r="W222" s="281"/>
      <c r="X222" s="282"/>
      <c r="Y222" s="383"/>
      <c r="Z222" s="391">
        <v>3422</v>
      </c>
      <c r="AA222" s="273" t="s">
        <v>2873</v>
      </c>
      <c r="AB222" s="275">
        <v>1859776</v>
      </c>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row>
    <row r="223" spans="1:133" s="50" customFormat="1" ht="15" x14ac:dyDescent="0.25">
      <c r="A223" s="693"/>
      <c r="B223" s="690"/>
      <c r="C223" s="690"/>
      <c r="D223" s="693"/>
      <c r="E223" s="690"/>
      <c r="F223" s="711"/>
      <c r="G223" s="735"/>
      <c r="H223" s="693"/>
      <c r="I223" s="693"/>
      <c r="J223" s="711"/>
      <c r="K223" s="693"/>
      <c r="L223" s="693"/>
      <c r="M223" s="693"/>
      <c r="N223" s="711"/>
      <c r="O223" s="735"/>
      <c r="P223" s="812"/>
      <c r="Q223" s="743"/>
      <c r="R223" s="390"/>
      <c r="S223" s="433"/>
      <c r="T223" s="390"/>
      <c r="U223" s="383"/>
      <c r="V223" s="46"/>
      <c r="W223" s="281"/>
      <c r="X223" s="282"/>
      <c r="Y223" s="383"/>
      <c r="Z223" s="391">
        <v>3521</v>
      </c>
      <c r="AA223" s="273" t="s">
        <v>2874</v>
      </c>
      <c r="AB223" s="275">
        <v>665200</v>
      </c>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row>
    <row r="224" spans="1:133" s="50" customFormat="1" ht="15" x14ac:dyDescent="0.25">
      <c r="A224" s="693"/>
      <c r="B224" s="690"/>
      <c r="C224" s="690"/>
      <c r="D224" s="693"/>
      <c r="E224" s="690"/>
      <c r="F224" s="711"/>
      <c r="G224" s="735"/>
      <c r="H224" s="693"/>
      <c r="I224" s="693"/>
      <c r="J224" s="711"/>
      <c r="K224" s="693"/>
      <c r="L224" s="693"/>
      <c r="M224" s="693"/>
      <c r="N224" s="711"/>
      <c r="O224" s="735"/>
      <c r="P224" s="812"/>
      <c r="Q224" s="743"/>
      <c r="R224" s="390"/>
      <c r="S224" s="433"/>
      <c r="T224" s="390"/>
      <c r="U224" s="383"/>
      <c r="V224" s="46"/>
      <c r="W224" s="281"/>
      <c r="X224" s="282"/>
      <c r="Y224" s="383"/>
      <c r="Z224" s="391">
        <v>3522</v>
      </c>
      <c r="AA224" s="273" t="s">
        <v>2874</v>
      </c>
      <c r="AB224" s="275">
        <v>665200</v>
      </c>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row>
    <row r="225" spans="1:133" s="50" customFormat="1" ht="15" x14ac:dyDescent="0.25">
      <c r="A225" s="693"/>
      <c r="B225" s="690"/>
      <c r="C225" s="690"/>
      <c r="D225" s="693"/>
      <c r="E225" s="690"/>
      <c r="F225" s="711"/>
      <c r="G225" s="735"/>
      <c r="H225" s="693"/>
      <c r="I225" s="693"/>
      <c r="J225" s="711"/>
      <c r="K225" s="693"/>
      <c r="L225" s="693"/>
      <c r="M225" s="693"/>
      <c r="N225" s="711"/>
      <c r="O225" s="735"/>
      <c r="P225" s="812"/>
      <c r="Q225" s="743"/>
      <c r="R225" s="390"/>
      <c r="S225" s="433"/>
      <c r="T225" s="390"/>
      <c r="U225" s="383"/>
      <c r="V225" s="46"/>
      <c r="W225" s="281"/>
      <c r="X225" s="282"/>
      <c r="Y225" s="383"/>
      <c r="Z225" s="391">
        <v>3523</v>
      </c>
      <c r="AA225" s="273" t="s">
        <v>2874</v>
      </c>
      <c r="AB225" s="275">
        <v>665200</v>
      </c>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row>
    <row r="226" spans="1:133" s="50" customFormat="1" ht="15" x14ac:dyDescent="0.25">
      <c r="A226" s="693"/>
      <c r="B226" s="690"/>
      <c r="C226" s="690"/>
      <c r="D226" s="693"/>
      <c r="E226" s="690"/>
      <c r="F226" s="711"/>
      <c r="G226" s="735"/>
      <c r="H226" s="693"/>
      <c r="I226" s="693"/>
      <c r="J226" s="711"/>
      <c r="K226" s="693"/>
      <c r="L226" s="693"/>
      <c r="M226" s="693"/>
      <c r="N226" s="711"/>
      <c r="O226" s="735"/>
      <c r="P226" s="812"/>
      <c r="Q226" s="743"/>
      <c r="R226" s="390"/>
      <c r="S226" s="433"/>
      <c r="T226" s="390"/>
      <c r="U226" s="383"/>
      <c r="V226" s="46"/>
      <c r="W226" s="281"/>
      <c r="X226" s="282"/>
      <c r="Y226" s="383"/>
      <c r="Z226" s="391">
        <v>3525</v>
      </c>
      <c r="AA226" s="273" t="s">
        <v>2875</v>
      </c>
      <c r="AB226" s="275">
        <v>519569</v>
      </c>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row>
    <row r="227" spans="1:133" s="50" customFormat="1" ht="15" x14ac:dyDescent="0.25">
      <c r="A227" s="693"/>
      <c r="B227" s="690"/>
      <c r="C227" s="690"/>
      <c r="D227" s="693"/>
      <c r="E227" s="690"/>
      <c r="F227" s="711"/>
      <c r="G227" s="735"/>
      <c r="H227" s="693"/>
      <c r="I227" s="693"/>
      <c r="J227" s="711"/>
      <c r="K227" s="693"/>
      <c r="L227" s="693"/>
      <c r="M227" s="693"/>
      <c r="N227" s="711"/>
      <c r="O227" s="735"/>
      <c r="P227" s="812"/>
      <c r="Q227" s="743"/>
      <c r="R227" s="390"/>
      <c r="S227" s="433"/>
      <c r="T227" s="390"/>
      <c r="U227" s="383"/>
      <c r="V227" s="46"/>
      <c r="W227" s="281"/>
      <c r="X227" s="282"/>
      <c r="Y227" s="383"/>
      <c r="Z227" s="391">
        <v>3875</v>
      </c>
      <c r="AA227" s="273" t="s">
        <v>2859</v>
      </c>
      <c r="AB227" s="275">
        <v>860610</v>
      </c>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row>
    <row r="228" spans="1:133" s="50" customFormat="1" ht="15" x14ac:dyDescent="0.25">
      <c r="A228" s="693"/>
      <c r="B228" s="690"/>
      <c r="C228" s="690"/>
      <c r="D228" s="693"/>
      <c r="E228" s="690"/>
      <c r="F228" s="711"/>
      <c r="G228" s="735"/>
      <c r="H228" s="693"/>
      <c r="I228" s="693"/>
      <c r="J228" s="711"/>
      <c r="K228" s="693"/>
      <c r="L228" s="693"/>
      <c r="M228" s="693"/>
      <c r="N228" s="711"/>
      <c r="O228" s="735"/>
      <c r="P228" s="812"/>
      <c r="Q228" s="743"/>
      <c r="R228" s="390"/>
      <c r="S228" s="433"/>
      <c r="T228" s="390"/>
      <c r="U228" s="383"/>
      <c r="V228" s="46"/>
      <c r="W228" s="281"/>
      <c r="X228" s="282"/>
      <c r="Y228" s="383"/>
      <c r="Z228" s="391">
        <v>3891</v>
      </c>
      <c r="AA228" s="273" t="s">
        <v>2859</v>
      </c>
      <c r="AB228" s="275">
        <v>860610</v>
      </c>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row>
    <row r="229" spans="1:133" s="50" customFormat="1" ht="15" x14ac:dyDescent="0.25">
      <c r="A229" s="693"/>
      <c r="B229" s="690"/>
      <c r="C229" s="690"/>
      <c r="D229" s="693"/>
      <c r="E229" s="690"/>
      <c r="F229" s="711"/>
      <c r="G229" s="735"/>
      <c r="H229" s="693"/>
      <c r="I229" s="693"/>
      <c r="J229" s="711"/>
      <c r="K229" s="693"/>
      <c r="L229" s="693"/>
      <c r="M229" s="693"/>
      <c r="N229" s="711"/>
      <c r="O229" s="735"/>
      <c r="P229" s="812"/>
      <c r="Q229" s="743"/>
      <c r="R229" s="390"/>
      <c r="S229" s="433"/>
      <c r="T229" s="390"/>
      <c r="U229" s="383"/>
      <c r="V229" s="46"/>
      <c r="W229" s="281"/>
      <c r="X229" s="282"/>
      <c r="Y229" s="383"/>
      <c r="Z229" s="391">
        <v>4864</v>
      </c>
      <c r="AA229" s="273" t="s">
        <v>2821</v>
      </c>
      <c r="AB229" s="275">
        <v>822908</v>
      </c>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row>
    <row r="230" spans="1:133" s="50" customFormat="1" ht="15" x14ac:dyDescent="0.25">
      <c r="A230" s="693"/>
      <c r="B230" s="690"/>
      <c r="C230" s="690"/>
      <c r="D230" s="693"/>
      <c r="E230" s="690"/>
      <c r="F230" s="711"/>
      <c r="G230" s="735"/>
      <c r="H230" s="693"/>
      <c r="I230" s="693"/>
      <c r="J230" s="711"/>
      <c r="K230" s="693"/>
      <c r="L230" s="693"/>
      <c r="M230" s="693"/>
      <c r="N230" s="711"/>
      <c r="O230" s="735"/>
      <c r="P230" s="812"/>
      <c r="Q230" s="743"/>
      <c r="R230" s="390"/>
      <c r="S230" s="433"/>
      <c r="T230" s="390"/>
      <c r="U230" s="383"/>
      <c r="V230" s="46"/>
      <c r="W230" s="281"/>
      <c r="X230" s="282"/>
      <c r="Y230" s="383"/>
      <c r="Z230" s="391">
        <v>4970</v>
      </c>
      <c r="AA230" s="273" t="s">
        <v>2876</v>
      </c>
      <c r="AB230" s="275">
        <v>563002</v>
      </c>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row>
    <row r="231" spans="1:133" s="50" customFormat="1" ht="15" x14ac:dyDescent="0.25">
      <c r="A231" s="693"/>
      <c r="B231" s="690"/>
      <c r="C231" s="690"/>
      <c r="D231" s="693"/>
      <c r="E231" s="690"/>
      <c r="F231" s="711"/>
      <c r="G231" s="735"/>
      <c r="H231" s="693"/>
      <c r="I231" s="693"/>
      <c r="J231" s="711"/>
      <c r="K231" s="693"/>
      <c r="L231" s="693"/>
      <c r="M231" s="693"/>
      <c r="N231" s="711"/>
      <c r="O231" s="735"/>
      <c r="P231" s="812"/>
      <c r="Q231" s="743"/>
      <c r="R231" s="584"/>
      <c r="S231" s="581"/>
      <c r="T231" s="584"/>
      <c r="U231" s="577"/>
      <c r="V231" s="46"/>
      <c r="W231" s="281"/>
      <c r="X231" s="282"/>
      <c r="Y231" s="577"/>
      <c r="Z231" s="585">
        <v>4978</v>
      </c>
      <c r="AA231" s="273" t="s">
        <v>2877</v>
      </c>
      <c r="AB231" s="275">
        <v>1170238</v>
      </c>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row>
    <row r="232" spans="1:133" s="50" customFormat="1" ht="15" x14ac:dyDescent="0.25">
      <c r="A232" s="693"/>
      <c r="B232" s="690"/>
      <c r="C232" s="690"/>
      <c r="D232" s="693"/>
      <c r="E232" s="690"/>
      <c r="F232" s="711"/>
      <c r="G232" s="735"/>
      <c r="H232" s="693"/>
      <c r="I232" s="693"/>
      <c r="J232" s="711"/>
      <c r="K232" s="693"/>
      <c r="L232" s="693"/>
      <c r="M232" s="693"/>
      <c r="N232" s="711"/>
      <c r="O232" s="735"/>
      <c r="P232" s="812"/>
      <c r="Q232" s="743"/>
      <c r="R232" s="584"/>
      <c r="S232" s="581"/>
      <c r="T232" s="584"/>
      <c r="U232" s="577"/>
      <c r="V232" s="46"/>
      <c r="W232" s="281"/>
      <c r="X232" s="282"/>
      <c r="Y232" s="577"/>
      <c r="Z232" s="585">
        <v>4985</v>
      </c>
      <c r="AA232" s="273" t="s">
        <v>2825</v>
      </c>
      <c r="AB232" s="275">
        <v>378449</v>
      </c>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row>
    <row r="233" spans="1:133" s="50" customFormat="1" ht="15" x14ac:dyDescent="0.25">
      <c r="A233" s="693"/>
      <c r="B233" s="690"/>
      <c r="C233" s="690"/>
      <c r="D233" s="693"/>
      <c r="E233" s="690"/>
      <c r="F233" s="711"/>
      <c r="G233" s="735"/>
      <c r="H233" s="693"/>
      <c r="I233" s="693"/>
      <c r="J233" s="711"/>
      <c r="K233" s="693"/>
      <c r="L233" s="693"/>
      <c r="M233" s="693"/>
      <c r="N233" s="711"/>
      <c r="O233" s="735"/>
      <c r="P233" s="812"/>
      <c r="Q233" s="743"/>
      <c r="R233" s="584"/>
      <c r="S233" s="581"/>
      <c r="T233" s="584"/>
      <c r="U233" s="577"/>
      <c r="V233" s="46"/>
      <c r="W233" s="281"/>
      <c r="X233" s="282"/>
      <c r="Y233" s="577"/>
      <c r="Z233" s="585">
        <v>5404</v>
      </c>
      <c r="AA233" s="273" t="s">
        <v>2786</v>
      </c>
      <c r="AB233" s="275">
        <v>369499</v>
      </c>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row>
    <row r="234" spans="1:133" s="50" customFormat="1" ht="15" x14ac:dyDescent="0.25">
      <c r="A234" s="693"/>
      <c r="B234" s="690"/>
      <c r="C234" s="690"/>
      <c r="D234" s="693"/>
      <c r="E234" s="690"/>
      <c r="F234" s="711"/>
      <c r="G234" s="735"/>
      <c r="H234" s="693"/>
      <c r="I234" s="693"/>
      <c r="J234" s="711"/>
      <c r="K234" s="693"/>
      <c r="L234" s="693"/>
      <c r="M234" s="693"/>
      <c r="N234" s="711"/>
      <c r="O234" s="735"/>
      <c r="P234" s="812"/>
      <c r="Q234" s="743"/>
      <c r="R234" s="584"/>
      <c r="S234" s="581"/>
      <c r="T234" s="584"/>
      <c r="U234" s="577"/>
      <c r="V234" s="46"/>
      <c r="W234" s="281"/>
      <c r="X234" s="282"/>
      <c r="Y234" s="577"/>
      <c r="Z234" s="585">
        <v>5553</v>
      </c>
      <c r="AA234" s="273" t="s">
        <v>2802</v>
      </c>
      <c r="AB234" s="275">
        <v>232193</v>
      </c>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row>
    <row r="235" spans="1:133" s="50" customFormat="1" ht="15" x14ac:dyDescent="0.25">
      <c r="A235" s="693"/>
      <c r="B235" s="690"/>
      <c r="C235" s="690"/>
      <c r="D235" s="693"/>
      <c r="E235" s="690"/>
      <c r="F235" s="711"/>
      <c r="G235" s="735"/>
      <c r="H235" s="693"/>
      <c r="I235" s="693"/>
      <c r="J235" s="711"/>
      <c r="K235" s="693"/>
      <c r="L235" s="693"/>
      <c r="M235" s="693"/>
      <c r="N235" s="711"/>
      <c r="O235" s="735"/>
      <c r="P235" s="812"/>
      <c r="Q235" s="743"/>
      <c r="R235" s="584"/>
      <c r="S235" s="581"/>
      <c r="T235" s="584"/>
      <c r="U235" s="577"/>
      <c r="V235" s="46"/>
      <c r="W235" s="281"/>
      <c r="X235" s="282"/>
      <c r="Y235" s="577"/>
      <c r="Z235" s="585">
        <v>5556</v>
      </c>
      <c r="AA235" s="273" t="s">
        <v>2802</v>
      </c>
      <c r="AB235" s="275">
        <v>86455</v>
      </c>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row>
    <row r="236" spans="1:133" s="50" customFormat="1" ht="15" x14ac:dyDescent="0.25">
      <c r="A236" s="693"/>
      <c r="B236" s="690"/>
      <c r="C236" s="690"/>
      <c r="D236" s="693"/>
      <c r="E236" s="690"/>
      <c r="F236" s="711"/>
      <c r="G236" s="735"/>
      <c r="H236" s="693"/>
      <c r="I236" s="693"/>
      <c r="J236" s="711"/>
      <c r="K236" s="693"/>
      <c r="L236" s="693"/>
      <c r="M236" s="693"/>
      <c r="N236" s="711"/>
      <c r="O236" s="735"/>
      <c r="P236" s="812"/>
      <c r="Q236" s="743"/>
      <c r="R236" s="584"/>
      <c r="S236" s="581"/>
      <c r="T236" s="584"/>
      <c r="U236" s="577"/>
      <c r="V236" s="46"/>
      <c r="W236" s="281"/>
      <c r="X236" s="282"/>
      <c r="Y236" s="577"/>
      <c r="Z236" s="585">
        <v>5717</v>
      </c>
      <c r="AA236" s="273" t="s">
        <v>2777</v>
      </c>
      <c r="AB236" s="275">
        <v>165660</v>
      </c>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row>
    <row r="237" spans="1:133" s="50" customFormat="1" ht="15" x14ac:dyDescent="0.25">
      <c r="A237" s="693"/>
      <c r="B237" s="690"/>
      <c r="C237" s="690"/>
      <c r="D237" s="693"/>
      <c r="E237" s="690"/>
      <c r="F237" s="711"/>
      <c r="G237" s="735"/>
      <c r="H237" s="693"/>
      <c r="I237" s="693"/>
      <c r="J237" s="711"/>
      <c r="K237" s="693"/>
      <c r="L237" s="693"/>
      <c r="M237" s="693"/>
      <c r="N237" s="711"/>
      <c r="O237" s="735"/>
      <c r="P237" s="812"/>
      <c r="Q237" s="743"/>
      <c r="R237" s="390"/>
      <c r="S237" s="433"/>
      <c r="T237" s="390"/>
      <c r="U237" s="383"/>
      <c r="V237" s="46"/>
      <c r="W237" s="281"/>
      <c r="X237" s="282"/>
      <c r="Y237" s="383"/>
      <c r="Z237" s="391">
        <v>5732</v>
      </c>
      <c r="AA237" s="273" t="s">
        <v>2787</v>
      </c>
      <c r="AB237" s="275">
        <v>201320</v>
      </c>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row>
    <row r="238" spans="1:133" s="50" customFormat="1" ht="15" x14ac:dyDescent="0.25">
      <c r="A238" s="693"/>
      <c r="B238" s="690"/>
      <c r="C238" s="690"/>
      <c r="D238" s="692" t="s">
        <v>864</v>
      </c>
      <c r="E238" s="689" t="s">
        <v>137</v>
      </c>
      <c r="F238" s="710">
        <v>30433604</v>
      </c>
      <c r="G238" s="728">
        <v>0</v>
      </c>
      <c r="H238" s="692"/>
      <c r="I238" s="692"/>
      <c r="J238" s="710">
        <v>1097812</v>
      </c>
      <c r="K238" s="692"/>
      <c r="L238" s="692"/>
      <c r="M238" s="692"/>
      <c r="N238" s="710">
        <v>679621</v>
      </c>
      <c r="O238" s="728">
        <v>584805</v>
      </c>
      <c r="P238" s="810">
        <f>+F238+G238+H238+I238+J238+K238+L238+N238-O238</f>
        <v>31626232</v>
      </c>
      <c r="Q238" s="743"/>
      <c r="R238" s="689" t="s">
        <v>671</v>
      </c>
      <c r="S238" s="829">
        <v>5</v>
      </c>
      <c r="T238" s="832" t="s">
        <v>672</v>
      </c>
      <c r="U238" s="728">
        <v>11814499</v>
      </c>
      <c r="V238" s="46"/>
      <c r="W238" s="281">
        <v>31</v>
      </c>
      <c r="X238" s="282" t="s">
        <v>852</v>
      </c>
      <c r="Y238" s="259">
        <v>11814499</v>
      </c>
      <c r="Z238" s="38">
        <v>158</v>
      </c>
      <c r="AA238" s="122" t="s">
        <v>852</v>
      </c>
      <c r="AB238" s="275">
        <v>249884</v>
      </c>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row>
    <row r="239" spans="1:133" s="50" customFormat="1" ht="15" x14ac:dyDescent="0.25">
      <c r="A239" s="693"/>
      <c r="B239" s="690"/>
      <c r="C239" s="690"/>
      <c r="D239" s="693"/>
      <c r="E239" s="690"/>
      <c r="F239" s="711"/>
      <c r="G239" s="735"/>
      <c r="H239" s="693"/>
      <c r="I239" s="693"/>
      <c r="J239" s="711"/>
      <c r="K239" s="693"/>
      <c r="L239" s="693"/>
      <c r="M239" s="693"/>
      <c r="N239" s="711"/>
      <c r="O239" s="735"/>
      <c r="P239" s="812"/>
      <c r="Q239" s="743"/>
      <c r="R239" s="690"/>
      <c r="S239" s="830"/>
      <c r="T239" s="816"/>
      <c r="U239" s="735"/>
      <c r="V239" s="46"/>
      <c r="W239" s="280"/>
      <c r="X239" s="283"/>
      <c r="Y239" s="260"/>
      <c r="Z239" s="38">
        <v>159</v>
      </c>
      <c r="AA239" s="122" t="s">
        <v>852</v>
      </c>
      <c r="AB239" s="275">
        <v>114078</v>
      </c>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row>
    <row r="240" spans="1:133" s="50" customFormat="1" ht="15" x14ac:dyDescent="0.25">
      <c r="A240" s="693"/>
      <c r="B240" s="690"/>
      <c r="C240" s="690"/>
      <c r="D240" s="693"/>
      <c r="E240" s="690"/>
      <c r="F240" s="711"/>
      <c r="G240" s="735"/>
      <c r="H240" s="693"/>
      <c r="I240" s="693"/>
      <c r="J240" s="711"/>
      <c r="K240" s="693"/>
      <c r="L240" s="693"/>
      <c r="M240" s="693"/>
      <c r="N240" s="711"/>
      <c r="O240" s="735"/>
      <c r="P240" s="812"/>
      <c r="Q240" s="743"/>
      <c r="R240" s="690"/>
      <c r="S240" s="830"/>
      <c r="T240" s="816"/>
      <c r="U240" s="735"/>
      <c r="V240" s="46"/>
      <c r="W240" s="280"/>
      <c r="X240" s="283"/>
      <c r="Y240" s="260"/>
      <c r="Z240" s="38">
        <v>161</v>
      </c>
      <c r="AA240" s="122" t="s">
        <v>852</v>
      </c>
      <c r="AB240" s="275">
        <v>408994</v>
      </c>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row>
    <row r="241" spans="1:133" s="50" customFormat="1" ht="15" x14ac:dyDescent="0.25">
      <c r="A241" s="693"/>
      <c r="B241" s="690"/>
      <c r="C241" s="690"/>
      <c r="D241" s="693"/>
      <c r="E241" s="690"/>
      <c r="F241" s="711"/>
      <c r="G241" s="735"/>
      <c r="H241" s="693"/>
      <c r="I241" s="693"/>
      <c r="J241" s="711"/>
      <c r="K241" s="693"/>
      <c r="L241" s="693"/>
      <c r="M241" s="693"/>
      <c r="N241" s="711"/>
      <c r="O241" s="735"/>
      <c r="P241" s="812"/>
      <c r="Q241" s="743"/>
      <c r="R241" s="690"/>
      <c r="S241" s="830"/>
      <c r="T241" s="816"/>
      <c r="U241" s="735"/>
      <c r="V241" s="46"/>
      <c r="W241" s="280"/>
      <c r="X241" s="283"/>
      <c r="Y241" s="260"/>
      <c r="Z241" s="38">
        <v>162</v>
      </c>
      <c r="AA241" s="122" t="s">
        <v>852</v>
      </c>
      <c r="AB241" s="275">
        <v>408994</v>
      </c>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row>
    <row r="242" spans="1:133" s="50" customFormat="1" ht="15" x14ac:dyDescent="0.25">
      <c r="A242" s="693"/>
      <c r="B242" s="690"/>
      <c r="C242" s="690"/>
      <c r="D242" s="693"/>
      <c r="E242" s="690"/>
      <c r="F242" s="711"/>
      <c r="G242" s="735"/>
      <c r="H242" s="693"/>
      <c r="I242" s="693"/>
      <c r="J242" s="711"/>
      <c r="K242" s="693"/>
      <c r="L242" s="693"/>
      <c r="M242" s="693"/>
      <c r="N242" s="711"/>
      <c r="O242" s="735"/>
      <c r="P242" s="812"/>
      <c r="Q242" s="743"/>
      <c r="R242" s="690"/>
      <c r="S242" s="830"/>
      <c r="T242" s="816"/>
      <c r="U242" s="735"/>
      <c r="V242" s="46"/>
      <c r="W242" s="280"/>
      <c r="X242" s="283"/>
      <c r="Y242" s="260"/>
      <c r="Z242" s="38">
        <v>163</v>
      </c>
      <c r="AA242" s="122" t="s">
        <v>852</v>
      </c>
      <c r="AB242" s="275">
        <v>465299</v>
      </c>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row>
    <row r="243" spans="1:133" s="50" customFormat="1" ht="15" x14ac:dyDescent="0.25">
      <c r="A243" s="693"/>
      <c r="B243" s="690"/>
      <c r="C243" s="690"/>
      <c r="D243" s="693"/>
      <c r="E243" s="690"/>
      <c r="F243" s="711"/>
      <c r="G243" s="735"/>
      <c r="H243" s="693"/>
      <c r="I243" s="693"/>
      <c r="J243" s="711"/>
      <c r="K243" s="693"/>
      <c r="L243" s="693"/>
      <c r="M243" s="693"/>
      <c r="N243" s="711"/>
      <c r="O243" s="735"/>
      <c r="P243" s="812"/>
      <c r="Q243" s="743"/>
      <c r="R243" s="690"/>
      <c r="S243" s="830"/>
      <c r="T243" s="816"/>
      <c r="U243" s="735"/>
      <c r="V243" s="46"/>
      <c r="W243" s="280"/>
      <c r="X243" s="283"/>
      <c r="Y243" s="260"/>
      <c r="Z243" s="38">
        <v>164</v>
      </c>
      <c r="AA243" s="122" t="s">
        <v>852</v>
      </c>
      <c r="AB243" s="275">
        <v>293343</v>
      </c>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row>
    <row r="244" spans="1:133" s="50" customFormat="1" ht="15" x14ac:dyDescent="0.25">
      <c r="A244" s="693"/>
      <c r="B244" s="690"/>
      <c r="C244" s="690"/>
      <c r="D244" s="693"/>
      <c r="E244" s="690"/>
      <c r="F244" s="711"/>
      <c r="G244" s="735"/>
      <c r="H244" s="693"/>
      <c r="I244" s="693"/>
      <c r="J244" s="711"/>
      <c r="K244" s="693"/>
      <c r="L244" s="693"/>
      <c r="M244" s="693"/>
      <c r="N244" s="711"/>
      <c r="O244" s="735"/>
      <c r="P244" s="812"/>
      <c r="Q244" s="743"/>
      <c r="R244" s="690"/>
      <c r="S244" s="830"/>
      <c r="T244" s="816"/>
      <c r="U244" s="735"/>
      <c r="V244" s="46"/>
      <c r="W244" s="280"/>
      <c r="X244" s="283"/>
      <c r="Y244" s="260"/>
      <c r="Z244" s="38">
        <v>166</v>
      </c>
      <c r="AA244" s="122" t="s">
        <v>852</v>
      </c>
      <c r="AB244" s="275">
        <v>465299</v>
      </c>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row>
    <row r="245" spans="1:133" s="50" customFormat="1" ht="15" x14ac:dyDescent="0.25">
      <c r="A245" s="693"/>
      <c r="B245" s="690"/>
      <c r="C245" s="690"/>
      <c r="D245" s="693"/>
      <c r="E245" s="690"/>
      <c r="F245" s="711"/>
      <c r="G245" s="735"/>
      <c r="H245" s="693"/>
      <c r="I245" s="693"/>
      <c r="J245" s="711"/>
      <c r="K245" s="693"/>
      <c r="L245" s="693"/>
      <c r="M245" s="693"/>
      <c r="N245" s="711"/>
      <c r="O245" s="735"/>
      <c r="P245" s="812"/>
      <c r="Q245" s="743"/>
      <c r="R245" s="690"/>
      <c r="S245" s="830"/>
      <c r="T245" s="816"/>
      <c r="U245" s="735"/>
      <c r="V245" s="46"/>
      <c r="W245" s="280"/>
      <c r="X245" s="283"/>
      <c r="Y245" s="260"/>
      <c r="Z245" s="38">
        <v>167</v>
      </c>
      <c r="AA245" s="122" t="s">
        <v>852</v>
      </c>
      <c r="AB245" s="275">
        <v>445193</v>
      </c>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row>
    <row r="246" spans="1:133" s="50" customFormat="1" ht="15" x14ac:dyDescent="0.25">
      <c r="A246" s="693"/>
      <c r="B246" s="690"/>
      <c r="C246" s="690"/>
      <c r="D246" s="693"/>
      <c r="E246" s="690"/>
      <c r="F246" s="711"/>
      <c r="G246" s="735"/>
      <c r="H246" s="693"/>
      <c r="I246" s="693"/>
      <c r="J246" s="711"/>
      <c r="K246" s="693"/>
      <c r="L246" s="693"/>
      <c r="M246" s="693"/>
      <c r="N246" s="711"/>
      <c r="O246" s="735"/>
      <c r="P246" s="812"/>
      <c r="Q246" s="743"/>
      <c r="R246" s="690"/>
      <c r="S246" s="830"/>
      <c r="T246" s="816"/>
      <c r="U246" s="735"/>
      <c r="V246" s="46"/>
      <c r="W246" s="280"/>
      <c r="X246" s="283"/>
      <c r="Y246" s="260"/>
      <c r="Z246" s="38">
        <v>169</v>
      </c>
      <c r="AA246" s="122" t="s">
        <v>852</v>
      </c>
      <c r="AB246" s="275">
        <v>445193</v>
      </c>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row>
    <row r="247" spans="1:133" s="50" customFormat="1" ht="15" x14ac:dyDescent="0.25">
      <c r="A247" s="693"/>
      <c r="B247" s="690"/>
      <c r="C247" s="690"/>
      <c r="D247" s="693"/>
      <c r="E247" s="690"/>
      <c r="F247" s="711"/>
      <c r="G247" s="735"/>
      <c r="H247" s="693"/>
      <c r="I247" s="693"/>
      <c r="J247" s="711"/>
      <c r="K247" s="693"/>
      <c r="L247" s="693"/>
      <c r="M247" s="693"/>
      <c r="N247" s="711"/>
      <c r="O247" s="735"/>
      <c r="P247" s="812"/>
      <c r="Q247" s="743"/>
      <c r="R247" s="690"/>
      <c r="S247" s="830"/>
      <c r="T247" s="816"/>
      <c r="U247" s="735"/>
      <c r="V247" s="46"/>
      <c r="W247" s="280"/>
      <c r="X247" s="283"/>
      <c r="Y247" s="260"/>
      <c r="Z247" s="38">
        <v>175</v>
      </c>
      <c r="AA247" s="122" t="s">
        <v>852</v>
      </c>
      <c r="AB247" s="275">
        <v>408994</v>
      </c>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row>
    <row r="248" spans="1:133" s="50" customFormat="1" ht="15" x14ac:dyDescent="0.25">
      <c r="A248" s="693"/>
      <c r="B248" s="690"/>
      <c r="C248" s="690"/>
      <c r="D248" s="693"/>
      <c r="E248" s="690"/>
      <c r="F248" s="711"/>
      <c r="G248" s="735"/>
      <c r="H248" s="693"/>
      <c r="I248" s="693"/>
      <c r="J248" s="711"/>
      <c r="K248" s="693"/>
      <c r="L248" s="693"/>
      <c r="M248" s="693"/>
      <c r="N248" s="711"/>
      <c r="O248" s="735"/>
      <c r="P248" s="812"/>
      <c r="Q248" s="743"/>
      <c r="R248" s="690"/>
      <c r="S248" s="830"/>
      <c r="T248" s="816"/>
      <c r="U248" s="735"/>
      <c r="V248" s="46"/>
      <c r="W248" s="280"/>
      <c r="X248" s="283"/>
      <c r="Y248" s="260"/>
      <c r="Z248" s="38">
        <v>189</v>
      </c>
      <c r="AA248" s="122" t="s">
        <v>853</v>
      </c>
      <c r="AB248" s="275">
        <v>442321</v>
      </c>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row>
    <row r="249" spans="1:133" s="50" customFormat="1" ht="15" x14ac:dyDescent="0.25">
      <c r="A249" s="693"/>
      <c r="B249" s="690"/>
      <c r="C249" s="690"/>
      <c r="D249" s="693"/>
      <c r="E249" s="690"/>
      <c r="F249" s="711"/>
      <c r="G249" s="735"/>
      <c r="H249" s="693"/>
      <c r="I249" s="693"/>
      <c r="J249" s="711"/>
      <c r="K249" s="693"/>
      <c r="L249" s="693"/>
      <c r="M249" s="693"/>
      <c r="N249" s="711"/>
      <c r="O249" s="735"/>
      <c r="P249" s="812"/>
      <c r="Q249" s="743"/>
      <c r="R249" s="690"/>
      <c r="S249" s="830"/>
      <c r="T249" s="816"/>
      <c r="U249" s="735"/>
      <c r="V249" s="46"/>
      <c r="W249" s="280"/>
      <c r="X249" s="283"/>
      <c r="Y249" s="260"/>
      <c r="Z249" s="38">
        <v>190</v>
      </c>
      <c r="AA249" s="122" t="s">
        <v>853</v>
      </c>
      <c r="AB249" s="275">
        <v>442321</v>
      </c>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row>
    <row r="250" spans="1:133" s="50" customFormat="1" ht="15" x14ac:dyDescent="0.25">
      <c r="A250" s="693"/>
      <c r="B250" s="690"/>
      <c r="C250" s="690"/>
      <c r="D250" s="693"/>
      <c r="E250" s="690"/>
      <c r="F250" s="711"/>
      <c r="G250" s="735"/>
      <c r="H250" s="693"/>
      <c r="I250" s="693"/>
      <c r="J250" s="711"/>
      <c r="K250" s="693"/>
      <c r="L250" s="693"/>
      <c r="M250" s="693"/>
      <c r="N250" s="711"/>
      <c r="O250" s="735"/>
      <c r="P250" s="812"/>
      <c r="Q250" s="743"/>
      <c r="R250" s="690"/>
      <c r="S250" s="830"/>
      <c r="T250" s="816"/>
      <c r="U250" s="735"/>
      <c r="V250" s="46"/>
      <c r="W250" s="280"/>
      <c r="X250" s="283"/>
      <c r="Y250" s="260"/>
      <c r="Z250" s="38">
        <v>260</v>
      </c>
      <c r="AA250" s="122" t="s">
        <v>854</v>
      </c>
      <c r="AB250" s="275">
        <v>273424</v>
      </c>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row>
    <row r="251" spans="1:133" s="50" customFormat="1" ht="15" x14ac:dyDescent="0.25">
      <c r="A251" s="693"/>
      <c r="B251" s="690"/>
      <c r="C251" s="690"/>
      <c r="D251" s="693"/>
      <c r="E251" s="690"/>
      <c r="F251" s="711"/>
      <c r="G251" s="735"/>
      <c r="H251" s="693"/>
      <c r="I251" s="693"/>
      <c r="J251" s="711"/>
      <c r="K251" s="693"/>
      <c r="L251" s="693"/>
      <c r="M251" s="693"/>
      <c r="N251" s="711"/>
      <c r="O251" s="735"/>
      <c r="P251" s="812"/>
      <c r="Q251" s="743"/>
      <c r="R251" s="690"/>
      <c r="S251" s="830"/>
      <c r="T251" s="816"/>
      <c r="U251" s="735"/>
      <c r="V251" s="46"/>
      <c r="W251" s="280"/>
      <c r="X251" s="283"/>
      <c r="Y251" s="260"/>
      <c r="Z251" s="38">
        <v>261</v>
      </c>
      <c r="AA251" s="122" t="s">
        <v>854</v>
      </c>
      <c r="AB251" s="275">
        <v>509058</v>
      </c>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row>
    <row r="252" spans="1:133" s="50" customFormat="1" ht="15" x14ac:dyDescent="0.25">
      <c r="A252" s="693"/>
      <c r="B252" s="690"/>
      <c r="C252" s="690"/>
      <c r="D252" s="693"/>
      <c r="E252" s="690"/>
      <c r="F252" s="711"/>
      <c r="G252" s="735"/>
      <c r="H252" s="693"/>
      <c r="I252" s="693"/>
      <c r="J252" s="711"/>
      <c r="K252" s="693"/>
      <c r="L252" s="693"/>
      <c r="M252" s="693"/>
      <c r="N252" s="711"/>
      <c r="O252" s="735"/>
      <c r="P252" s="812"/>
      <c r="Q252" s="743"/>
      <c r="R252" s="690"/>
      <c r="S252" s="830"/>
      <c r="T252" s="816"/>
      <c r="U252" s="735"/>
      <c r="V252" s="46"/>
      <c r="W252" s="280"/>
      <c r="X252" s="283"/>
      <c r="Y252" s="260"/>
      <c r="Z252" s="38">
        <v>262</v>
      </c>
      <c r="AA252" s="122" t="s">
        <v>854</v>
      </c>
      <c r="AB252" s="275">
        <v>656418</v>
      </c>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row>
    <row r="253" spans="1:133" s="50" customFormat="1" ht="15" x14ac:dyDescent="0.25">
      <c r="A253" s="693"/>
      <c r="B253" s="690"/>
      <c r="C253" s="690"/>
      <c r="D253" s="693"/>
      <c r="E253" s="690"/>
      <c r="F253" s="711"/>
      <c r="G253" s="735"/>
      <c r="H253" s="693"/>
      <c r="I253" s="693"/>
      <c r="J253" s="711"/>
      <c r="K253" s="693"/>
      <c r="L253" s="693"/>
      <c r="M253" s="693"/>
      <c r="N253" s="711"/>
      <c r="O253" s="735"/>
      <c r="P253" s="812"/>
      <c r="Q253" s="743"/>
      <c r="R253" s="690"/>
      <c r="S253" s="830"/>
      <c r="T253" s="816"/>
      <c r="U253" s="735"/>
      <c r="V253" s="46"/>
      <c r="W253" s="280"/>
      <c r="X253" s="283"/>
      <c r="Y253" s="260"/>
      <c r="Z253" s="38">
        <v>263</v>
      </c>
      <c r="AA253" s="122" t="s">
        <v>854</v>
      </c>
      <c r="AB253" s="275">
        <v>925015</v>
      </c>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row>
    <row r="254" spans="1:133" s="50" customFormat="1" ht="15" x14ac:dyDescent="0.25">
      <c r="A254" s="693"/>
      <c r="B254" s="690"/>
      <c r="C254" s="690"/>
      <c r="D254" s="693"/>
      <c r="E254" s="690"/>
      <c r="F254" s="711"/>
      <c r="G254" s="735"/>
      <c r="H254" s="693"/>
      <c r="I254" s="693"/>
      <c r="J254" s="711"/>
      <c r="K254" s="693"/>
      <c r="L254" s="693"/>
      <c r="M254" s="693"/>
      <c r="N254" s="711"/>
      <c r="O254" s="735"/>
      <c r="P254" s="812"/>
      <c r="Q254" s="743"/>
      <c r="R254" s="690"/>
      <c r="S254" s="830"/>
      <c r="T254" s="816"/>
      <c r="U254" s="735"/>
      <c r="V254" s="46"/>
      <c r="W254" s="280"/>
      <c r="X254" s="283"/>
      <c r="Y254" s="260"/>
      <c r="Z254" s="38">
        <v>264</v>
      </c>
      <c r="AA254" s="122" t="s">
        <v>854</v>
      </c>
      <c r="AB254" s="275">
        <v>925015</v>
      </c>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row>
    <row r="255" spans="1:133" s="50" customFormat="1" ht="15" x14ac:dyDescent="0.25">
      <c r="A255" s="693"/>
      <c r="B255" s="690"/>
      <c r="C255" s="690"/>
      <c r="D255" s="693"/>
      <c r="E255" s="690"/>
      <c r="F255" s="711"/>
      <c r="G255" s="735"/>
      <c r="H255" s="693"/>
      <c r="I255" s="693"/>
      <c r="J255" s="711"/>
      <c r="K255" s="693"/>
      <c r="L255" s="693"/>
      <c r="M255" s="693"/>
      <c r="N255" s="711"/>
      <c r="O255" s="735"/>
      <c r="P255" s="812"/>
      <c r="Q255" s="743"/>
      <c r="R255" s="690"/>
      <c r="S255" s="830"/>
      <c r="T255" s="816"/>
      <c r="U255" s="735"/>
      <c r="V255" s="46"/>
      <c r="W255" s="280"/>
      <c r="X255" s="283"/>
      <c r="Y255" s="260"/>
      <c r="Z255" s="38">
        <v>265</v>
      </c>
      <c r="AA255" s="122" t="s">
        <v>854</v>
      </c>
      <c r="AB255" s="275">
        <v>273424</v>
      </c>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row>
    <row r="256" spans="1:133" s="50" customFormat="1" ht="15" x14ac:dyDescent="0.25">
      <c r="A256" s="693"/>
      <c r="B256" s="690"/>
      <c r="C256" s="690"/>
      <c r="D256" s="693"/>
      <c r="E256" s="690"/>
      <c r="F256" s="711"/>
      <c r="G256" s="735"/>
      <c r="H256" s="693"/>
      <c r="I256" s="693"/>
      <c r="J256" s="711"/>
      <c r="K256" s="693"/>
      <c r="L256" s="693"/>
      <c r="M256" s="693"/>
      <c r="N256" s="711"/>
      <c r="O256" s="735"/>
      <c r="P256" s="812"/>
      <c r="Q256" s="743"/>
      <c r="R256" s="690"/>
      <c r="S256" s="830"/>
      <c r="T256" s="816"/>
      <c r="U256" s="735"/>
      <c r="V256" s="46"/>
      <c r="W256" s="280"/>
      <c r="X256" s="283"/>
      <c r="Y256" s="260"/>
      <c r="Z256" s="38">
        <v>266</v>
      </c>
      <c r="AA256" s="122" t="s">
        <v>854</v>
      </c>
      <c r="AB256" s="275">
        <v>268171</v>
      </c>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row>
    <row r="257" spans="1:133" s="50" customFormat="1" ht="15" x14ac:dyDescent="0.25">
      <c r="A257" s="693"/>
      <c r="B257" s="690"/>
      <c r="C257" s="690"/>
      <c r="D257" s="693"/>
      <c r="E257" s="690"/>
      <c r="F257" s="711"/>
      <c r="G257" s="735"/>
      <c r="H257" s="693"/>
      <c r="I257" s="693"/>
      <c r="J257" s="711"/>
      <c r="K257" s="693"/>
      <c r="L257" s="693"/>
      <c r="M257" s="693"/>
      <c r="N257" s="711"/>
      <c r="O257" s="735"/>
      <c r="P257" s="812"/>
      <c r="Q257" s="743"/>
      <c r="R257" s="690"/>
      <c r="S257" s="830"/>
      <c r="T257" s="816"/>
      <c r="U257" s="735"/>
      <c r="V257" s="46"/>
      <c r="W257" s="280"/>
      <c r="X257" s="283"/>
      <c r="Y257" s="260"/>
      <c r="Z257" s="38">
        <v>269</v>
      </c>
      <c r="AA257" s="122" t="s">
        <v>854</v>
      </c>
      <c r="AB257" s="275">
        <v>453810</v>
      </c>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row>
    <row r="258" spans="1:133" s="50" customFormat="1" ht="15" x14ac:dyDescent="0.25">
      <c r="A258" s="693"/>
      <c r="B258" s="690"/>
      <c r="C258" s="690"/>
      <c r="D258" s="693"/>
      <c r="E258" s="690"/>
      <c r="F258" s="711"/>
      <c r="G258" s="735"/>
      <c r="H258" s="693"/>
      <c r="I258" s="693"/>
      <c r="J258" s="711"/>
      <c r="K258" s="693"/>
      <c r="L258" s="693"/>
      <c r="M258" s="693"/>
      <c r="N258" s="711"/>
      <c r="O258" s="735"/>
      <c r="P258" s="812"/>
      <c r="Q258" s="743"/>
      <c r="R258" s="690"/>
      <c r="S258" s="830"/>
      <c r="T258" s="816"/>
      <c r="U258" s="735"/>
      <c r="V258" s="46"/>
      <c r="W258" s="280"/>
      <c r="X258" s="283"/>
      <c r="Y258" s="260"/>
      <c r="Z258" s="38">
        <v>270</v>
      </c>
      <c r="AA258" s="122" t="s">
        <v>854</v>
      </c>
      <c r="AB258" s="275">
        <v>528390</v>
      </c>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row>
    <row r="259" spans="1:133" s="50" customFormat="1" ht="15" x14ac:dyDescent="0.25">
      <c r="A259" s="693"/>
      <c r="B259" s="690"/>
      <c r="C259" s="690"/>
      <c r="D259" s="693"/>
      <c r="E259" s="690"/>
      <c r="F259" s="711"/>
      <c r="G259" s="735"/>
      <c r="H259" s="693"/>
      <c r="I259" s="693"/>
      <c r="J259" s="711"/>
      <c r="K259" s="693"/>
      <c r="L259" s="693"/>
      <c r="M259" s="693"/>
      <c r="N259" s="711"/>
      <c r="O259" s="735"/>
      <c r="P259" s="812"/>
      <c r="Q259" s="743"/>
      <c r="R259" s="690"/>
      <c r="S259" s="830"/>
      <c r="T259" s="816"/>
      <c r="U259" s="735"/>
      <c r="V259" s="46"/>
      <c r="W259" s="280"/>
      <c r="X259" s="283"/>
      <c r="Y259" s="260"/>
      <c r="Z259" s="38">
        <v>465</v>
      </c>
      <c r="AA259" s="122" t="s">
        <v>2871</v>
      </c>
      <c r="AB259" s="275">
        <v>374397</v>
      </c>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row>
    <row r="260" spans="1:133" s="50" customFormat="1" ht="15" x14ac:dyDescent="0.25">
      <c r="A260" s="693"/>
      <c r="B260" s="690"/>
      <c r="C260" s="690"/>
      <c r="D260" s="693"/>
      <c r="E260" s="690"/>
      <c r="F260" s="711"/>
      <c r="G260" s="735"/>
      <c r="H260" s="693"/>
      <c r="I260" s="693"/>
      <c r="J260" s="711"/>
      <c r="K260" s="693"/>
      <c r="L260" s="693"/>
      <c r="M260" s="693"/>
      <c r="N260" s="711"/>
      <c r="O260" s="735"/>
      <c r="P260" s="812"/>
      <c r="Q260" s="743"/>
      <c r="R260" s="690"/>
      <c r="S260" s="830"/>
      <c r="T260" s="816"/>
      <c r="U260" s="735"/>
      <c r="V260" s="46"/>
      <c r="W260" s="280"/>
      <c r="X260" s="283"/>
      <c r="Y260" s="260"/>
      <c r="Z260" s="38">
        <v>557</v>
      </c>
      <c r="AA260" s="122" t="s">
        <v>2872</v>
      </c>
      <c r="AB260" s="275">
        <v>450938</v>
      </c>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row>
    <row r="261" spans="1:133" s="50" customFormat="1" ht="15" x14ac:dyDescent="0.25">
      <c r="A261" s="693"/>
      <c r="B261" s="690"/>
      <c r="C261" s="690"/>
      <c r="D261" s="693"/>
      <c r="E261" s="690"/>
      <c r="F261" s="711"/>
      <c r="G261" s="735"/>
      <c r="H261" s="693"/>
      <c r="I261" s="693"/>
      <c r="J261" s="711"/>
      <c r="K261" s="693"/>
      <c r="L261" s="693"/>
      <c r="M261" s="693"/>
      <c r="N261" s="711"/>
      <c r="O261" s="735"/>
      <c r="P261" s="812"/>
      <c r="Q261" s="743"/>
      <c r="R261" s="690"/>
      <c r="S261" s="830"/>
      <c r="T261" s="816"/>
      <c r="U261" s="735"/>
      <c r="V261" s="46"/>
      <c r="W261" s="280"/>
      <c r="X261" s="283"/>
      <c r="Y261" s="260"/>
      <c r="Z261" s="38">
        <v>569</v>
      </c>
      <c r="AA261" s="122" t="s">
        <v>858</v>
      </c>
      <c r="AB261" s="275">
        <v>413599</v>
      </c>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row>
    <row r="262" spans="1:133" s="50" customFormat="1" ht="15" x14ac:dyDescent="0.25">
      <c r="A262" s="693"/>
      <c r="B262" s="690"/>
      <c r="C262" s="690"/>
      <c r="D262" s="693"/>
      <c r="E262" s="690"/>
      <c r="F262" s="711"/>
      <c r="G262" s="735"/>
      <c r="H262" s="693"/>
      <c r="I262" s="693"/>
      <c r="J262" s="711"/>
      <c r="K262" s="693"/>
      <c r="L262" s="693"/>
      <c r="M262" s="693"/>
      <c r="N262" s="711"/>
      <c r="O262" s="735"/>
      <c r="P262" s="812"/>
      <c r="Q262" s="743"/>
      <c r="R262" s="690"/>
      <c r="S262" s="830"/>
      <c r="T262" s="816"/>
      <c r="U262" s="735"/>
      <c r="V262" s="46"/>
      <c r="W262" s="280"/>
      <c r="X262" s="283"/>
      <c r="Y262" s="260"/>
      <c r="Z262" s="38">
        <v>1001</v>
      </c>
      <c r="AA262" s="122" t="s">
        <v>856</v>
      </c>
      <c r="AB262" s="275">
        <v>413599</v>
      </c>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row>
    <row r="263" spans="1:133" s="50" customFormat="1" ht="15" x14ac:dyDescent="0.25">
      <c r="A263" s="693"/>
      <c r="B263" s="690"/>
      <c r="C263" s="690"/>
      <c r="D263" s="693"/>
      <c r="E263" s="690"/>
      <c r="F263" s="711"/>
      <c r="G263" s="735"/>
      <c r="H263" s="693"/>
      <c r="I263" s="693"/>
      <c r="J263" s="711"/>
      <c r="K263" s="693"/>
      <c r="L263" s="693"/>
      <c r="M263" s="693"/>
      <c r="N263" s="711"/>
      <c r="O263" s="735"/>
      <c r="P263" s="812"/>
      <c r="Q263" s="743"/>
      <c r="R263" s="690"/>
      <c r="S263" s="830"/>
      <c r="T263" s="816"/>
      <c r="U263" s="735"/>
      <c r="V263" s="46"/>
      <c r="W263" s="280"/>
      <c r="X263" s="283"/>
      <c r="Y263" s="260"/>
      <c r="Z263" s="38">
        <v>1050</v>
      </c>
      <c r="AA263" s="122" t="s">
        <v>856</v>
      </c>
      <c r="AB263" s="275">
        <v>117761</v>
      </c>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row>
    <row r="264" spans="1:133" s="50" customFormat="1" ht="15" x14ac:dyDescent="0.25">
      <c r="A264" s="693"/>
      <c r="B264" s="690"/>
      <c r="C264" s="690"/>
      <c r="D264" s="693"/>
      <c r="E264" s="690"/>
      <c r="F264" s="711"/>
      <c r="G264" s="735"/>
      <c r="H264" s="693"/>
      <c r="I264" s="693"/>
      <c r="J264" s="711"/>
      <c r="K264" s="693"/>
      <c r="L264" s="693"/>
      <c r="M264" s="693"/>
      <c r="N264" s="711"/>
      <c r="O264" s="735"/>
      <c r="P264" s="812"/>
      <c r="Q264" s="743"/>
      <c r="R264" s="691"/>
      <c r="S264" s="831"/>
      <c r="T264" s="817"/>
      <c r="U264" s="729"/>
      <c r="V264" s="46"/>
      <c r="W264" s="280"/>
      <c r="X264" s="283"/>
      <c r="Y264" s="260"/>
      <c r="Z264" s="250">
        <v>1051</v>
      </c>
      <c r="AA264" s="122" t="s">
        <v>856</v>
      </c>
      <c r="AB264" s="275">
        <v>248074</v>
      </c>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row>
    <row r="265" spans="1:133" s="50" customFormat="1" ht="15" x14ac:dyDescent="0.25">
      <c r="A265" s="693"/>
      <c r="B265" s="690"/>
      <c r="C265" s="690"/>
      <c r="D265" s="693"/>
      <c r="E265" s="690"/>
      <c r="F265" s="711"/>
      <c r="G265" s="735"/>
      <c r="H265" s="693"/>
      <c r="I265" s="693"/>
      <c r="J265" s="711"/>
      <c r="K265" s="693"/>
      <c r="L265" s="693"/>
      <c r="M265" s="693"/>
      <c r="N265" s="711"/>
      <c r="O265" s="735"/>
      <c r="P265" s="812"/>
      <c r="Q265" s="743"/>
      <c r="R265" s="395"/>
      <c r="S265" s="435"/>
      <c r="T265" s="403"/>
      <c r="U265" s="399"/>
      <c r="V265" s="46"/>
      <c r="W265" s="280"/>
      <c r="X265" s="283"/>
      <c r="Y265" s="260"/>
      <c r="Z265" s="404">
        <v>1052</v>
      </c>
      <c r="AA265" s="273" t="s">
        <v>856</v>
      </c>
      <c r="AB265" s="275">
        <v>393493</v>
      </c>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row>
    <row r="266" spans="1:133" s="50" customFormat="1" ht="15" x14ac:dyDescent="0.25">
      <c r="A266" s="693"/>
      <c r="B266" s="690"/>
      <c r="C266" s="690"/>
      <c r="D266" s="693"/>
      <c r="E266" s="690"/>
      <c r="F266" s="711"/>
      <c r="G266" s="735"/>
      <c r="H266" s="693"/>
      <c r="I266" s="693"/>
      <c r="J266" s="711"/>
      <c r="K266" s="693"/>
      <c r="L266" s="693"/>
      <c r="M266" s="693"/>
      <c r="N266" s="711"/>
      <c r="O266" s="735"/>
      <c r="P266" s="812"/>
      <c r="Q266" s="743"/>
      <c r="R266" s="80" t="s">
        <v>1473</v>
      </c>
      <c r="S266" s="457" t="s">
        <v>1474</v>
      </c>
      <c r="T266" s="80" t="s">
        <v>1475</v>
      </c>
      <c r="U266" s="274">
        <v>14079935</v>
      </c>
      <c r="V266" s="46"/>
      <c r="W266" s="137">
        <v>771</v>
      </c>
      <c r="X266" s="284">
        <v>44742</v>
      </c>
      <c r="Y266" s="274">
        <v>14079935</v>
      </c>
      <c r="Z266" s="38">
        <v>3389</v>
      </c>
      <c r="AA266" s="122" t="s">
        <v>2873</v>
      </c>
      <c r="AB266" s="275">
        <v>482532</v>
      </c>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row>
    <row r="267" spans="1:133" s="50" customFormat="1" ht="15" x14ac:dyDescent="0.25">
      <c r="A267" s="693"/>
      <c r="B267" s="690"/>
      <c r="C267" s="690"/>
      <c r="D267" s="693"/>
      <c r="E267" s="690"/>
      <c r="F267" s="711"/>
      <c r="G267" s="735"/>
      <c r="H267" s="693"/>
      <c r="I267" s="693"/>
      <c r="J267" s="711"/>
      <c r="K267" s="693"/>
      <c r="L267" s="693"/>
      <c r="M267" s="693"/>
      <c r="N267" s="711"/>
      <c r="O267" s="735"/>
      <c r="P267" s="812"/>
      <c r="Q267" s="743"/>
      <c r="R267" s="80"/>
      <c r="S267" s="148"/>
      <c r="T267" s="80"/>
      <c r="U267" s="274"/>
      <c r="V267" s="46"/>
      <c r="W267" s="137"/>
      <c r="X267" s="284"/>
      <c r="Y267" s="274"/>
      <c r="Z267" s="404">
        <v>3391</v>
      </c>
      <c r="AA267" s="273" t="s">
        <v>2873</v>
      </c>
      <c r="AB267" s="275">
        <v>482532</v>
      </c>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row>
    <row r="268" spans="1:133" s="50" customFormat="1" ht="15" x14ac:dyDescent="0.25">
      <c r="A268" s="693"/>
      <c r="B268" s="690"/>
      <c r="C268" s="690"/>
      <c r="D268" s="693"/>
      <c r="E268" s="690"/>
      <c r="F268" s="711"/>
      <c r="G268" s="735"/>
      <c r="H268" s="693"/>
      <c r="I268" s="693"/>
      <c r="J268" s="711"/>
      <c r="K268" s="693"/>
      <c r="L268" s="693"/>
      <c r="M268" s="693"/>
      <c r="N268" s="711"/>
      <c r="O268" s="735"/>
      <c r="P268" s="812"/>
      <c r="Q268" s="743"/>
      <c r="R268" s="80"/>
      <c r="S268" s="148"/>
      <c r="T268" s="80"/>
      <c r="U268" s="274"/>
      <c r="V268" s="46"/>
      <c r="W268" s="137"/>
      <c r="X268" s="284"/>
      <c r="Y268" s="274"/>
      <c r="Z268" s="404">
        <v>3392</v>
      </c>
      <c r="AA268" s="273" t="s">
        <v>2873</v>
      </c>
      <c r="AB268" s="275">
        <v>482532</v>
      </c>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row>
    <row r="269" spans="1:133" s="50" customFormat="1" ht="15" x14ac:dyDescent="0.25">
      <c r="A269" s="693"/>
      <c r="B269" s="690"/>
      <c r="C269" s="690"/>
      <c r="D269" s="693"/>
      <c r="E269" s="690"/>
      <c r="F269" s="711"/>
      <c r="G269" s="735"/>
      <c r="H269" s="693"/>
      <c r="I269" s="693"/>
      <c r="J269" s="711"/>
      <c r="K269" s="693"/>
      <c r="L269" s="693"/>
      <c r="M269" s="693"/>
      <c r="N269" s="711"/>
      <c r="O269" s="735"/>
      <c r="P269" s="812"/>
      <c r="Q269" s="743"/>
      <c r="R269" s="80"/>
      <c r="S269" s="148"/>
      <c r="T269" s="80"/>
      <c r="U269" s="274"/>
      <c r="V269" s="46"/>
      <c r="W269" s="137"/>
      <c r="X269" s="284"/>
      <c r="Y269" s="274"/>
      <c r="Z269" s="404">
        <v>3393</v>
      </c>
      <c r="AA269" s="273" t="s">
        <v>2873</v>
      </c>
      <c r="AB269" s="275">
        <v>482532</v>
      </c>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row>
    <row r="270" spans="1:133" s="50" customFormat="1" ht="15" x14ac:dyDescent="0.25">
      <c r="A270" s="693"/>
      <c r="B270" s="690"/>
      <c r="C270" s="690"/>
      <c r="D270" s="693"/>
      <c r="E270" s="690"/>
      <c r="F270" s="711"/>
      <c r="G270" s="735"/>
      <c r="H270" s="693"/>
      <c r="I270" s="693"/>
      <c r="J270" s="711"/>
      <c r="K270" s="693"/>
      <c r="L270" s="693"/>
      <c r="M270" s="693"/>
      <c r="N270" s="711"/>
      <c r="O270" s="735"/>
      <c r="P270" s="812"/>
      <c r="Q270" s="743"/>
      <c r="R270" s="80"/>
      <c r="S270" s="148"/>
      <c r="T270" s="80"/>
      <c r="U270" s="274"/>
      <c r="V270" s="46"/>
      <c r="W270" s="137"/>
      <c r="X270" s="284"/>
      <c r="Y270" s="274"/>
      <c r="Z270" s="404">
        <v>3400</v>
      </c>
      <c r="AA270" s="273" t="s">
        <v>2873</v>
      </c>
      <c r="AB270" s="275">
        <v>1156268</v>
      </c>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row>
    <row r="271" spans="1:133" s="50" customFormat="1" ht="15" x14ac:dyDescent="0.25">
      <c r="A271" s="693"/>
      <c r="B271" s="690"/>
      <c r="C271" s="690"/>
      <c r="D271" s="693"/>
      <c r="E271" s="690"/>
      <c r="F271" s="711"/>
      <c r="G271" s="735"/>
      <c r="H271" s="693"/>
      <c r="I271" s="693"/>
      <c r="J271" s="711"/>
      <c r="K271" s="693"/>
      <c r="L271" s="693"/>
      <c r="M271" s="693"/>
      <c r="N271" s="711"/>
      <c r="O271" s="735"/>
      <c r="P271" s="812"/>
      <c r="Q271" s="743"/>
      <c r="R271" s="80"/>
      <c r="S271" s="148"/>
      <c r="T271" s="80"/>
      <c r="U271" s="274"/>
      <c r="V271" s="46"/>
      <c r="W271" s="137"/>
      <c r="X271" s="284"/>
      <c r="Y271" s="274"/>
      <c r="Z271" s="404">
        <v>3402</v>
      </c>
      <c r="AA271" s="273" t="s">
        <v>2873</v>
      </c>
      <c r="AB271" s="275">
        <v>304207</v>
      </c>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row>
    <row r="272" spans="1:133" s="50" customFormat="1" ht="15" x14ac:dyDescent="0.25">
      <c r="A272" s="693"/>
      <c r="B272" s="690"/>
      <c r="C272" s="690"/>
      <c r="D272" s="693"/>
      <c r="E272" s="690"/>
      <c r="F272" s="711"/>
      <c r="G272" s="735"/>
      <c r="H272" s="693"/>
      <c r="I272" s="693"/>
      <c r="J272" s="711"/>
      <c r="K272" s="693"/>
      <c r="L272" s="693"/>
      <c r="M272" s="693"/>
      <c r="N272" s="711"/>
      <c r="O272" s="735"/>
      <c r="P272" s="812"/>
      <c r="Q272" s="743"/>
      <c r="R272" s="80"/>
      <c r="S272" s="148"/>
      <c r="T272" s="80"/>
      <c r="U272" s="274"/>
      <c r="V272" s="46"/>
      <c r="W272" s="137"/>
      <c r="X272" s="284"/>
      <c r="Y272" s="274"/>
      <c r="Z272" s="404">
        <v>3403</v>
      </c>
      <c r="AA272" s="273" t="s">
        <v>2873</v>
      </c>
      <c r="AB272" s="275">
        <v>541277</v>
      </c>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row>
    <row r="273" spans="1:133" s="50" customFormat="1" ht="15" x14ac:dyDescent="0.25">
      <c r="A273" s="693"/>
      <c r="B273" s="690"/>
      <c r="C273" s="690"/>
      <c r="D273" s="693"/>
      <c r="E273" s="690"/>
      <c r="F273" s="711"/>
      <c r="G273" s="735"/>
      <c r="H273" s="693"/>
      <c r="I273" s="693"/>
      <c r="J273" s="711"/>
      <c r="K273" s="693"/>
      <c r="L273" s="693"/>
      <c r="M273" s="693"/>
      <c r="N273" s="711"/>
      <c r="O273" s="735"/>
      <c r="P273" s="812"/>
      <c r="Q273" s="743"/>
      <c r="R273" s="80"/>
      <c r="S273" s="148"/>
      <c r="T273" s="80"/>
      <c r="U273" s="274"/>
      <c r="V273" s="46"/>
      <c r="W273" s="137"/>
      <c r="X273" s="284"/>
      <c r="Y273" s="274"/>
      <c r="Z273" s="404">
        <v>3404</v>
      </c>
      <c r="AA273" s="273" t="s">
        <v>2873</v>
      </c>
      <c r="AB273" s="275">
        <v>370517</v>
      </c>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row>
    <row r="274" spans="1:133" s="50" customFormat="1" ht="15" x14ac:dyDescent="0.25">
      <c r="A274" s="693"/>
      <c r="B274" s="690"/>
      <c r="C274" s="690"/>
      <c r="D274" s="693"/>
      <c r="E274" s="690"/>
      <c r="F274" s="711"/>
      <c r="G274" s="735"/>
      <c r="H274" s="693"/>
      <c r="I274" s="693"/>
      <c r="J274" s="711"/>
      <c r="K274" s="693"/>
      <c r="L274" s="693"/>
      <c r="M274" s="693"/>
      <c r="N274" s="711"/>
      <c r="O274" s="735"/>
      <c r="P274" s="812"/>
      <c r="Q274" s="743"/>
      <c r="R274" s="80"/>
      <c r="S274" s="148"/>
      <c r="T274" s="80"/>
      <c r="U274" s="274"/>
      <c r="V274" s="46"/>
      <c r="W274" s="137"/>
      <c r="X274" s="284"/>
      <c r="Y274" s="274"/>
      <c r="Z274" s="404">
        <v>3405</v>
      </c>
      <c r="AA274" s="273" t="s">
        <v>2873</v>
      </c>
      <c r="AB274" s="275">
        <v>482532</v>
      </c>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row>
    <row r="275" spans="1:133" s="50" customFormat="1" ht="15" x14ac:dyDescent="0.25">
      <c r="A275" s="693"/>
      <c r="B275" s="690"/>
      <c r="C275" s="690"/>
      <c r="D275" s="693"/>
      <c r="E275" s="690"/>
      <c r="F275" s="711"/>
      <c r="G275" s="735"/>
      <c r="H275" s="693"/>
      <c r="I275" s="693"/>
      <c r="J275" s="711"/>
      <c r="K275" s="693"/>
      <c r="L275" s="693"/>
      <c r="M275" s="693"/>
      <c r="N275" s="711"/>
      <c r="O275" s="735"/>
      <c r="P275" s="812"/>
      <c r="Q275" s="743"/>
      <c r="R275" s="80"/>
      <c r="S275" s="148"/>
      <c r="T275" s="80"/>
      <c r="U275" s="274"/>
      <c r="V275" s="46"/>
      <c r="W275" s="137"/>
      <c r="X275" s="284"/>
      <c r="Y275" s="274"/>
      <c r="Z275" s="404">
        <v>3406</v>
      </c>
      <c r="AA275" s="273" t="s">
        <v>2873</v>
      </c>
      <c r="AB275" s="275">
        <v>588804</v>
      </c>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row>
    <row r="276" spans="1:133" s="50" customFormat="1" ht="15" x14ac:dyDescent="0.25">
      <c r="A276" s="693"/>
      <c r="B276" s="690"/>
      <c r="C276" s="690"/>
      <c r="D276" s="693"/>
      <c r="E276" s="690"/>
      <c r="F276" s="711"/>
      <c r="G276" s="735"/>
      <c r="H276" s="693"/>
      <c r="I276" s="693"/>
      <c r="J276" s="711"/>
      <c r="K276" s="693"/>
      <c r="L276" s="693"/>
      <c r="M276" s="693"/>
      <c r="N276" s="711"/>
      <c r="O276" s="735"/>
      <c r="P276" s="812"/>
      <c r="Q276" s="743"/>
      <c r="R276" s="80"/>
      <c r="S276" s="148"/>
      <c r="T276" s="80"/>
      <c r="U276" s="274"/>
      <c r="V276" s="46"/>
      <c r="W276" s="137"/>
      <c r="X276" s="284"/>
      <c r="Y276" s="274"/>
      <c r="Z276" s="404">
        <v>3407</v>
      </c>
      <c r="AA276" s="273" t="s">
        <v>2873</v>
      </c>
      <c r="AB276" s="275">
        <v>482532</v>
      </c>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row>
    <row r="277" spans="1:133" s="50" customFormat="1" ht="15" x14ac:dyDescent="0.25">
      <c r="A277" s="693"/>
      <c r="B277" s="690"/>
      <c r="C277" s="690"/>
      <c r="D277" s="693"/>
      <c r="E277" s="690"/>
      <c r="F277" s="711"/>
      <c r="G277" s="735"/>
      <c r="H277" s="693"/>
      <c r="I277" s="693"/>
      <c r="J277" s="711"/>
      <c r="K277" s="693"/>
      <c r="L277" s="693"/>
      <c r="M277" s="693"/>
      <c r="N277" s="711"/>
      <c r="O277" s="735"/>
      <c r="P277" s="812"/>
      <c r="Q277" s="743"/>
      <c r="R277" s="80"/>
      <c r="S277" s="148"/>
      <c r="T277" s="80"/>
      <c r="U277" s="274"/>
      <c r="V277" s="46"/>
      <c r="W277" s="137"/>
      <c r="X277" s="284"/>
      <c r="Y277" s="274"/>
      <c r="Z277" s="404">
        <v>3408</v>
      </c>
      <c r="AA277" s="273" t="s">
        <v>2873</v>
      </c>
      <c r="AB277" s="275">
        <v>244138</v>
      </c>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row>
    <row r="278" spans="1:133" s="50" customFormat="1" ht="15" x14ac:dyDescent="0.25">
      <c r="A278" s="693"/>
      <c r="B278" s="690"/>
      <c r="C278" s="690"/>
      <c r="D278" s="693"/>
      <c r="E278" s="690"/>
      <c r="F278" s="711"/>
      <c r="G278" s="735"/>
      <c r="H278" s="693"/>
      <c r="I278" s="693"/>
      <c r="J278" s="711"/>
      <c r="K278" s="693"/>
      <c r="L278" s="693"/>
      <c r="M278" s="693"/>
      <c r="N278" s="711"/>
      <c r="O278" s="735"/>
      <c r="P278" s="812"/>
      <c r="Q278" s="743"/>
      <c r="R278" s="80"/>
      <c r="S278" s="148"/>
      <c r="T278" s="80"/>
      <c r="U278" s="274"/>
      <c r="V278" s="46"/>
      <c r="W278" s="137"/>
      <c r="X278" s="284"/>
      <c r="Y278" s="274"/>
      <c r="Z278" s="404">
        <v>3409</v>
      </c>
      <c r="AA278" s="273" t="s">
        <v>2873</v>
      </c>
      <c r="AB278" s="275">
        <v>191771</v>
      </c>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row>
    <row r="279" spans="1:133" s="50" customFormat="1" ht="15" x14ac:dyDescent="0.25">
      <c r="A279" s="693"/>
      <c r="B279" s="690"/>
      <c r="C279" s="690"/>
      <c r="D279" s="693"/>
      <c r="E279" s="690"/>
      <c r="F279" s="711"/>
      <c r="G279" s="735"/>
      <c r="H279" s="693"/>
      <c r="I279" s="693"/>
      <c r="J279" s="711"/>
      <c r="K279" s="693"/>
      <c r="L279" s="693"/>
      <c r="M279" s="693"/>
      <c r="N279" s="711"/>
      <c r="O279" s="735"/>
      <c r="P279" s="812"/>
      <c r="Q279" s="743"/>
      <c r="R279" s="80"/>
      <c r="S279" s="148"/>
      <c r="T279" s="80"/>
      <c r="U279" s="274"/>
      <c r="V279" s="46"/>
      <c r="W279" s="137"/>
      <c r="X279" s="284"/>
      <c r="Y279" s="274"/>
      <c r="Z279" s="404">
        <v>3410</v>
      </c>
      <c r="AA279" s="273" t="s">
        <v>2873</v>
      </c>
      <c r="AB279" s="275">
        <v>330305</v>
      </c>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row>
    <row r="280" spans="1:133" s="50" customFormat="1" ht="15" x14ac:dyDescent="0.25">
      <c r="A280" s="693"/>
      <c r="B280" s="690"/>
      <c r="C280" s="690"/>
      <c r="D280" s="693"/>
      <c r="E280" s="690"/>
      <c r="F280" s="711"/>
      <c r="G280" s="735"/>
      <c r="H280" s="693"/>
      <c r="I280" s="693"/>
      <c r="J280" s="711"/>
      <c r="K280" s="693"/>
      <c r="L280" s="693"/>
      <c r="M280" s="693"/>
      <c r="N280" s="711"/>
      <c r="O280" s="735"/>
      <c r="P280" s="812"/>
      <c r="Q280" s="743"/>
      <c r="R280" s="80"/>
      <c r="S280" s="148"/>
      <c r="T280" s="80"/>
      <c r="U280" s="274"/>
      <c r="V280" s="46"/>
      <c r="W280" s="137"/>
      <c r="X280" s="284"/>
      <c r="Y280" s="274"/>
      <c r="Z280" s="404">
        <v>3414</v>
      </c>
      <c r="AA280" s="273" t="s">
        <v>2873</v>
      </c>
      <c r="AB280" s="275">
        <v>214595</v>
      </c>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row>
    <row r="281" spans="1:133" s="50" customFormat="1" ht="15" x14ac:dyDescent="0.25">
      <c r="A281" s="693"/>
      <c r="B281" s="690"/>
      <c r="C281" s="690"/>
      <c r="D281" s="693"/>
      <c r="E281" s="690"/>
      <c r="F281" s="711"/>
      <c r="G281" s="735"/>
      <c r="H281" s="693"/>
      <c r="I281" s="693"/>
      <c r="J281" s="711"/>
      <c r="K281" s="693"/>
      <c r="L281" s="693"/>
      <c r="M281" s="693"/>
      <c r="N281" s="711"/>
      <c r="O281" s="735"/>
      <c r="P281" s="812"/>
      <c r="Q281" s="743"/>
      <c r="R281" s="80"/>
      <c r="S281" s="148"/>
      <c r="T281" s="80"/>
      <c r="U281" s="274"/>
      <c r="V281" s="46"/>
      <c r="W281" s="137"/>
      <c r="X281" s="284"/>
      <c r="Y281" s="274"/>
      <c r="Z281" s="404">
        <v>3415</v>
      </c>
      <c r="AA281" s="273" t="s">
        <v>2873</v>
      </c>
      <c r="AB281" s="275">
        <v>138856</v>
      </c>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row>
    <row r="282" spans="1:133" s="50" customFormat="1" ht="15" x14ac:dyDescent="0.25">
      <c r="A282" s="693"/>
      <c r="B282" s="690"/>
      <c r="C282" s="690"/>
      <c r="D282" s="693"/>
      <c r="E282" s="690"/>
      <c r="F282" s="711"/>
      <c r="G282" s="735"/>
      <c r="H282" s="693"/>
      <c r="I282" s="693"/>
      <c r="J282" s="711"/>
      <c r="K282" s="693"/>
      <c r="L282" s="693"/>
      <c r="M282" s="693"/>
      <c r="N282" s="711"/>
      <c r="O282" s="735"/>
      <c r="P282" s="812"/>
      <c r="Q282" s="743"/>
      <c r="R282" s="80"/>
      <c r="S282" s="148"/>
      <c r="T282" s="80"/>
      <c r="U282" s="274"/>
      <c r="V282" s="46"/>
      <c r="W282" s="137"/>
      <c r="X282" s="284"/>
      <c r="Y282" s="274"/>
      <c r="Z282" s="404">
        <v>3416</v>
      </c>
      <c r="AA282" s="273" t="s">
        <v>2873</v>
      </c>
      <c r="AB282" s="275">
        <v>260039</v>
      </c>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row>
    <row r="283" spans="1:133" s="50" customFormat="1" ht="15" x14ac:dyDescent="0.25">
      <c r="A283" s="693"/>
      <c r="B283" s="690"/>
      <c r="C283" s="690"/>
      <c r="D283" s="693"/>
      <c r="E283" s="690"/>
      <c r="F283" s="711"/>
      <c r="G283" s="735"/>
      <c r="H283" s="693"/>
      <c r="I283" s="693"/>
      <c r="J283" s="711"/>
      <c r="K283" s="693"/>
      <c r="L283" s="693"/>
      <c r="M283" s="693"/>
      <c r="N283" s="711"/>
      <c r="O283" s="735"/>
      <c r="P283" s="812"/>
      <c r="Q283" s="743"/>
      <c r="R283" s="80"/>
      <c r="S283" s="148"/>
      <c r="T283" s="80"/>
      <c r="U283" s="274"/>
      <c r="V283" s="46"/>
      <c r="W283" s="137"/>
      <c r="X283" s="284"/>
      <c r="Y283" s="274"/>
      <c r="Z283" s="404">
        <v>3417</v>
      </c>
      <c r="AA283" s="273" t="s">
        <v>2873</v>
      </c>
      <c r="AB283" s="275">
        <v>371205</v>
      </c>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row>
    <row r="284" spans="1:133" s="50" customFormat="1" ht="15" x14ac:dyDescent="0.25">
      <c r="A284" s="693"/>
      <c r="B284" s="690"/>
      <c r="C284" s="690"/>
      <c r="D284" s="693"/>
      <c r="E284" s="690"/>
      <c r="F284" s="711"/>
      <c r="G284" s="735"/>
      <c r="H284" s="693"/>
      <c r="I284" s="693"/>
      <c r="J284" s="711"/>
      <c r="K284" s="693"/>
      <c r="L284" s="693"/>
      <c r="M284" s="693"/>
      <c r="N284" s="711"/>
      <c r="O284" s="735"/>
      <c r="P284" s="812"/>
      <c r="Q284" s="743"/>
      <c r="R284" s="80"/>
      <c r="S284" s="148"/>
      <c r="T284" s="80"/>
      <c r="U284" s="274"/>
      <c r="V284" s="46"/>
      <c r="W284" s="137"/>
      <c r="X284" s="284"/>
      <c r="Y284" s="274"/>
      <c r="Z284" s="404">
        <v>3418</v>
      </c>
      <c r="AA284" s="273" t="s">
        <v>2873</v>
      </c>
      <c r="AB284" s="275">
        <v>371205</v>
      </c>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row>
    <row r="285" spans="1:133" s="50" customFormat="1" ht="15" x14ac:dyDescent="0.25">
      <c r="A285" s="693"/>
      <c r="B285" s="690"/>
      <c r="C285" s="690"/>
      <c r="D285" s="693"/>
      <c r="E285" s="690"/>
      <c r="F285" s="711"/>
      <c r="G285" s="735"/>
      <c r="H285" s="693"/>
      <c r="I285" s="693"/>
      <c r="J285" s="711"/>
      <c r="K285" s="693"/>
      <c r="L285" s="693"/>
      <c r="M285" s="693"/>
      <c r="N285" s="711"/>
      <c r="O285" s="735"/>
      <c r="P285" s="812"/>
      <c r="Q285" s="743"/>
      <c r="R285" s="80"/>
      <c r="S285" s="148"/>
      <c r="T285" s="80"/>
      <c r="U285" s="274"/>
      <c r="V285" s="46"/>
      <c r="W285" s="137"/>
      <c r="X285" s="284"/>
      <c r="Y285" s="274"/>
      <c r="Z285" s="404">
        <v>3419</v>
      </c>
      <c r="AA285" s="273" t="s">
        <v>2873</v>
      </c>
      <c r="AB285" s="275">
        <v>304207</v>
      </c>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row>
    <row r="286" spans="1:133" s="50" customFormat="1" ht="15" x14ac:dyDescent="0.25">
      <c r="A286" s="693"/>
      <c r="B286" s="690"/>
      <c r="C286" s="690"/>
      <c r="D286" s="693"/>
      <c r="E286" s="690"/>
      <c r="F286" s="711"/>
      <c r="G286" s="735"/>
      <c r="H286" s="693"/>
      <c r="I286" s="693"/>
      <c r="J286" s="711"/>
      <c r="K286" s="693"/>
      <c r="L286" s="693"/>
      <c r="M286" s="693"/>
      <c r="N286" s="711"/>
      <c r="O286" s="735"/>
      <c r="P286" s="812"/>
      <c r="Q286" s="743"/>
      <c r="R286" s="80"/>
      <c r="S286" s="148"/>
      <c r="T286" s="80"/>
      <c r="U286" s="274"/>
      <c r="V286" s="46"/>
      <c r="W286" s="137"/>
      <c r="X286" s="284"/>
      <c r="Y286" s="274"/>
      <c r="Z286" s="404">
        <v>3420</v>
      </c>
      <c r="AA286" s="273" t="s">
        <v>2873</v>
      </c>
      <c r="AB286" s="275">
        <v>660487</v>
      </c>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row>
    <row r="287" spans="1:133" s="50" customFormat="1" ht="15" x14ac:dyDescent="0.25">
      <c r="A287" s="693"/>
      <c r="B287" s="690"/>
      <c r="C287" s="690"/>
      <c r="D287" s="693"/>
      <c r="E287" s="690"/>
      <c r="F287" s="711"/>
      <c r="G287" s="735"/>
      <c r="H287" s="693"/>
      <c r="I287" s="693"/>
      <c r="J287" s="711"/>
      <c r="K287" s="693"/>
      <c r="L287" s="693"/>
      <c r="M287" s="693"/>
      <c r="N287" s="711"/>
      <c r="O287" s="735"/>
      <c r="P287" s="812"/>
      <c r="Q287" s="743"/>
      <c r="R287" s="80"/>
      <c r="S287" s="148"/>
      <c r="T287" s="80"/>
      <c r="U287" s="274"/>
      <c r="V287" s="46"/>
      <c r="W287" s="137"/>
      <c r="X287" s="284"/>
      <c r="Y287" s="274"/>
      <c r="Z287" s="404">
        <v>3421</v>
      </c>
      <c r="AA287" s="273" t="s">
        <v>2873</v>
      </c>
      <c r="AB287" s="275">
        <v>488862</v>
      </c>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row>
    <row r="288" spans="1:133" s="50" customFormat="1" ht="15" x14ac:dyDescent="0.25">
      <c r="A288" s="693"/>
      <c r="B288" s="690"/>
      <c r="C288" s="690"/>
      <c r="D288" s="693"/>
      <c r="E288" s="690"/>
      <c r="F288" s="711"/>
      <c r="G288" s="735"/>
      <c r="H288" s="693"/>
      <c r="I288" s="693"/>
      <c r="J288" s="711"/>
      <c r="K288" s="693"/>
      <c r="L288" s="693"/>
      <c r="M288" s="693"/>
      <c r="N288" s="711"/>
      <c r="O288" s="735"/>
      <c r="P288" s="812"/>
      <c r="Q288" s="743"/>
      <c r="R288" s="80"/>
      <c r="S288" s="148"/>
      <c r="T288" s="80"/>
      <c r="U288" s="274"/>
      <c r="V288" s="46"/>
      <c r="W288" s="137"/>
      <c r="X288" s="284"/>
      <c r="Y288" s="274"/>
      <c r="Z288" s="404">
        <v>3422</v>
      </c>
      <c r="AA288" s="273" t="s">
        <v>2873</v>
      </c>
      <c r="AB288" s="275">
        <v>870410</v>
      </c>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row>
    <row r="289" spans="1:133" s="50" customFormat="1" ht="15" x14ac:dyDescent="0.25">
      <c r="A289" s="693"/>
      <c r="B289" s="690"/>
      <c r="C289" s="690"/>
      <c r="D289" s="693"/>
      <c r="E289" s="690"/>
      <c r="F289" s="711"/>
      <c r="G289" s="735"/>
      <c r="H289" s="693"/>
      <c r="I289" s="693"/>
      <c r="J289" s="711"/>
      <c r="K289" s="693"/>
      <c r="L289" s="693"/>
      <c r="M289" s="693"/>
      <c r="N289" s="711"/>
      <c r="O289" s="735"/>
      <c r="P289" s="812"/>
      <c r="Q289" s="743"/>
      <c r="R289" s="80"/>
      <c r="S289" s="148"/>
      <c r="T289" s="80"/>
      <c r="U289" s="274"/>
      <c r="V289" s="46"/>
      <c r="W289" s="137"/>
      <c r="X289" s="284"/>
      <c r="Y289" s="274"/>
      <c r="Z289" s="404">
        <v>3521</v>
      </c>
      <c r="AA289" s="273" t="s">
        <v>2874</v>
      </c>
      <c r="AB289" s="275">
        <v>289721</v>
      </c>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row>
    <row r="290" spans="1:133" s="50" customFormat="1" ht="15" x14ac:dyDescent="0.25">
      <c r="A290" s="693"/>
      <c r="B290" s="690"/>
      <c r="C290" s="690"/>
      <c r="D290" s="693"/>
      <c r="E290" s="690"/>
      <c r="F290" s="711"/>
      <c r="G290" s="735"/>
      <c r="H290" s="693"/>
      <c r="I290" s="693"/>
      <c r="J290" s="711"/>
      <c r="K290" s="693"/>
      <c r="L290" s="693"/>
      <c r="M290" s="693"/>
      <c r="N290" s="711"/>
      <c r="O290" s="735"/>
      <c r="P290" s="812"/>
      <c r="Q290" s="743"/>
      <c r="R290" s="80"/>
      <c r="S290" s="148"/>
      <c r="T290" s="80"/>
      <c r="U290" s="274"/>
      <c r="V290" s="46"/>
      <c r="W290" s="137"/>
      <c r="X290" s="284"/>
      <c r="Y290" s="274"/>
      <c r="Z290" s="404">
        <v>3522</v>
      </c>
      <c r="AA290" s="273" t="s">
        <v>2874</v>
      </c>
      <c r="AB290" s="275">
        <v>289721</v>
      </c>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row>
    <row r="291" spans="1:133" s="50" customFormat="1" ht="15" x14ac:dyDescent="0.25">
      <c r="A291" s="693"/>
      <c r="B291" s="690"/>
      <c r="C291" s="690"/>
      <c r="D291" s="693"/>
      <c r="E291" s="690"/>
      <c r="F291" s="711"/>
      <c r="G291" s="735"/>
      <c r="H291" s="693"/>
      <c r="I291" s="693"/>
      <c r="J291" s="711"/>
      <c r="K291" s="693"/>
      <c r="L291" s="693"/>
      <c r="M291" s="693"/>
      <c r="N291" s="711"/>
      <c r="O291" s="735"/>
      <c r="P291" s="812"/>
      <c r="Q291" s="743"/>
      <c r="R291" s="80"/>
      <c r="S291" s="148"/>
      <c r="T291" s="80"/>
      <c r="U291" s="274"/>
      <c r="V291" s="46"/>
      <c r="W291" s="137"/>
      <c r="X291" s="284"/>
      <c r="Y291" s="274"/>
      <c r="Z291" s="404">
        <v>3523</v>
      </c>
      <c r="AA291" s="273" t="s">
        <v>2874</v>
      </c>
      <c r="AB291" s="275">
        <v>289721</v>
      </c>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row>
    <row r="292" spans="1:133" s="50" customFormat="1" ht="15" x14ac:dyDescent="0.25">
      <c r="A292" s="693"/>
      <c r="B292" s="690"/>
      <c r="C292" s="690"/>
      <c r="D292" s="693"/>
      <c r="E292" s="690"/>
      <c r="F292" s="711"/>
      <c r="G292" s="735"/>
      <c r="H292" s="693"/>
      <c r="I292" s="693"/>
      <c r="J292" s="711"/>
      <c r="K292" s="693"/>
      <c r="L292" s="693"/>
      <c r="M292" s="693"/>
      <c r="N292" s="711"/>
      <c r="O292" s="735"/>
      <c r="P292" s="812"/>
      <c r="Q292" s="743"/>
      <c r="R292" s="80"/>
      <c r="S292" s="148"/>
      <c r="T292" s="80"/>
      <c r="U292" s="274"/>
      <c r="V292" s="46"/>
      <c r="W292" s="137"/>
      <c r="X292" s="284"/>
      <c r="Y292" s="274"/>
      <c r="Z292" s="404">
        <v>3525</v>
      </c>
      <c r="AA292" s="273" t="s">
        <v>2875</v>
      </c>
      <c r="AB292" s="275">
        <v>220833</v>
      </c>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row>
    <row r="293" spans="1:133" s="50" customFormat="1" ht="15" x14ac:dyDescent="0.25">
      <c r="A293" s="693"/>
      <c r="B293" s="690"/>
      <c r="C293" s="690"/>
      <c r="D293" s="693"/>
      <c r="E293" s="690"/>
      <c r="F293" s="711"/>
      <c r="G293" s="735"/>
      <c r="H293" s="693"/>
      <c r="I293" s="693"/>
      <c r="J293" s="711"/>
      <c r="K293" s="693"/>
      <c r="L293" s="693"/>
      <c r="M293" s="693"/>
      <c r="N293" s="711"/>
      <c r="O293" s="735"/>
      <c r="P293" s="812"/>
      <c r="Q293" s="743"/>
      <c r="R293" s="80"/>
      <c r="S293" s="148"/>
      <c r="T293" s="80"/>
      <c r="U293" s="274"/>
      <c r="V293" s="46"/>
      <c r="W293" s="137"/>
      <c r="X293" s="284"/>
      <c r="Y293" s="274"/>
      <c r="Z293" s="404">
        <v>3875</v>
      </c>
      <c r="AA293" s="273" t="s">
        <v>2859</v>
      </c>
      <c r="AB293" s="275">
        <v>410727</v>
      </c>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row>
    <row r="294" spans="1:133" s="50" customFormat="1" ht="15" x14ac:dyDescent="0.25">
      <c r="A294" s="693"/>
      <c r="B294" s="690"/>
      <c r="C294" s="690"/>
      <c r="D294" s="693"/>
      <c r="E294" s="690"/>
      <c r="F294" s="711"/>
      <c r="G294" s="735"/>
      <c r="H294" s="693"/>
      <c r="I294" s="693"/>
      <c r="J294" s="711"/>
      <c r="K294" s="693"/>
      <c r="L294" s="693"/>
      <c r="M294" s="693"/>
      <c r="N294" s="711"/>
      <c r="O294" s="735"/>
      <c r="P294" s="812"/>
      <c r="Q294" s="743"/>
      <c r="R294" s="80"/>
      <c r="S294" s="148"/>
      <c r="T294" s="80"/>
      <c r="U294" s="274"/>
      <c r="V294" s="46"/>
      <c r="W294" s="137"/>
      <c r="X294" s="284"/>
      <c r="Y294" s="274"/>
      <c r="Z294" s="404">
        <v>3891</v>
      </c>
      <c r="AA294" s="273" t="s">
        <v>2859</v>
      </c>
      <c r="AB294" s="275">
        <v>410727</v>
      </c>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row>
    <row r="295" spans="1:133" s="50" customFormat="1" ht="15" x14ac:dyDescent="0.25">
      <c r="A295" s="693"/>
      <c r="B295" s="690"/>
      <c r="C295" s="690"/>
      <c r="D295" s="693"/>
      <c r="E295" s="690"/>
      <c r="F295" s="711"/>
      <c r="G295" s="735"/>
      <c r="H295" s="693"/>
      <c r="I295" s="693"/>
      <c r="J295" s="711"/>
      <c r="K295" s="693"/>
      <c r="L295" s="693"/>
      <c r="M295" s="693"/>
      <c r="N295" s="711"/>
      <c r="O295" s="735"/>
      <c r="P295" s="812"/>
      <c r="Q295" s="743"/>
      <c r="R295" s="80"/>
      <c r="S295" s="148"/>
      <c r="T295" s="80"/>
      <c r="U295" s="274"/>
      <c r="V295" s="46"/>
      <c r="W295" s="137"/>
      <c r="X295" s="284"/>
      <c r="Y295" s="274"/>
      <c r="Z295" s="404">
        <v>4864</v>
      </c>
      <c r="AA295" s="273" t="s">
        <v>2821</v>
      </c>
      <c r="AB295" s="275">
        <v>368599</v>
      </c>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row>
    <row r="296" spans="1:133" s="50" customFormat="1" ht="15" x14ac:dyDescent="0.25">
      <c r="A296" s="693"/>
      <c r="B296" s="690"/>
      <c r="C296" s="690"/>
      <c r="D296" s="693"/>
      <c r="E296" s="690"/>
      <c r="F296" s="711"/>
      <c r="G296" s="735"/>
      <c r="H296" s="693"/>
      <c r="I296" s="693"/>
      <c r="J296" s="711"/>
      <c r="K296" s="693"/>
      <c r="L296" s="693"/>
      <c r="M296" s="693"/>
      <c r="N296" s="711"/>
      <c r="O296" s="735"/>
      <c r="P296" s="812"/>
      <c r="Q296" s="743"/>
      <c r="R296" s="80"/>
      <c r="S296" s="148"/>
      <c r="T296" s="80"/>
      <c r="U296" s="274"/>
      <c r="V296" s="46"/>
      <c r="W296" s="137"/>
      <c r="X296" s="284"/>
      <c r="Y296" s="274"/>
      <c r="Z296" s="404">
        <v>4970</v>
      </c>
      <c r="AA296" s="273" t="s">
        <v>2876</v>
      </c>
      <c r="AB296" s="275">
        <v>272860</v>
      </c>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row>
    <row r="297" spans="1:133" s="50" customFormat="1" ht="15" x14ac:dyDescent="0.25">
      <c r="A297" s="693"/>
      <c r="B297" s="690"/>
      <c r="C297" s="690"/>
      <c r="D297" s="693"/>
      <c r="E297" s="690"/>
      <c r="F297" s="711"/>
      <c r="G297" s="735"/>
      <c r="H297" s="693"/>
      <c r="I297" s="693"/>
      <c r="J297" s="711"/>
      <c r="K297" s="693"/>
      <c r="L297" s="693"/>
      <c r="M297" s="693"/>
      <c r="N297" s="711"/>
      <c r="O297" s="735"/>
      <c r="P297" s="812"/>
      <c r="Q297" s="743"/>
      <c r="R297" s="80"/>
      <c r="S297" s="148"/>
      <c r="T297" s="80"/>
      <c r="U297" s="274"/>
      <c r="V297" s="46"/>
      <c r="W297" s="137"/>
      <c r="X297" s="284"/>
      <c r="Y297" s="274"/>
      <c r="Z297" s="585">
        <v>4978</v>
      </c>
      <c r="AA297" s="273" t="s">
        <v>2877</v>
      </c>
      <c r="AB297" s="275">
        <v>560459</v>
      </c>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row>
    <row r="298" spans="1:133" s="50" customFormat="1" ht="15" x14ac:dyDescent="0.25">
      <c r="A298" s="693"/>
      <c r="B298" s="690"/>
      <c r="C298" s="690"/>
      <c r="D298" s="693"/>
      <c r="E298" s="690"/>
      <c r="F298" s="711"/>
      <c r="G298" s="735"/>
      <c r="H298" s="693"/>
      <c r="I298" s="693"/>
      <c r="J298" s="711"/>
      <c r="K298" s="693"/>
      <c r="L298" s="693"/>
      <c r="M298" s="693"/>
      <c r="N298" s="711"/>
      <c r="O298" s="735"/>
      <c r="P298" s="812"/>
      <c r="Q298" s="743"/>
      <c r="R298" s="80"/>
      <c r="S298" s="148"/>
      <c r="T298" s="80"/>
      <c r="U298" s="274"/>
      <c r="V298" s="46"/>
      <c r="W298" s="137"/>
      <c r="X298" s="284"/>
      <c r="Y298" s="274"/>
      <c r="Z298" s="585">
        <v>4985</v>
      </c>
      <c r="AA298" s="273" t="s">
        <v>2825</v>
      </c>
      <c r="AB298" s="275">
        <v>168400</v>
      </c>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row>
    <row r="299" spans="1:133" s="50" customFormat="1" ht="15" x14ac:dyDescent="0.25">
      <c r="A299" s="693"/>
      <c r="B299" s="690"/>
      <c r="C299" s="690"/>
      <c r="D299" s="693"/>
      <c r="E299" s="690"/>
      <c r="F299" s="711"/>
      <c r="G299" s="735"/>
      <c r="H299" s="693"/>
      <c r="I299" s="693"/>
      <c r="J299" s="711"/>
      <c r="K299" s="693"/>
      <c r="L299" s="693"/>
      <c r="M299" s="693"/>
      <c r="N299" s="711"/>
      <c r="O299" s="735"/>
      <c r="P299" s="812"/>
      <c r="Q299" s="743"/>
      <c r="R299" s="80"/>
      <c r="S299" s="148"/>
      <c r="T299" s="80"/>
      <c r="U299" s="274"/>
      <c r="V299" s="46"/>
      <c r="W299" s="137"/>
      <c r="X299" s="284"/>
      <c r="Y299" s="274"/>
      <c r="Z299" s="585">
        <v>5404</v>
      </c>
      <c r="AA299" s="273" t="s">
        <v>2786</v>
      </c>
      <c r="AB299" s="275">
        <v>180950</v>
      </c>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row>
    <row r="300" spans="1:133" s="50" customFormat="1" ht="15" x14ac:dyDescent="0.25">
      <c r="A300" s="693"/>
      <c r="B300" s="690"/>
      <c r="C300" s="690"/>
      <c r="D300" s="693"/>
      <c r="E300" s="690"/>
      <c r="F300" s="711"/>
      <c r="G300" s="735"/>
      <c r="H300" s="693"/>
      <c r="I300" s="693"/>
      <c r="J300" s="711"/>
      <c r="K300" s="693"/>
      <c r="L300" s="693"/>
      <c r="M300" s="693"/>
      <c r="N300" s="711"/>
      <c r="O300" s="735"/>
      <c r="P300" s="812"/>
      <c r="Q300" s="743"/>
      <c r="R300" s="80"/>
      <c r="S300" s="148"/>
      <c r="T300" s="80"/>
      <c r="U300" s="274"/>
      <c r="V300" s="46"/>
      <c r="W300" s="137"/>
      <c r="X300" s="284"/>
      <c r="Y300" s="274"/>
      <c r="Z300" s="585">
        <v>5553</v>
      </c>
      <c r="AA300" s="273" t="s">
        <v>2802</v>
      </c>
      <c r="AB300" s="275">
        <v>105456</v>
      </c>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row>
    <row r="301" spans="1:133" s="50" customFormat="1" ht="15" x14ac:dyDescent="0.25">
      <c r="A301" s="693"/>
      <c r="B301" s="690"/>
      <c r="C301" s="690"/>
      <c r="D301" s="693"/>
      <c r="E301" s="690"/>
      <c r="F301" s="711"/>
      <c r="G301" s="735"/>
      <c r="H301" s="693"/>
      <c r="I301" s="693"/>
      <c r="J301" s="711"/>
      <c r="K301" s="693"/>
      <c r="L301" s="693"/>
      <c r="M301" s="693"/>
      <c r="N301" s="711"/>
      <c r="O301" s="735"/>
      <c r="P301" s="812"/>
      <c r="Q301" s="743"/>
      <c r="R301" s="80"/>
      <c r="S301" s="148"/>
      <c r="T301" s="80"/>
      <c r="U301" s="274"/>
      <c r="V301" s="46"/>
      <c r="W301" s="137"/>
      <c r="X301" s="284"/>
      <c r="Y301" s="274"/>
      <c r="Z301" s="585">
        <v>5556</v>
      </c>
      <c r="AA301" s="273" t="s">
        <v>2802</v>
      </c>
      <c r="AB301" s="275">
        <v>40394</v>
      </c>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row>
    <row r="302" spans="1:133" s="50" customFormat="1" ht="15" x14ac:dyDescent="0.25">
      <c r="A302" s="693"/>
      <c r="B302" s="690"/>
      <c r="C302" s="690"/>
      <c r="D302" s="693"/>
      <c r="E302" s="690"/>
      <c r="F302" s="711"/>
      <c r="G302" s="735"/>
      <c r="H302" s="693"/>
      <c r="I302" s="693"/>
      <c r="J302" s="711"/>
      <c r="K302" s="693"/>
      <c r="L302" s="693"/>
      <c r="M302" s="693"/>
      <c r="N302" s="711"/>
      <c r="O302" s="735"/>
      <c r="P302" s="812"/>
      <c r="Q302" s="743"/>
      <c r="R302" s="80"/>
      <c r="S302" s="148"/>
      <c r="T302" s="80"/>
      <c r="U302" s="274"/>
      <c r="V302" s="46"/>
      <c r="W302" s="137"/>
      <c r="X302" s="284"/>
      <c r="Y302" s="274"/>
      <c r="Z302" s="585">
        <v>5717</v>
      </c>
      <c r="AA302" s="273" t="s">
        <v>2777</v>
      </c>
      <c r="AB302" s="275">
        <v>75610</v>
      </c>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row>
    <row r="303" spans="1:133" s="50" customFormat="1" ht="15" x14ac:dyDescent="0.25">
      <c r="A303" s="693"/>
      <c r="B303" s="690"/>
      <c r="C303" s="690"/>
      <c r="D303" s="693"/>
      <c r="E303" s="690"/>
      <c r="F303" s="711"/>
      <c r="G303" s="735"/>
      <c r="H303" s="693"/>
      <c r="I303" s="693"/>
      <c r="J303" s="711"/>
      <c r="K303" s="693"/>
      <c r="L303" s="693"/>
      <c r="M303" s="693"/>
      <c r="N303" s="711"/>
      <c r="O303" s="735"/>
      <c r="P303" s="812"/>
      <c r="Q303" s="743"/>
      <c r="R303" s="80"/>
      <c r="S303" s="148"/>
      <c r="T303" s="80"/>
      <c r="U303" s="274"/>
      <c r="V303" s="46"/>
      <c r="W303" s="137"/>
      <c r="X303" s="284"/>
      <c r="Y303" s="274"/>
      <c r="Z303" s="585">
        <v>5732</v>
      </c>
      <c r="AA303" s="273" t="s">
        <v>2787</v>
      </c>
      <c r="AB303" s="275">
        <v>93412</v>
      </c>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row>
    <row r="304" spans="1:133" s="50" customFormat="1" ht="15" x14ac:dyDescent="0.25">
      <c r="A304" s="693"/>
      <c r="B304" s="690"/>
      <c r="C304" s="690"/>
      <c r="D304" s="736" t="s">
        <v>868</v>
      </c>
      <c r="E304" s="689" t="s">
        <v>118</v>
      </c>
      <c r="F304" s="710">
        <v>100000000</v>
      </c>
      <c r="G304" s="728">
        <v>0</v>
      </c>
      <c r="H304" s="692"/>
      <c r="I304" s="692"/>
      <c r="J304" s="710">
        <f>286000000-4002187</f>
        <v>281997813</v>
      </c>
      <c r="K304" s="710">
        <v>4002187</v>
      </c>
      <c r="L304" s="692"/>
      <c r="M304" s="692"/>
      <c r="N304" s="728">
        <v>108000000</v>
      </c>
      <c r="O304" s="728">
        <v>118002187</v>
      </c>
      <c r="P304" s="810">
        <f>+F304+G304+H304+I304+J304+K304+L304+N304-O304</f>
        <v>375997813</v>
      </c>
      <c r="Q304" s="743"/>
      <c r="R304" s="78" t="s">
        <v>658</v>
      </c>
      <c r="S304" s="457" t="s">
        <v>661</v>
      </c>
      <c r="T304" s="78" t="s">
        <v>664</v>
      </c>
      <c r="U304" s="66">
        <v>10899720</v>
      </c>
      <c r="V304" s="46"/>
      <c r="W304" s="38">
        <v>267</v>
      </c>
      <c r="X304" s="122" t="s">
        <v>856</v>
      </c>
      <c r="Y304" s="66">
        <v>10899720</v>
      </c>
      <c r="Z304" s="38">
        <v>1322</v>
      </c>
      <c r="AA304" s="122" t="s">
        <v>856</v>
      </c>
      <c r="AB304" s="275">
        <v>10899720</v>
      </c>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row>
    <row r="305" spans="1:133" s="50" customFormat="1" ht="15" x14ac:dyDescent="0.25">
      <c r="A305" s="693"/>
      <c r="B305" s="690"/>
      <c r="C305" s="690"/>
      <c r="D305" s="737"/>
      <c r="E305" s="690"/>
      <c r="F305" s="711"/>
      <c r="G305" s="735"/>
      <c r="H305" s="693"/>
      <c r="I305" s="693"/>
      <c r="J305" s="711"/>
      <c r="K305" s="711"/>
      <c r="L305" s="693"/>
      <c r="M305" s="693"/>
      <c r="N305" s="735"/>
      <c r="O305" s="735"/>
      <c r="P305" s="812"/>
      <c r="Q305" s="743"/>
      <c r="R305" s="78" t="s">
        <v>659</v>
      </c>
      <c r="S305" s="457" t="s">
        <v>662</v>
      </c>
      <c r="T305" s="78" t="s">
        <v>665</v>
      </c>
      <c r="U305" s="66">
        <v>13806312</v>
      </c>
      <c r="V305" s="46"/>
      <c r="W305" s="38">
        <v>228</v>
      </c>
      <c r="X305" s="122" t="s">
        <v>859</v>
      </c>
      <c r="Y305" s="66">
        <v>13806312</v>
      </c>
      <c r="Z305" s="38">
        <v>1275</v>
      </c>
      <c r="AA305" s="122" t="s">
        <v>856</v>
      </c>
      <c r="AB305" s="275">
        <v>13806312</v>
      </c>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row>
    <row r="306" spans="1:133" s="50" customFormat="1" ht="15" x14ac:dyDescent="0.25">
      <c r="A306" s="693"/>
      <c r="B306" s="690"/>
      <c r="C306" s="690"/>
      <c r="D306" s="737"/>
      <c r="E306" s="690"/>
      <c r="F306" s="711"/>
      <c r="G306" s="735"/>
      <c r="H306" s="693"/>
      <c r="I306" s="693"/>
      <c r="J306" s="711"/>
      <c r="K306" s="711"/>
      <c r="L306" s="693"/>
      <c r="M306" s="693"/>
      <c r="N306" s="735"/>
      <c r="O306" s="735"/>
      <c r="P306" s="812"/>
      <c r="Q306" s="743"/>
      <c r="R306" s="78" t="s">
        <v>660</v>
      </c>
      <c r="S306" s="457" t="s">
        <v>663</v>
      </c>
      <c r="T306" s="78" t="s">
        <v>666</v>
      </c>
      <c r="U306" s="274">
        <v>32372645</v>
      </c>
      <c r="V306" s="46"/>
      <c r="W306" s="38">
        <v>260</v>
      </c>
      <c r="X306" s="122" t="s">
        <v>856</v>
      </c>
      <c r="Y306" s="66">
        <v>32372645</v>
      </c>
      <c r="Z306" s="38">
        <v>1309</v>
      </c>
      <c r="AA306" s="122" t="s">
        <v>856</v>
      </c>
      <c r="AB306" s="274">
        <v>32372645</v>
      </c>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row>
    <row r="307" spans="1:133" s="50" customFormat="1" ht="27" customHeight="1" x14ac:dyDescent="0.25">
      <c r="A307" s="693"/>
      <c r="B307" s="690"/>
      <c r="C307" s="690"/>
      <c r="D307" s="737"/>
      <c r="E307" s="690"/>
      <c r="F307" s="711"/>
      <c r="G307" s="735"/>
      <c r="H307" s="693"/>
      <c r="I307" s="693"/>
      <c r="J307" s="711"/>
      <c r="K307" s="711"/>
      <c r="L307" s="693"/>
      <c r="M307" s="693"/>
      <c r="N307" s="735"/>
      <c r="O307" s="735"/>
      <c r="P307" s="812"/>
      <c r="Q307" s="743"/>
      <c r="R307" s="78" t="s">
        <v>996</v>
      </c>
      <c r="S307" s="457" t="s">
        <v>997</v>
      </c>
      <c r="T307" s="78" t="s">
        <v>998</v>
      </c>
      <c r="U307" s="289">
        <v>24891672</v>
      </c>
      <c r="V307" s="46"/>
      <c r="W307" s="38"/>
      <c r="X307" s="122"/>
      <c r="Y307" s="66"/>
      <c r="Z307" s="38"/>
      <c r="AA307" s="122"/>
      <c r="AB307" s="275"/>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row>
    <row r="308" spans="1:133" s="50" customFormat="1" ht="27" customHeight="1" x14ac:dyDescent="0.25">
      <c r="A308" s="693"/>
      <c r="B308" s="690"/>
      <c r="C308" s="690"/>
      <c r="D308" s="737"/>
      <c r="E308" s="690"/>
      <c r="F308" s="711"/>
      <c r="G308" s="735"/>
      <c r="H308" s="693"/>
      <c r="I308" s="693"/>
      <c r="J308" s="711"/>
      <c r="K308" s="711"/>
      <c r="L308" s="693"/>
      <c r="M308" s="693"/>
      <c r="N308" s="735"/>
      <c r="O308" s="735"/>
      <c r="P308" s="812"/>
      <c r="Q308" s="743"/>
      <c r="R308" s="78" t="s">
        <v>1928</v>
      </c>
      <c r="S308" s="457" t="s">
        <v>1931</v>
      </c>
      <c r="T308" s="78" t="s">
        <v>1925</v>
      </c>
      <c r="U308" s="274">
        <v>19320000</v>
      </c>
      <c r="V308" s="46"/>
      <c r="W308" s="329">
        <v>826</v>
      </c>
      <c r="X308" s="273">
        <v>44761</v>
      </c>
      <c r="Y308" s="274">
        <v>19320000</v>
      </c>
      <c r="Z308" s="329">
        <v>3580</v>
      </c>
      <c r="AA308" s="273">
        <v>44763</v>
      </c>
      <c r="AB308" s="275">
        <v>19320000</v>
      </c>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row>
    <row r="309" spans="1:133" s="50" customFormat="1" ht="27" customHeight="1" x14ac:dyDescent="0.25">
      <c r="A309" s="693"/>
      <c r="B309" s="690"/>
      <c r="C309" s="690"/>
      <c r="D309" s="737"/>
      <c r="E309" s="690"/>
      <c r="F309" s="711"/>
      <c r="G309" s="735"/>
      <c r="H309" s="693"/>
      <c r="I309" s="693"/>
      <c r="J309" s="711"/>
      <c r="K309" s="711"/>
      <c r="L309" s="693"/>
      <c r="M309" s="693"/>
      <c r="N309" s="735"/>
      <c r="O309" s="735"/>
      <c r="P309" s="812"/>
      <c r="Q309" s="743"/>
      <c r="R309" s="78" t="s">
        <v>1929</v>
      </c>
      <c r="S309" s="457" t="s">
        <v>1932</v>
      </c>
      <c r="T309" s="78" t="s">
        <v>1926</v>
      </c>
      <c r="U309" s="274">
        <v>25970000</v>
      </c>
      <c r="V309" s="46"/>
      <c r="W309" s="329">
        <v>1148</v>
      </c>
      <c r="X309" s="273">
        <v>44806</v>
      </c>
      <c r="Y309" s="274">
        <v>25970000</v>
      </c>
      <c r="Z309" s="329">
        <v>4949</v>
      </c>
      <c r="AA309" s="273" t="s">
        <v>2847</v>
      </c>
      <c r="AB309" s="275">
        <v>7420000</v>
      </c>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row>
    <row r="310" spans="1:133" s="50" customFormat="1" ht="27" customHeight="1" x14ac:dyDescent="0.25">
      <c r="A310" s="693"/>
      <c r="B310" s="690"/>
      <c r="C310" s="690"/>
      <c r="D310" s="737"/>
      <c r="E310" s="690"/>
      <c r="F310" s="711"/>
      <c r="G310" s="735"/>
      <c r="H310" s="693"/>
      <c r="I310" s="693"/>
      <c r="J310" s="711"/>
      <c r="K310" s="711"/>
      <c r="L310" s="693"/>
      <c r="M310" s="693"/>
      <c r="N310" s="735"/>
      <c r="O310" s="735"/>
      <c r="P310" s="812"/>
      <c r="Q310" s="743"/>
      <c r="R310" s="78"/>
      <c r="S310" s="148"/>
      <c r="T310" s="78"/>
      <c r="U310" s="274"/>
      <c r="V310" s="46"/>
      <c r="W310" s="404"/>
      <c r="X310" s="273"/>
      <c r="Y310" s="274"/>
      <c r="Z310" s="404">
        <v>4961</v>
      </c>
      <c r="AA310" s="273">
        <v>44818</v>
      </c>
      <c r="AB310" s="275">
        <v>18550000</v>
      </c>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row>
    <row r="311" spans="1:133" s="50" customFormat="1" ht="27" customHeight="1" x14ac:dyDescent="0.25">
      <c r="A311" s="694"/>
      <c r="B311" s="691"/>
      <c r="C311" s="691"/>
      <c r="D311" s="738"/>
      <c r="E311" s="691"/>
      <c r="F311" s="712"/>
      <c r="G311" s="729"/>
      <c r="H311" s="694"/>
      <c r="I311" s="694"/>
      <c r="J311" s="712"/>
      <c r="K311" s="712"/>
      <c r="L311" s="694"/>
      <c r="M311" s="694"/>
      <c r="N311" s="729"/>
      <c r="O311" s="729"/>
      <c r="P311" s="811"/>
      <c r="Q311" s="744"/>
      <c r="R311" s="78" t="s">
        <v>1930</v>
      </c>
      <c r="S311" s="457" t="s">
        <v>1933</v>
      </c>
      <c r="T311" s="78" t="s">
        <v>1927</v>
      </c>
      <c r="U311" s="274">
        <v>12180000</v>
      </c>
      <c r="V311" s="46"/>
      <c r="W311" s="329">
        <v>1176</v>
      </c>
      <c r="X311" s="273">
        <v>44823</v>
      </c>
      <c r="Y311" s="274">
        <v>12180000</v>
      </c>
      <c r="Z311" s="329">
        <v>5315</v>
      </c>
      <c r="AA311" s="273" t="s">
        <v>2776</v>
      </c>
      <c r="AB311" s="274">
        <v>12180000</v>
      </c>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row>
    <row r="312" spans="1:133" s="50" customFormat="1" ht="27" customHeight="1" x14ac:dyDescent="0.25">
      <c r="A312" s="410"/>
      <c r="B312" s="415"/>
      <c r="C312" s="415"/>
      <c r="D312" s="420"/>
      <c r="E312" s="415"/>
      <c r="F312" s="423"/>
      <c r="G312" s="418"/>
      <c r="H312" s="410"/>
      <c r="I312" s="85"/>
      <c r="J312" s="287"/>
      <c r="K312" s="287"/>
      <c r="L312" s="85"/>
      <c r="M312" s="85"/>
      <c r="N312" s="410"/>
      <c r="O312" s="418"/>
      <c r="P312" s="427"/>
      <c r="Q312" s="429"/>
      <c r="R312" s="78" t="s">
        <v>2688</v>
      </c>
      <c r="S312" s="457" t="s">
        <v>2689</v>
      </c>
      <c r="T312" s="78" t="s">
        <v>2690</v>
      </c>
      <c r="U312" s="274">
        <v>190000000</v>
      </c>
      <c r="V312" s="46"/>
      <c r="W312" s="443">
        <v>1547</v>
      </c>
      <c r="X312" s="273" t="s">
        <v>2789</v>
      </c>
      <c r="Y312" s="274">
        <v>190000000</v>
      </c>
      <c r="Z312" s="443">
        <v>6252</v>
      </c>
      <c r="AA312" s="273" t="s">
        <v>2832</v>
      </c>
      <c r="AB312" s="274">
        <v>190000000</v>
      </c>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row>
    <row r="313" spans="1:133" s="107" customFormat="1" ht="15" x14ac:dyDescent="0.25">
      <c r="A313" s="92"/>
      <c r="B313" s="92"/>
      <c r="C313" s="92"/>
      <c r="D313" s="92"/>
      <c r="E313" s="104"/>
      <c r="F313" s="101"/>
      <c r="G313" s="101"/>
      <c r="H313" s="92"/>
      <c r="I313" s="93"/>
      <c r="J313" s="93"/>
      <c r="K313" s="93"/>
      <c r="L313" s="93"/>
      <c r="M313" s="93"/>
      <c r="N313" s="92"/>
      <c r="O313" s="92"/>
      <c r="P313" s="102">
        <f>SUM(P8:P312)</f>
        <v>1319056859</v>
      </c>
      <c r="Q313" s="101"/>
      <c r="R313" s="105"/>
      <c r="S313" s="86"/>
      <c r="T313" s="95"/>
      <c r="U313" s="103">
        <f>SUM(U8:U312)</f>
        <v>1099738547</v>
      </c>
      <c r="V313" s="89"/>
      <c r="W313" s="86"/>
      <c r="X313" s="95"/>
      <c r="Y313" s="103">
        <f>SUM(Y8:Y312)</f>
        <v>1074846875</v>
      </c>
      <c r="Z313" s="86"/>
      <c r="AA313" s="95"/>
      <c r="AB313" s="103">
        <f>SUM(AB8:AB312)</f>
        <v>1074846875</v>
      </c>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c r="DU313" s="106"/>
      <c r="DV313" s="106"/>
      <c r="DW313" s="106"/>
      <c r="DX313" s="106"/>
      <c r="DY313" s="106"/>
      <c r="DZ313" s="106"/>
      <c r="EA313" s="106"/>
      <c r="EB313" s="106"/>
      <c r="EC313" s="106"/>
    </row>
    <row r="314" spans="1:133" s="50" customFormat="1" ht="27" customHeight="1" x14ac:dyDescent="0.25">
      <c r="A314" s="693"/>
      <c r="B314" s="690" t="s">
        <v>2766</v>
      </c>
      <c r="C314" s="690"/>
      <c r="D314" s="823" t="s">
        <v>2767</v>
      </c>
      <c r="E314" s="827" t="s">
        <v>111</v>
      </c>
      <c r="F314" s="825">
        <v>200000000</v>
      </c>
      <c r="G314" s="825"/>
      <c r="H314" s="825">
        <v>500000000</v>
      </c>
      <c r="I314" s="259"/>
      <c r="J314" s="728"/>
      <c r="K314" s="728"/>
      <c r="L314" s="825">
        <v>528307346</v>
      </c>
      <c r="M314" s="710"/>
      <c r="N314" s="728">
        <v>100000000</v>
      </c>
      <c r="O314" s="841">
        <v>131000000</v>
      </c>
      <c r="P314" s="810">
        <f>+F314+G314+H314+I314+J314+K314+L314+M314+N314-O314</f>
        <v>1197307346</v>
      </c>
      <c r="Q314" s="743"/>
      <c r="R314" s="78" t="s">
        <v>1754</v>
      </c>
      <c r="S314" s="457">
        <v>448</v>
      </c>
      <c r="T314" s="78" t="s">
        <v>1753</v>
      </c>
      <c r="U314" s="274">
        <v>2634000</v>
      </c>
      <c r="V314" s="46"/>
      <c r="W314" s="38">
        <v>960</v>
      </c>
      <c r="X314" s="122">
        <v>44777</v>
      </c>
      <c r="Y314" s="274">
        <v>2634000</v>
      </c>
      <c r="Z314" s="585">
        <v>4527</v>
      </c>
      <c r="AA314" s="273">
        <v>44792</v>
      </c>
      <c r="AB314" s="274">
        <v>2634000</v>
      </c>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c r="EB314" s="49"/>
      <c r="EC314" s="49"/>
    </row>
    <row r="315" spans="1:133" s="50" customFormat="1" ht="27" customHeight="1" x14ac:dyDescent="0.25">
      <c r="A315" s="693"/>
      <c r="B315" s="690"/>
      <c r="C315" s="690"/>
      <c r="D315" s="824"/>
      <c r="E315" s="828"/>
      <c r="F315" s="826"/>
      <c r="G315" s="826"/>
      <c r="H315" s="826"/>
      <c r="I315" s="260"/>
      <c r="J315" s="735"/>
      <c r="K315" s="735"/>
      <c r="L315" s="826"/>
      <c r="M315" s="711"/>
      <c r="N315" s="735"/>
      <c r="O315" s="842"/>
      <c r="P315" s="812"/>
      <c r="Q315" s="743"/>
      <c r="R315" s="78" t="s">
        <v>2691</v>
      </c>
      <c r="S315" s="457" t="s">
        <v>2692</v>
      </c>
      <c r="T315" s="78" t="s">
        <v>2693</v>
      </c>
      <c r="U315" s="289">
        <v>39633932</v>
      </c>
      <c r="V315" s="46"/>
      <c r="W315" s="443"/>
      <c r="X315" s="273"/>
      <c r="Y315" s="274"/>
      <c r="Z315" s="585"/>
      <c r="AA315" s="273"/>
      <c r="AB315" s="275"/>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c r="EB315" s="49"/>
      <c r="EC315" s="49"/>
    </row>
    <row r="316" spans="1:133" s="50" customFormat="1" ht="27" customHeight="1" x14ac:dyDescent="0.25">
      <c r="A316" s="693"/>
      <c r="B316" s="690"/>
      <c r="C316" s="690"/>
      <c r="D316" s="824"/>
      <c r="E316" s="828"/>
      <c r="F316" s="826"/>
      <c r="G316" s="826"/>
      <c r="H316" s="826"/>
      <c r="I316" s="260"/>
      <c r="J316" s="735"/>
      <c r="K316" s="735"/>
      <c r="L316" s="826"/>
      <c r="M316" s="711"/>
      <c r="N316" s="735"/>
      <c r="O316" s="842"/>
      <c r="P316" s="812"/>
      <c r="Q316" s="743"/>
      <c r="R316" s="78" t="s">
        <v>2694</v>
      </c>
      <c r="S316" s="457" t="s">
        <v>2695</v>
      </c>
      <c r="T316" s="78" t="s">
        <v>2696</v>
      </c>
      <c r="U316" s="274">
        <v>42864000</v>
      </c>
      <c r="V316" s="46"/>
      <c r="W316" s="443">
        <v>1362</v>
      </c>
      <c r="X316" s="273" t="s">
        <v>2774</v>
      </c>
      <c r="Y316" s="274">
        <v>42864000</v>
      </c>
      <c r="Z316" s="585">
        <v>6068</v>
      </c>
      <c r="AA316" s="273" t="s">
        <v>2809</v>
      </c>
      <c r="AB316" s="274">
        <v>42864000</v>
      </c>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row>
    <row r="317" spans="1:133" s="50" customFormat="1" ht="27" customHeight="1" x14ac:dyDescent="0.25">
      <c r="A317" s="693"/>
      <c r="B317" s="690"/>
      <c r="C317" s="690"/>
      <c r="D317" s="824"/>
      <c r="E317" s="828"/>
      <c r="F317" s="826"/>
      <c r="G317" s="826"/>
      <c r="H317" s="826"/>
      <c r="I317" s="260"/>
      <c r="J317" s="735"/>
      <c r="K317" s="735"/>
      <c r="L317" s="826"/>
      <c r="M317" s="711"/>
      <c r="N317" s="735"/>
      <c r="O317" s="842"/>
      <c r="P317" s="812"/>
      <c r="Q317" s="743"/>
      <c r="R317" s="78" t="s">
        <v>2697</v>
      </c>
      <c r="S317" s="457" t="s">
        <v>2698</v>
      </c>
      <c r="T317" s="78" t="s">
        <v>2699</v>
      </c>
      <c r="U317" s="274">
        <v>17623038</v>
      </c>
      <c r="V317" s="46"/>
      <c r="W317" s="443">
        <v>1373</v>
      </c>
      <c r="X317" s="273" t="s">
        <v>2803</v>
      </c>
      <c r="Y317" s="274">
        <v>17623038</v>
      </c>
      <c r="Z317" s="585">
        <v>5927</v>
      </c>
      <c r="AA317" s="273" t="s">
        <v>2797</v>
      </c>
      <c r="AB317" s="274">
        <v>17623038</v>
      </c>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c r="EB317" s="49"/>
      <c r="EC317" s="49"/>
    </row>
    <row r="318" spans="1:133" s="50" customFormat="1" ht="27" customHeight="1" x14ac:dyDescent="0.25">
      <c r="A318" s="693"/>
      <c r="B318" s="690"/>
      <c r="C318" s="690"/>
      <c r="D318" s="824"/>
      <c r="E318" s="828"/>
      <c r="F318" s="826"/>
      <c r="G318" s="826"/>
      <c r="H318" s="826"/>
      <c r="I318" s="260"/>
      <c r="J318" s="735"/>
      <c r="K318" s="735"/>
      <c r="L318" s="826"/>
      <c r="M318" s="711"/>
      <c r="N318" s="735"/>
      <c r="O318" s="842"/>
      <c r="P318" s="812"/>
      <c r="Q318" s="743"/>
      <c r="R318" s="78" t="s">
        <v>2700</v>
      </c>
      <c r="S318" s="457" t="s">
        <v>2701</v>
      </c>
      <c r="T318" s="78" t="s">
        <v>2702</v>
      </c>
      <c r="U318" s="274">
        <v>15174813</v>
      </c>
      <c r="V318" s="46"/>
      <c r="W318" s="443">
        <v>1396</v>
      </c>
      <c r="X318" s="273" t="s">
        <v>2787</v>
      </c>
      <c r="Y318" s="274">
        <v>15174813</v>
      </c>
      <c r="Z318" s="585">
        <v>6048</v>
      </c>
      <c r="AA318" s="273" t="s">
        <v>2789</v>
      </c>
      <c r="AB318" s="274">
        <v>15174813</v>
      </c>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c r="EB318" s="49"/>
      <c r="EC318" s="49"/>
    </row>
    <row r="319" spans="1:133" s="50" customFormat="1" ht="27" customHeight="1" x14ac:dyDescent="0.25">
      <c r="A319" s="693"/>
      <c r="B319" s="690"/>
      <c r="C319" s="690"/>
      <c r="D319" s="419"/>
      <c r="E319" s="828"/>
      <c r="F319" s="826"/>
      <c r="G319" s="826"/>
      <c r="H319" s="826"/>
      <c r="I319" s="260"/>
      <c r="J319" s="735"/>
      <c r="K319" s="735"/>
      <c r="L319" s="826"/>
      <c r="M319" s="711"/>
      <c r="N319" s="735"/>
      <c r="O319" s="842"/>
      <c r="P319" s="812"/>
      <c r="Q319" s="743"/>
      <c r="R319" s="78" t="s">
        <v>2703</v>
      </c>
      <c r="S319" s="457" t="s">
        <v>2704</v>
      </c>
      <c r="T319" s="78" t="s">
        <v>2705</v>
      </c>
      <c r="U319" s="274">
        <v>34944350</v>
      </c>
      <c r="V319" s="46"/>
      <c r="W319" s="443">
        <v>1469</v>
      </c>
      <c r="X319" s="273" t="s">
        <v>2804</v>
      </c>
      <c r="Y319" s="274">
        <v>34944350</v>
      </c>
      <c r="Z319" s="585">
        <v>6207</v>
      </c>
      <c r="AA319" s="273" t="s">
        <v>2807</v>
      </c>
      <c r="AB319" s="274">
        <v>34944350</v>
      </c>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c r="EB319" s="49"/>
      <c r="EC319" s="49"/>
    </row>
    <row r="320" spans="1:133" s="50" customFormat="1" ht="27" customHeight="1" x14ac:dyDescent="0.25">
      <c r="A320" s="693"/>
      <c r="B320" s="690"/>
      <c r="C320" s="690"/>
      <c r="D320" s="419"/>
      <c r="E320" s="828"/>
      <c r="F320" s="826"/>
      <c r="G320" s="826"/>
      <c r="H320" s="826"/>
      <c r="I320" s="260"/>
      <c r="J320" s="735"/>
      <c r="K320" s="735"/>
      <c r="L320" s="826"/>
      <c r="M320" s="711"/>
      <c r="N320" s="735"/>
      <c r="O320" s="842"/>
      <c r="P320" s="812"/>
      <c r="Q320" s="743"/>
      <c r="R320" s="78" t="s">
        <v>2706</v>
      </c>
      <c r="S320" s="457" t="s">
        <v>2707</v>
      </c>
      <c r="T320" s="78" t="s">
        <v>2705</v>
      </c>
      <c r="U320" s="274">
        <v>96720750</v>
      </c>
      <c r="V320" s="46"/>
      <c r="W320" s="443">
        <v>1470</v>
      </c>
      <c r="X320" s="273" t="s">
        <v>2805</v>
      </c>
      <c r="Y320" s="274">
        <v>96720750</v>
      </c>
      <c r="Z320" s="585">
        <v>6134</v>
      </c>
      <c r="AA320" s="273" t="s">
        <v>2799</v>
      </c>
      <c r="AB320" s="274">
        <v>96720750</v>
      </c>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c r="EB320" s="49"/>
      <c r="EC320" s="49"/>
    </row>
    <row r="321" spans="1:133" s="50" customFormat="1" ht="27" customHeight="1" x14ac:dyDescent="0.25">
      <c r="A321" s="693"/>
      <c r="B321" s="690"/>
      <c r="C321" s="690"/>
      <c r="D321" s="419"/>
      <c r="E321" s="828"/>
      <c r="F321" s="826"/>
      <c r="G321" s="826"/>
      <c r="H321" s="826"/>
      <c r="I321" s="260"/>
      <c r="J321" s="735"/>
      <c r="K321" s="735"/>
      <c r="L321" s="826"/>
      <c r="M321" s="711"/>
      <c r="N321" s="735"/>
      <c r="O321" s="842"/>
      <c r="P321" s="812"/>
      <c r="Q321" s="743"/>
      <c r="R321" s="78" t="s">
        <v>2708</v>
      </c>
      <c r="S321" s="457" t="s">
        <v>2709</v>
      </c>
      <c r="T321" s="78" t="s">
        <v>2710</v>
      </c>
      <c r="U321" s="274">
        <v>127873350</v>
      </c>
      <c r="V321" s="46"/>
      <c r="W321" s="443">
        <v>1475</v>
      </c>
      <c r="X321" s="273" t="s">
        <v>2806</v>
      </c>
      <c r="Y321" s="274">
        <v>127873350</v>
      </c>
      <c r="Z321" s="585">
        <v>6243</v>
      </c>
      <c r="AA321" s="273" t="s">
        <v>2831</v>
      </c>
      <c r="AB321" s="274">
        <v>127873350</v>
      </c>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c r="EB321" s="49"/>
      <c r="EC321" s="49"/>
    </row>
    <row r="322" spans="1:133" s="50" customFormat="1" ht="27" customHeight="1" x14ac:dyDescent="0.25">
      <c r="A322" s="693"/>
      <c r="B322" s="690"/>
      <c r="C322" s="690"/>
      <c r="D322" s="419"/>
      <c r="E322" s="828"/>
      <c r="F322" s="826"/>
      <c r="G322" s="826"/>
      <c r="H322" s="826"/>
      <c r="I322" s="260"/>
      <c r="J322" s="735"/>
      <c r="K322" s="735"/>
      <c r="L322" s="826"/>
      <c r="M322" s="711"/>
      <c r="N322" s="735"/>
      <c r="O322" s="842"/>
      <c r="P322" s="812"/>
      <c r="Q322" s="743"/>
      <c r="R322" s="78" t="s">
        <v>2711</v>
      </c>
      <c r="S322" s="154" t="s">
        <v>885</v>
      </c>
      <c r="T322" s="78" t="s">
        <v>2712</v>
      </c>
      <c r="U322" s="274"/>
      <c r="V322" s="46"/>
      <c r="W322" s="443"/>
      <c r="X322" s="273"/>
      <c r="Y322" s="274"/>
      <c r="Z322" s="585"/>
      <c r="AA322" s="273"/>
      <c r="AB322" s="275"/>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c r="EB322" s="49"/>
      <c r="EC322" s="49"/>
    </row>
    <row r="323" spans="1:133" s="50" customFormat="1" ht="27" customHeight="1" x14ac:dyDescent="0.25">
      <c r="A323" s="693"/>
      <c r="B323" s="690"/>
      <c r="C323" s="690"/>
      <c r="D323" s="419"/>
      <c r="E323" s="828"/>
      <c r="F323" s="826"/>
      <c r="G323" s="826"/>
      <c r="H323" s="826"/>
      <c r="I323" s="260"/>
      <c r="J323" s="735"/>
      <c r="K323" s="735"/>
      <c r="L323" s="826"/>
      <c r="M323" s="711"/>
      <c r="N323" s="735"/>
      <c r="O323" s="842"/>
      <c r="P323" s="812"/>
      <c r="Q323" s="743"/>
      <c r="R323" s="78" t="s">
        <v>2713</v>
      </c>
      <c r="S323" s="457" t="s">
        <v>2714</v>
      </c>
      <c r="T323" s="78" t="s">
        <v>2715</v>
      </c>
      <c r="U323" s="274">
        <v>268150276.91</v>
      </c>
      <c r="V323" s="46"/>
      <c r="W323" s="443">
        <v>1521</v>
      </c>
      <c r="X323" s="273" t="s">
        <v>2783</v>
      </c>
      <c r="Y323" s="274">
        <v>268150276.91</v>
      </c>
      <c r="Z323" s="585">
        <v>6201</v>
      </c>
      <c r="AA323" s="273" t="s">
        <v>2830</v>
      </c>
      <c r="AB323" s="274">
        <v>268150276.91</v>
      </c>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c r="EB323" s="49"/>
      <c r="EC323" s="49"/>
    </row>
    <row r="324" spans="1:133" s="50" customFormat="1" ht="27" customHeight="1" x14ac:dyDescent="0.25">
      <c r="A324" s="693"/>
      <c r="B324" s="690"/>
      <c r="C324" s="690"/>
      <c r="D324" s="419"/>
      <c r="E324" s="828"/>
      <c r="F324" s="826"/>
      <c r="G324" s="826"/>
      <c r="H324" s="826"/>
      <c r="I324" s="260"/>
      <c r="J324" s="735"/>
      <c r="K324" s="735"/>
      <c r="L324" s="826"/>
      <c r="M324" s="711"/>
      <c r="N324" s="735"/>
      <c r="O324" s="842"/>
      <c r="P324" s="812"/>
      <c r="Q324" s="743"/>
      <c r="R324" s="78" t="s">
        <v>2716</v>
      </c>
      <c r="S324" s="457" t="s">
        <v>2717</v>
      </c>
      <c r="T324" s="78" t="s">
        <v>2718</v>
      </c>
      <c r="U324" s="274">
        <v>7957103</v>
      </c>
      <c r="V324" s="46"/>
      <c r="W324" s="443">
        <v>1552</v>
      </c>
      <c r="X324" s="273" t="s">
        <v>2794</v>
      </c>
      <c r="Y324" s="274">
        <v>7957103</v>
      </c>
      <c r="Z324" s="585">
        <v>6170</v>
      </c>
      <c r="AA324" s="273" t="s">
        <v>2799</v>
      </c>
      <c r="AB324" s="274">
        <v>7957103</v>
      </c>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c r="EB324" s="49"/>
      <c r="EC324" s="49"/>
    </row>
    <row r="325" spans="1:133" s="50" customFormat="1" ht="27" customHeight="1" x14ac:dyDescent="0.25">
      <c r="A325" s="693"/>
      <c r="B325" s="690"/>
      <c r="C325" s="690"/>
      <c r="D325" s="419"/>
      <c r="E325" s="828"/>
      <c r="F325" s="826"/>
      <c r="G325" s="826"/>
      <c r="H325" s="826"/>
      <c r="I325" s="260"/>
      <c r="J325" s="735"/>
      <c r="K325" s="735"/>
      <c r="L325" s="826"/>
      <c r="M325" s="711"/>
      <c r="N325" s="735"/>
      <c r="O325" s="842"/>
      <c r="P325" s="812"/>
      <c r="Q325" s="743"/>
      <c r="R325" s="78" t="s">
        <v>2719</v>
      </c>
      <c r="S325" s="457" t="s">
        <v>2720</v>
      </c>
      <c r="T325" s="78" t="s">
        <v>2721</v>
      </c>
      <c r="U325" s="274">
        <v>8154719</v>
      </c>
      <c r="V325" s="46"/>
      <c r="W325" s="443">
        <v>1553</v>
      </c>
      <c r="X325" s="273" t="s">
        <v>2794</v>
      </c>
      <c r="Y325" s="274">
        <v>8154719</v>
      </c>
      <c r="Z325" s="585">
        <v>6160</v>
      </c>
      <c r="AA325" s="273" t="s">
        <v>2799</v>
      </c>
      <c r="AB325" s="274">
        <v>8154719</v>
      </c>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c r="EB325" s="49"/>
      <c r="EC325" s="49"/>
    </row>
    <row r="326" spans="1:133" s="50" customFormat="1" ht="27" customHeight="1" x14ac:dyDescent="0.25">
      <c r="A326" s="693"/>
      <c r="B326" s="690"/>
      <c r="C326" s="690"/>
      <c r="D326" s="419"/>
      <c r="E326" s="828"/>
      <c r="F326" s="826"/>
      <c r="G326" s="826"/>
      <c r="H326" s="826"/>
      <c r="I326" s="260"/>
      <c r="J326" s="735"/>
      <c r="K326" s="735"/>
      <c r="L326" s="826"/>
      <c r="M326" s="711"/>
      <c r="N326" s="735"/>
      <c r="O326" s="842"/>
      <c r="P326" s="812"/>
      <c r="Q326" s="743"/>
      <c r="R326" s="78" t="s">
        <v>2722</v>
      </c>
      <c r="S326" s="457" t="s">
        <v>2723</v>
      </c>
      <c r="T326" s="78" t="s">
        <v>2724</v>
      </c>
      <c r="U326" s="274">
        <v>1161500</v>
      </c>
      <c r="V326" s="46"/>
      <c r="W326" s="443">
        <v>1590</v>
      </c>
      <c r="X326" s="273" t="s">
        <v>2807</v>
      </c>
      <c r="Y326" s="274">
        <v>1161500</v>
      </c>
      <c r="Z326" s="585">
        <v>6302</v>
      </c>
      <c r="AA326" s="273" t="s">
        <v>2832</v>
      </c>
      <c r="AB326" s="274">
        <v>1161500</v>
      </c>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c r="DP326" s="49"/>
      <c r="DQ326" s="49"/>
      <c r="DR326" s="49"/>
      <c r="DS326" s="49"/>
      <c r="DT326" s="49"/>
      <c r="DU326" s="49"/>
      <c r="DV326" s="49"/>
      <c r="DW326" s="49"/>
      <c r="DX326" s="49"/>
      <c r="DY326" s="49"/>
      <c r="DZ326" s="49"/>
      <c r="EA326" s="49"/>
      <c r="EB326" s="49"/>
      <c r="EC326" s="49"/>
    </row>
    <row r="327" spans="1:133" s="50" customFormat="1" ht="27" customHeight="1" x14ac:dyDescent="0.25">
      <c r="A327" s="693"/>
      <c r="B327" s="690"/>
      <c r="C327" s="690"/>
      <c r="D327" s="524"/>
      <c r="E327" s="828"/>
      <c r="F327" s="826"/>
      <c r="G327" s="826"/>
      <c r="H327" s="826"/>
      <c r="I327" s="260"/>
      <c r="J327" s="735"/>
      <c r="K327" s="735"/>
      <c r="L327" s="826"/>
      <c r="M327" s="711"/>
      <c r="N327" s="735"/>
      <c r="O327" s="842"/>
      <c r="P327" s="812"/>
      <c r="Q327" s="743"/>
      <c r="R327" s="78" t="s">
        <v>2725</v>
      </c>
      <c r="S327" s="527" t="s">
        <v>2726</v>
      </c>
      <c r="T327" s="78" t="s">
        <v>2727</v>
      </c>
      <c r="U327" s="274">
        <v>28500</v>
      </c>
      <c r="V327" s="46"/>
      <c r="W327" s="526">
        <v>1590</v>
      </c>
      <c r="X327" s="273" t="s">
        <v>2807</v>
      </c>
      <c r="Y327" s="274">
        <v>28500</v>
      </c>
      <c r="Z327" s="585">
        <v>6302</v>
      </c>
      <c r="AA327" s="273" t="s">
        <v>2832</v>
      </c>
      <c r="AB327" s="274">
        <v>28500</v>
      </c>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c r="DP327" s="49"/>
      <c r="DQ327" s="49"/>
      <c r="DR327" s="49"/>
      <c r="DS327" s="49"/>
      <c r="DT327" s="49"/>
      <c r="DU327" s="49"/>
      <c r="DV327" s="49"/>
      <c r="DW327" s="49"/>
      <c r="DX327" s="49"/>
      <c r="DY327" s="49"/>
      <c r="DZ327" s="49"/>
      <c r="EA327" s="49"/>
      <c r="EB327" s="49"/>
      <c r="EC327" s="49"/>
    </row>
    <row r="328" spans="1:133" s="50" customFormat="1" ht="27" customHeight="1" x14ac:dyDescent="0.25">
      <c r="A328" s="693"/>
      <c r="B328" s="690"/>
      <c r="C328" s="690"/>
      <c r="D328" s="524"/>
      <c r="E328" s="828"/>
      <c r="F328" s="826"/>
      <c r="G328" s="826"/>
      <c r="H328" s="826"/>
      <c r="I328" s="260"/>
      <c r="J328" s="735"/>
      <c r="K328" s="735"/>
      <c r="L328" s="826"/>
      <c r="M328" s="711"/>
      <c r="N328" s="735"/>
      <c r="O328" s="842"/>
      <c r="P328" s="812"/>
      <c r="Q328" s="743"/>
      <c r="R328" s="78" t="s">
        <v>673</v>
      </c>
      <c r="S328" s="527" t="s">
        <v>2735</v>
      </c>
      <c r="T328" s="78" t="s">
        <v>674</v>
      </c>
      <c r="U328" s="274">
        <v>8950000</v>
      </c>
      <c r="V328" s="46"/>
      <c r="W328" s="526">
        <v>279</v>
      </c>
      <c r="X328" s="273" t="s">
        <v>856</v>
      </c>
      <c r="Y328" s="274">
        <v>8950000</v>
      </c>
      <c r="Z328" s="526">
        <v>1435</v>
      </c>
      <c r="AA328" s="273" t="s">
        <v>1044</v>
      </c>
      <c r="AB328" s="275">
        <v>8950000</v>
      </c>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c r="DP328" s="49"/>
      <c r="DQ328" s="49"/>
      <c r="DR328" s="49"/>
      <c r="DS328" s="49"/>
      <c r="DT328" s="49"/>
      <c r="DU328" s="49"/>
      <c r="DV328" s="49"/>
      <c r="DW328" s="49"/>
      <c r="DX328" s="49"/>
      <c r="DY328" s="49"/>
      <c r="DZ328" s="49"/>
      <c r="EA328" s="49"/>
      <c r="EB328" s="49"/>
      <c r="EC328" s="49"/>
    </row>
    <row r="329" spans="1:133" s="50" customFormat="1" ht="27" customHeight="1" x14ac:dyDescent="0.25">
      <c r="A329" s="693"/>
      <c r="B329" s="690"/>
      <c r="C329" s="690"/>
      <c r="D329" s="524"/>
      <c r="E329" s="828"/>
      <c r="F329" s="826"/>
      <c r="G329" s="826"/>
      <c r="H329" s="826"/>
      <c r="I329" s="260"/>
      <c r="J329" s="735"/>
      <c r="K329" s="735"/>
      <c r="L329" s="826"/>
      <c r="M329" s="711"/>
      <c r="N329" s="735"/>
      <c r="O329" s="842"/>
      <c r="P329" s="812"/>
      <c r="Q329" s="743"/>
      <c r="R329" s="78" t="s">
        <v>1000</v>
      </c>
      <c r="S329" s="527" t="s">
        <v>1001</v>
      </c>
      <c r="T329" s="78" t="s">
        <v>1002</v>
      </c>
      <c r="U329" s="274">
        <v>359403496.93000001</v>
      </c>
      <c r="V329" s="46"/>
      <c r="W329" s="526">
        <v>519</v>
      </c>
      <c r="X329" s="273">
        <v>44670</v>
      </c>
      <c r="Y329" s="274">
        <v>359403496.93000001</v>
      </c>
      <c r="Z329" s="526">
        <v>2567</v>
      </c>
      <c r="AA329" s="273">
        <v>44697</v>
      </c>
      <c r="AB329" s="275">
        <v>359403496.93000001</v>
      </c>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c r="DK329" s="49"/>
      <c r="DL329" s="49"/>
      <c r="DM329" s="49"/>
      <c r="DN329" s="49"/>
      <c r="DO329" s="49"/>
      <c r="DP329" s="49"/>
      <c r="DQ329" s="49"/>
      <c r="DR329" s="49"/>
      <c r="DS329" s="49"/>
      <c r="DT329" s="49"/>
      <c r="DU329" s="49"/>
      <c r="DV329" s="49"/>
      <c r="DW329" s="49"/>
      <c r="DX329" s="49"/>
      <c r="DY329" s="49"/>
      <c r="DZ329" s="49"/>
      <c r="EA329" s="49"/>
      <c r="EB329" s="49"/>
      <c r="EC329" s="49"/>
    </row>
    <row r="330" spans="1:133" s="50" customFormat="1" ht="27" customHeight="1" x14ac:dyDescent="0.25">
      <c r="A330" s="693"/>
      <c r="B330" s="690"/>
      <c r="C330" s="690"/>
      <c r="D330" s="524"/>
      <c r="E330" s="828"/>
      <c r="F330" s="826"/>
      <c r="G330" s="826"/>
      <c r="H330" s="826"/>
      <c r="I330" s="260"/>
      <c r="J330" s="735"/>
      <c r="K330" s="735"/>
      <c r="L330" s="826"/>
      <c r="M330" s="711"/>
      <c r="N330" s="735"/>
      <c r="O330" s="842"/>
      <c r="P330" s="812"/>
      <c r="Q330" s="743"/>
      <c r="R330" s="78" t="s">
        <v>1479</v>
      </c>
      <c r="S330" s="527" t="s">
        <v>1480</v>
      </c>
      <c r="T330" s="78" t="s">
        <v>1481</v>
      </c>
      <c r="U330" s="274">
        <v>21009138</v>
      </c>
      <c r="V330" s="46"/>
      <c r="W330" s="526">
        <v>593</v>
      </c>
      <c r="X330" s="273">
        <v>44687</v>
      </c>
      <c r="Y330" s="274">
        <v>21009138</v>
      </c>
      <c r="Z330" s="526">
        <v>3704</v>
      </c>
      <c r="AA330" s="273">
        <v>44769</v>
      </c>
      <c r="AB330" s="275">
        <v>21009138</v>
      </c>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c r="DK330" s="49"/>
      <c r="DL330" s="49"/>
      <c r="DM330" s="49"/>
      <c r="DN330" s="49"/>
      <c r="DO330" s="49"/>
      <c r="DP330" s="49"/>
      <c r="DQ330" s="49"/>
      <c r="DR330" s="49"/>
      <c r="DS330" s="49"/>
      <c r="DT330" s="49"/>
      <c r="DU330" s="49"/>
      <c r="DV330" s="49"/>
      <c r="DW330" s="49"/>
      <c r="DX330" s="49"/>
      <c r="DY330" s="49"/>
      <c r="DZ330" s="49"/>
      <c r="EA330" s="49"/>
      <c r="EB330" s="49"/>
      <c r="EC330" s="49"/>
    </row>
    <row r="331" spans="1:133" s="50" customFormat="1" ht="27" customHeight="1" x14ac:dyDescent="0.25">
      <c r="A331" s="693"/>
      <c r="B331" s="690"/>
      <c r="C331" s="690"/>
      <c r="D331" s="524"/>
      <c r="E331" s="828"/>
      <c r="F331" s="826"/>
      <c r="G331" s="826"/>
      <c r="H331" s="826"/>
      <c r="I331" s="260"/>
      <c r="J331" s="735"/>
      <c r="K331" s="735"/>
      <c r="L331" s="826"/>
      <c r="M331" s="711"/>
      <c r="N331" s="735"/>
      <c r="O331" s="842"/>
      <c r="P331" s="812"/>
      <c r="Q331" s="743"/>
      <c r="R331" s="78" t="s">
        <v>1482</v>
      </c>
      <c r="S331" s="527" t="s">
        <v>1483</v>
      </c>
      <c r="T331" s="78" t="s">
        <v>1484</v>
      </c>
      <c r="U331" s="274">
        <v>183421007</v>
      </c>
      <c r="V331" s="46"/>
      <c r="W331" s="526">
        <v>831</v>
      </c>
      <c r="X331" s="273">
        <v>44763</v>
      </c>
      <c r="Y331" s="274">
        <v>183421007</v>
      </c>
      <c r="Z331" s="526">
        <v>4883</v>
      </c>
      <c r="AA331" s="273">
        <v>44810</v>
      </c>
      <c r="AB331" s="275">
        <v>183421007</v>
      </c>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c r="DK331" s="49"/>
      <c r="DL331" s="49"/>
      <c r="DM331" s="49"/>
      <c r="DN331" s="49"/>
      <c r="DO331" s="49"/>
      <c r="DP331" s="49"/>
      <c r="DQ331" s="49"/>
      <c r="DR331" s="49"/>
      <c r="DS331" s="49"/>
      <c r="DT331" s="49"/>
      <c r="DU331" s="49"/>
      <c r="DV331" s="49"/>
      <c r="DW331" s="49"/>
      <c r="DX331" s="49"/>
      <c r="DY331" s="49"/>
      <c r="DZ331" s="49"/>
      <c r="EA331" s="49"/>
      <c r="EB331" s="49"/>
      <c r="EC331" s="49"/>
    </row>
    <row r="332" spans="1:133" s="50" customFormat="1" ht="27" customHeight="1" x14ac:dyDescent="0.25">
      <c r="A332" s="693"/>
      <c r="B332" s="690"/>
      <c r="C332" s="690"/>
      <c r="D332" s="736" t="s">
        <v>869</v>
      </c>
      <c r="E332" s="689" t="s">
        <v>165</v>
      </c>
      <c r="F332" s="710">
        <v>41401266</v>
      </c>
      <c r="G332" s="728">
        <v>0</v>
      </c>
      <c r="H332" s="692"/>
      <c r="I332" s="692"/>
      <c r="J332" s="692"/>
      <c r="K332" s="692"/>
      <c r="L332" s="692"/>
      <c r="M332" s="692"/>
      <c r="N332" s="728">
        <v>210000000</v>
      </c>
      <c r="O332" s="728">
        <v>405766</v>
      </c>
      <c r="P332" s="810">
        <f>+F332+G332+H332+I332+J332+K332+L332+N332-O332</f>
        <v>250995500</v>
      </c>
      <c r="Q332" s="743"/>
      <c r="R332" s="78" t="s">
        <v>675</v>
      </c>
      <c r="S332" s="457">
        <v>205</v>
      </c>
      <c r="T332" s="78" t="s">
        <v>676</v>
      </c>
      <c r="U332" s="274">
        <v>40740840</v>
      </c>
      <c r="V332" s="46"/>
      <c r="W332" s="38">
        <v>343</v>
      </c>
      <c r="X332" s="122" t="s">
        <v>870</v>
      </c>
      <c r="Y332" s="66">
        <v>40740840</v>
      </c>
      <c r="Z332" s="271">
        <v>2112</v>
      </c>
      <c r="AA332" s="273">
        <v>44655</v>
      </c>
      <c r="AB332" s="275">
        <v>40740840</v>
      </c>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c r="DK332" s="49"/>
      <c r="DL332" s="49"/>
      <c r="DM332" s="49"/>
      <c r="DN332" s="49"/>
      <c r="DO332" s="49"/>
      <c r="DP332" s="49"/>
      <c r="DQ332" s="49"/>
      <c r="DR332" s="49"/>
      <c r="DS332" s="49"/>
      <c r="DT332" s="49"/>
      <c r="DU332" s="49"/>
      <c r="DV332" s="49"/>
      <c r="DW332" s="49"/>
      <c r="DX332" s="49"/>
      <c r="DY332" s="49"/>
      <c r="DZ332" s="49"/>
      <c r="EA332" s="49"/>
      <c r="EB332" s="49"/>
      <c r="EC332" s="49"/>
    </row>
    <row r="333" spans="1:133" s="50" customFormat="1" ht="15" x14ac:dyDescent="0.25">
      <c r="A333" s="693"/>
      <c r="B333" s="690"/>
      <c r="C333" s="690"/>
      <c r="D333" s="737"/>
      <c r="E333" s="690"/>
      <c r="F333" s="711"/>
      <c r="G333" s="735"/>
      <c r="H333" s="693"/>
      <c r="I333" s="693"/>
      <c r="J333" s="693"/>
      <c r="K333" s="693"/>
      <c r="L333" s="693"/>
      <c r="M333" s="693"/>
      <c r="N333" s="735"/>
      <c r="O333" s="735"/>
      <c r="P333" s="812"/>
      <c r="Q333" s="743"/>
      <c r="R333" s="78" t="s">
        <v>2736</v>
      </c>
      <c r="S333" s="527" t="s">
        <v>2737</v>
      </c>
      <c r="T333" s="78" t="s">
        <v>2738</v>
      </c>
      <c r="U333" s="274">
        <v>181403124</v>
      </c>
      <c r="V333" s="46"/>
      <c r="W333" s="443">
        <v>1398</v>
      </c>
      <c r="X333" s="273" t="s">
        <v>2795</v>
      </c>
      <c r="Y333" s="274">
        <v>181403124</v>
      </c>
      <c r="Z333" s="443">
        <v>6213</v>
      </c>
      <c r="AA333" s="273" t="s">
        <v>2807</v>
      </c>
      <c r="AB333" s="274">
        <v>181403124</v>
      </c>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c r="DK333" s="49"/>
      <c r="DL333" s="49"/>
      <c r="DM333" s="49"/>
      <c r="DN333" s="49"/>
      <c r="DO333" s="49"/>
      <c r="DP333" s="49"/>
      <c r="DQ333" s="49"/>
      <c r="DR333" s="49"/>
      <c r="DS333" s="49"/>
      <c r="DT333" s="49"/>
      <c r="DU333" s="49"/>
      <c r="DV333" s="49"/>
      <c r="DW333" s="49"/>
      <c r="DX333" s="49"/>
      <c r="DY333" s="49"/>
      <c r="DZ333" s="49"/>
      <c r="EA333" s="49"/>
      <c r="EB333" s="49"/>
      <c r="EC333" s="49"/>
    </row>
    <row r="334" spans="1:133" s="50" customFormat="1" ht="27" x14ac:dyDescent="0.25">
      <c r="A334" s="693"/>
      <c r="B334" s="690"/>
      <c r="C334" s="690"/>
      <c r="D334" s="44" t="s">
        <v>866</v>
      </c>
      <c r="E334" s="69" t="s">
        <v>184</v>
      </c>
      <c r="F334" s="289">
        <v>9000000</v>
      </c>
      <c r="G334" s="66">
        <v>0</v>
      </c>
      <c r="H334" s="44"/>
      <c r="I334" s="45"/>
      <c r="J334" s="45"/>
      <c r="K334" s="45"/>
      <c r="L334" s="45"/>
      <c r="M334" s="45"/>
      <c r="N334" s="44"/>
      <c r="O334" s="274">
        <v>5000000</v>
      </c>
      <c r="P334" s="507">
        <f t="shared" ref="P334:P356" si="0">+F334+G334+H334+I334+J334+K334+L334+N334-O334</f>
        <v>4000000</v>
      </c>
      <c r="Q334" s="743"/>
      <c r="R334" s="78" t="s">
        <v>1476</v>
      </c>
      <c r="S334" s="457" t="s">
        <v>1477</v>
      </c>
      <c r="T334" s="78" t="s">
        <v>1478</v>
      </c>
      <c r="U334" s="274">
        <v>660000</v>
      </c>
      <c r="V334" s="46"/>
      <c r="W334" s="585">
        <v>829</v>
      </c>
      <c r="X334" s="273">
        <v>44763</v>
      </c>
      <c r="Y334" s="274">
        <v>660000</v>
      </c>
      <c r="Z334" s="585">
        <v>4899</v>
      </c>
      <c r="AA334" s="273">
        <v>44812</v>
      </c>
      <c r="AB334" s="274">
        <v>660000</v>
      </c>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c r="DK334" s="49"/>
      <c r="DL334" s="49"/>
      <c r="DM334" s="49"/>
      <c r="DN334" s="49"/>
      <c r="DO334" s="49"/>
      <c r="DP334" s="49"/>
      <c r="DQ334" s="49"/>
      <c r="DR334" s="49"/>
      <c r="DS334" s="49"/>
      <c r="DT334" s="49"/>
      <c r="DU334" s="49"/>
      <c r="DV334" s="49"/>
      <c r="DW334" s="49"/>
      <c r="DX334" s="49"/>
      <c r="DY334" s="49"/>
      <c r="DZ334" s="49"/>
      <c r="EA334" s="49"/>
      <c r="EB334" s="49"/>
      <c r="EC334" s="49"/>
    </row>
    <row r="335" spans="1:133" s="50" customFormat="1" ht="27" customHeight="1" x14ac:dyDescent="0.25">
      <c r="A335" s="693"/>
      <c r="B335" s="690"/>
      <c r="C335" s="690"/>
      <c r="D335" s="692" t="s">
        <v>879</v>
      </c>
      <c r="E335" s="689" t="s">
        <v>165</v>
      </c>
      <c r="F335" s="728">
        <v>0</v>
      </c>
      <c r="G335" s="728">
        <v>0</v>
      </c>
      <c r="H335" s="710">
        <v>57611388</v>
      </c>
      <c r="I335" s="710">
        <v>1200000000</v>
      </c>
      <c r="J335" s="728"/>
      <c r="K335" s="728"/>
      <c r="L335" s="692"/>
      <c r="M335" s="692"/>
      <c r="N335" s="728">
        <f>500000000</f>
        <v>500000000</v>
      </c>
      <c r="O335" s="692"/>
      <c r="P335" s="810">
        <f t="shared" si="0"/>
        <v>1757611388</v>
      </c>
      <c r="Q335" s="743"/>
      <c r="R335" s="78" t="s">
        <v>2733</v>
      </c>
      <c r="S335" s="457" t="s">
        <v>2729</v>
      </c>
      <c r="T335" s="78" t="s">
        <v>2730</v>
      </c>
      <c r="U335" s="274">
        <v>262121385.59999999</v>
      </c>
      <c r="V335" s="46"/>
      <c r="W335" s="585">
        <v>1400</v>
      </c>
      <c r="X335" s="273" t="s">
        <v>2795</v>
      </c>
      <c r="Y335" s="274">
        <v>262121385.59999999</v>
      </c>
      <c r="Z335" s="585">
        <v>4899</v>
      </c>
      <c r="AA335" s="273">
        <v>44812</v>
      </c>
      <c r="AB335" s="274">
        <v>262121385.59999999</v>
      </c>
      <c r="AC335" s="49">
        <v>44812</v>
      </c>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c r="DK335" s="49"/>
      <c r="DL335" s="49"/>
      <c r="DM335" s="49"/>
      <c r="DN335" s="49"/>
      <c r="DO335" s="49"/>
      <c r="DP335" s="49"/>
      <c r="DQ335" s="49"/>
      <c r="DR335" s="49"/>
      <c r="DS335" s="49"/>
      <c r="DT335" s="49"/>
      <c r="DU335" s="49"/>
      <c r="DV335" s="49"/>
      <c r="DW335" s="49"/>
      <c r="DX335" s="49"/>
      <c r="DY335" s="49"/>
      <c r="DZ335" s="49"/>
      <c r="EA335" s="49"/>
      <c r="EB335" s="49"/>
      <c r="EC335" s="49"/>
    </row>
    <row r="336" spans="1:133" s="50" customFormat="1" ht="27" customHeight="1" x14ac:dyDescent="0.25">
      <c r="A336" s="693"/>
      <c r="B336" s="690"/>
      <c r="C336" s="690"/>
      <c r="D336" s="693"/>
      <c r="E336" s="690"/>
      <c r="F336" s="735"/>
      <c r="G336" s="735"/>
      <c r="H336" s="711"/>
      <c r="I336" s="711"/>
      <c r="J336" s="735"/>
      <c r="K336" s="735"/>
      <c r="L336" s="693"/>
      <c r="M336" s="693"/>
      <c r="N336" s="735"/>
      <c r="O336" s="693"/>
      <c r="P336" s="812"/>
      <c r="Q336" s="743"/>
      <c r="R336" s="78" t="s">
        <v>1476</v>
      </c>
      <c r="S336" s="527" t="s">
        <v>1485</v>
      </c>
      <c r="T336" s="78" t="s">
        <v>1486</v>
      </c>
      <c r="U336" s="274">
        <v>5996320</v>
      </c>
      <c r="V336" s="46"/>
      <c r="W336" s="585">
        <v>829</v>
      </c>
      <c r="X336" s="273" t="s">
        <v>2808</v>
      </c>
      <c r="Y336" s="274">
        <v>5996320</v>
      </c>
      <c r="Z336" s="585">
        <v>4899</v>
      </c>
      <c r="AA336" s="273" t="s">
        <v>2823</v>
      </c>
      <c r="AB336" s="274">
        <v>5996320</v>
      </c>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s="49"/>
      <c r="DR336" s="49"/>
      <c r="DS336" s="49"/>
      <c r="DT336" s="49"/>
      <c r="DU336" s="49"/>
      <c r="DV336" s="49"/>
      <c r="DW336" s="49"/>
      <c r="DX336" s="49"/>
      <c r="DY336" s="49"/>
      <c r="DZ336" s="49"/>
      <c r="EA336" s="49"/>
      <c r="EB336" s="49"/>
      <c r="EC336" s="49"/>
    </row>
    <row r="337" spans="1:133" s="50" customFormat="1" ht="15" x14ac:dyDescent="0.25">
      <c r="A337" s="693"/>
      <c r="B337" s="690"/>
      <c r="C337" s="690"/>
      <c r="D337" s="693"/>
      <c r="E337" s="690"/>
      <c r="F337" s="735"/>
      <c r="G337" s="735"/>
      <c r="H337" s="711"/>
      <c r="I337" s="711"/>
      <c r="J337" s="735"/>
      <c r="K337" s="735"/>
      <c r="L337" s="693"/>
      <c r="M337" s="693"/>
      <c r="N337" s="735"/>
      <c r="O337" s="693"/>
      <c r="P337" s="812"/>
      <c r="Q337" s="743"/>
      <c r="R337" s="78" t="s">
        <v>2734</v>
      </c>
      <c r="S337" s="457" t="s">
        <v>2731</v>
      </c>
      <c r="T337" s="78" t="s">
        <v>2732</v>
      </c>
      <c r="U337" s="274">
        <v>733008755.62</v>
      </c>
      <c r="V337" s="46"/>
      <c r="W337" s="585">
        <v>1447</v>
      </c>
      <c r="X337" s="273" t="s">
        <v>2788</v>
      </c>
      <c r="Y337" s="274">
        <v>733008755.62</v>
      </c>
      <c r="Z337" s="585">
        <v>6062</v>
      </c>
      <c r="AA337" s="273" t="s">
        <v>2794</v>
      </c>
      <c r="AB337" s="274">
        <v>733008755.62</v>
      </c>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s="49"/>
      <c r="DR337" s="49"/>
      <c r="DS337" s="49"/>
      <c r="DT337" s="49"/>
      <c r="DU337" s="49"/>
      <c r="DV337" s="49"/>
      <c r="DW337" s="49"/>
      <c r="DX337" s="49"/>
      <c r="DY337" s="49"/>
      <c r="DZ337" s="49"/>
      <c r="EA337" s="49"/>
      <c r="EB337" s="49"/>
      <c r="EC337" s="49"/>
    </row>
    <row r="338" spans="1:133" s="50" customFormat="1" ht="15" x14ac:dyDescent="0.25">
      <c r="A338" s="693"/>
      <c r="B338" s="690"/>
      <c r="C338" s="690"/>
      <c r="D338" s="694"/>
      <c r="E338" s="691"/>
      <c r="F338" s="729"/>
      <c r="G338" s="729"/>
      <c r="H338" s="712"/>
      <c r="I338" s="712"/>
      <c r="J338" s="729"/>
      <c r="K338" s="729"/>
      <c r="L338" s="694"/>
      <c r="M338" s="694"/>
      <c r="N338" s="729"/>
      <c r="O338" s="694"/>
      <c r="P338" s="811"/>
      <c r="Q338" s="743"/>
      <c r="R338" s="78" t="s">
        <v>1756</v>
      </c>
      <c r="S338" s="527" t="s">
        <v>2728</v>
      </c>
      <c r="T338" s="78" t="s">
        <v>1755</v>
      </c>
      <c r="U338" s="274">
        <v>227996860</v>
      </c>
      <c r="V338" s="46"/>
      <c r="W338" s="585">
        <v>1270</v>
      </c>
      <c r="X338" s="273" t="s">
        <v>2778</v>
      </c>
      <c r="Y338" s="274">
        <v>227996860</v>
      </c>
      <c r="Z338" s="585">
        <v>6315</v>
      </c>
      <c r="AA338" s="273" t="s">
        <v>2832</v>
      </c>
      <c r="AB338" s="274">
        <v>227996860</v>
      </c>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s="49"/>
      <c r="DR338" s="49"/>
      <c r="DS338" s="49"/>
      <c r="DT338" s="49"/>
      <c r="DU338" s="49"/>
      <c r="DV338" s="49"/>
      <c r="DW338" s="49"/>
      <c r="DX338" s="49"/>
      <c r="DY338" s="49"/>
      <c r="DZ338" s="49"/>
      <c r="EA338" s="49"/>
      <c r="EB338" s="49"/>
      <c r="EC338" s="49"/>
    </row>
    <row r="339" spans="1:133" s="50" customFormat="1" ht="54" x14ac:dyDescent="0.25">
      <c r="A339" s="694"/>
      <c r="B339" s="691"/>
      <c r="C339" s="691"/>
      <c r="D339" s="129" t="s">
        <v>868</v>
      </c>
      <c r="E339" s="69" t="s">
        <v>118</v>
      </c>
      <c r="F339" s="198"/>
      <c r="G339" s="198"/>
      <c r="H339" s="198"/>
      <c r="I339" s="287">
        <v>332300357</v>
      </c>
      <c r="J339" s="233"/>
      <c r="K339" s="287">
        <v>22196162</v>
      </c>
      <c r="L339" s="287">
        <v>45503481</v>
      </c>
      <c r="M339" s="287"/>
      <c r="N339" s="496"/>
      <c r="O339" s="317">
        <f>281997813+84800000+33202187</f>
        <v>400000000</v>
      </c>
      <c r="P339" s="507">
        <f t="shared" si="0"/>
        <v>0</v>
      </c>
      <c r="Q339" s="744"/>
      <c r="R339" s="200"/>
      <c r="S339" s="200"/>
      <c r="T339" s="200"/>
      <c r="U339" s="200"/>
      <c r="V339" s="46"/>
      <c r="W339" s="200"/>
      <c r="X339" s="79"/>
      <c r="Y339" s="200"/>
      <c r="Z339" s="200"/>
      <c r="AA339" s="79"/>
      <c r="AB339" s="148"/>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s="49"/>
      <c r="DR339" s="49"/>
      <c r="DS339" s="49"/>
      <c r="DT339" s="49"/>
      <c r="DU339" s="49"/>
      <c r="DV339" s="49"/>
      <c r="DW339" s="49"/>
      <c r="DX339" s="49"/>
      <c r="DY339" s="49"/>
      <c r="DZ339" s="49"/>
      <c r="EA339" s="49"/>
      <c r="EB339" s="49"/>
      <c r="EC339" s="49"/>
    </row>
    <row r="340" spans="1:133" s="107" customFormat="1" ht="15" x14ac:dyDescent="0.25">
      <c r="A340" s="92"/>
      <c r="B340" s="92"/>
      <c r="C340" s="92"/>
      <c r="D340" s="92"/>
      <c r="E340" s="104"/>
      <c r="F340" s="101"/>
      <c r="G340" s="101"/>
      <c r="H340" s="92"/>
      <c r="I340" s="93"/>
      <c r="J340" s="93"/>
      <c r="K340" s="93"/>
      <c r="L340" s="93"/>
      <c r="M340" s="93"/>
      <c r="N340" s="92"/>
      <c r="O340" s="92"/>
      <c r="P340" s="102">
        <f>SUM(P314:P339)</f>
        <v>3209914234</v>
      </c>
      <c r="Q340" s="101"/>
      <c r="R340" s="105"/>
      <c r="S340" s="86"/>
      <c r="T340" s="95"/>
      <c r="U340" s="103">
        <f>SUM(U314:U339)</f>
        <v>2687631259.0599999</v>
      </c>
      <c r="V340" s="89"/>
      <c r="W340" s="86"/>
      <c r="X340" s="95"/>
      <c r="Y340" s="103">
        <f>SUM(Y314:Y339)</f>
        <v>2647997327.0599999</v>
      </c>
      <c r="Z340" s="86"/>
      <c r="AA340" s="95"/>
      <c r="AB340" s="103">
        <f>SUM(AB314:AB339)</f>
        <v>2647997327.0599999</v>
      </c>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row>
    <row r="341" spans="1:133" s="50" customFormat="1" ht="27" x14ac:dyDescent="0.25">
      <c r="A341" s="692" t="s">
        <v>185</v>
      </c>
      <c r="B341" s="689" t="s">
        <v>186</v>
      </c>
      <c r="C341" s="689" t="s">
        <v>16</v>
      </c>
      <c r="D341" s="44" t="s">
        <v>865</v>
      </c>
      <c r="E341" s="69" t="s">
        <v>111</v>
      </c>
      <c r="F341" s="289">
        <v>65000000</v>
      </c>
      <c r="G341" s="66">
        <v>0</v>
      </c>
      <c r="H341" s="44"/>
      <c r="I341" s="45"/>
      <c r="J341" s="290">
        <v>365602485</v>
      </c>
      <c r="K341" s="45"/>
      <c r="L341" s="45"/>
      <c r="M341" s="45"/>
      <c r="N341" s="44"/>
      <c r="O341" s="274">
        <v>100000000</v>
      </c>
      <c r="P341" s="507">
        <f t="shared" si="0"/>
        <v>330602485</v>
      </c>
      <c r="Q341" s="742">
        <f>134397515+930602485</f>
        <v>1065000000</v>
      </c>
      <c r="R341" s="80" t="s">
        <v>2739</v>
      </c>
      <c r="S341" s="459" t="s">
        <v>2740</v>
      </c>
      <c r="T341" s="80" t="s">
        <v>2741</v>
      </c>
      <c r="U341" s="274">
        <v>247329994</v>
      </c>
      <c r="V341" s="46"/>
      <c r="W341" s="585">
        <v>1430</v>
      </c>
      <c r="X341" s="273" t="s">
        <v>2772</v>
      </c>
      <c r="Y341" s="274">
        <v>247329994</v>
      </c>
      <c r="Z341" s="585">
        <v>6330</v>
      </c>
      <c r="AA341" s="273" t="s">
        <v>2832</v>
      </c>
      <c r="AB341" s="274">
        <v>247329994</v>
      </c>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DQ341" s="49"/>
      <c r="DR341" s="49"/>
      <c r="DS341" s="49"/>
      <c r="DT341" s="49"/>
      <c r="DU341" s="49"/>
      <c r="DV341" s="49"/>
      <c r="DW341" s="49"/>
      <c r="DX341" s="49"/>
      <c r="DY341" s="49"/>
      <c r="DZ341" s="49"/>
      <c r="EA341" s="49"/>
      <c r="EB341" s="49"/>
      <c r="EC341" s="49"/>
    </row>
    <row r="342" spans="1:133" s="50" customFormat="1" ht="15" x14ac:dyDescent="0.25">
      <c r="A342" s="693"/>
      <c r="B342" s="690"/>
      <c r="C342" s="690"/>
      <c r="D342" s="408"/>
      <c r="E342" s="281"/>
      <c r="F342" s="421"/>
      <c r="G342" s="416"/>
      <c r="H342" s="408"/>
      <c r="I342" s="344"/>
      <c r="J342" s="493"/>
      <c r="K342" s="344"/>
      <c r="L342" s="344"/>
      <c r="M342" s="344"/>
      <c r="N342" s="408"/>
      <c r="O342" s="408"/>
      <c r="P342" s="425"/>
      <c r="Q342" s="743"/>
      <c r="R342" s="80" t="s">
        <v>2742</v>
      </c>
      <c r="S342" s="459" t="s">
        <v>2743</v>
      </c>
      <c r="T342" s="80" t="s">
        <v>2705</v>
      </c>
      <c r="U342" s="345">
        <v>6497400</v>
      </c>
      <c r="V342" s="46"/>
      <c r="W342" s="585">
        <v>1468</v>
      </c>
      <c r="X342" s="273" t="s">
        <v>2804</v>
      </c>
      <c r="Y342" s="345">
        <v>6497400</v>
      </c>
      <c r="Z342" s="585">
        <v>6123</v>
      </c>
      <c r="AA342" s="273" t="s">
        <v>2834</v>
      </c>
      <c r="AB342" s="345">
        <v>6497400</v>
      </c>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DQ342" s="49"/>
      <c r="DR342" s="49"/>
      <c r="DS342" s="49"/>
      <c r="DT342" s="49"/>
      <c r="DU342" s="49"/>
      <c r="DV342" s="49"/>
      <c r="DW342" s="49"/>
      <c r="DX342" s="49"/>
      <c r="DY342" s="49"/>
      <c r="DZ342" s="49"/>
      <c r="EA342" s="49"/>
      <c r="EB342" s="49"/>
      <c r="EC342" s="49"/>
    </row>
    <row r="343" spans="1:133" s="50" customFormat="1" ht="15" x14ac:dyDescent="0.25">
      <c r="A343" s="693"/>
      <c r="B343" s="690"/>
      <c r="C343" s="690"/>
      <c r="D343" s="736" t="s">
        <v>868</v>
      </c>
      <c r="E343" s="689" t="s">
        <v>118</v>
      </c>
      <c r="F343" s="710">
        <v>69397515</v>
      </c>
      <c r="G343" s="728">
        <v>0</v>
      </c>
      <c r="H343" s="692"/>
      <c r="I343" s="692"/>
      <c r="J343" s="710">
        <v>565000000</v>
      </c>
      <c r="K343" s="692"/>
      <c r="L343" s="692"/>
      <c r="M343" s="692"/>
      <c r="N343" s="692"/>
      <c r="O343" s="728">
        <f>500000000+57915627</f>
        <v>557915627</v>
      </c>
      <c r="P343" s="810">
        <f t="shared" si="0"/>
        <v>76481888</v>
      </c>
      <c r="Q343" s="743"/>
      <c r="R343" s="78" t="s">
        <v>677</v>
      </c>
      <c r="S343" s="457">
        <v>176</v>
      </c>
      <c r="T343" s="78" t="s">
        <v>678</v>
      </c>
      <c r="U343" s="274">
        <v>14527020</v>
      </c>
      <c r="V343" s="46"/>
      <c r="W343" s="585">
        <v>259</v>
      </c>
      <c r="X343" s="273" t="s">
        <v>856</v>
      </c>
      <c r="Y343" s="274">
        <v>14527020</v>
      </c>
      <c r="Z343" s="585">
        <v>1310</v>
      </c>
      <c r="AA343" s="273" t="s">
        <v>856</v>
      </c>
      <c r="AB343" s="274">
        <v>14527020</v>
      </c>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DQ343" s="49"/>
      <c r="DR343" s="49"/>
      <c r="DS343" s="49"/>
      <c r="DT343" s="49"/>
      <c r="DU343" s="49"/>
      <c r="DV343" s="49"/>
      <c r="DW343" s="49"/>
      <c r="DX343" s="49"/>
      <c r="DY343" s="49"/>
      <c r="DZ343" s="49"/>
      <c r="EA343" s="49"/>
      <c r="EB343" s="49"/>
      <c r="EC343" s="49"/>
    </row>
    <row r="344" spans="1:133" s="50" customFormat="1" ht="15" x14ac:dyDescent="0.25">
      <c r="A344" s="693"/>
      <c r="B344" s="690"/>
      <c r="C344" s="690"/>
      <c r="D344" s="737"/>
      <c r="E344" s="690"/>
      <c r="F344" s="711"/>
      <c r="G344" s="735"/>
      <c r="H344" s="693"/>
      <c r="I344" s="693"/>
      <c r="J344" s="711"/>
      <c r="K344" s="693"/>
      <c r="L344" s="693"/>
      <c r="M344" s="693"/>
      <c r="N344" s="693"/>
      <c r="O344" s="735"/>
      <c r="P344" s="812"/>
      <c r="Q344" s="743"/>
      <c r="R344" s="78" t="s">
        <v>1943</v>
      </c>
      <c r="S344" s="457" t="s">
        <v>1945</v>
      </c>
      <c r="T344" s="78" t="s">
        <v>1941</v>
      </c>
      <c r="U344" s="274">
        <v>14070000</v>
      </c>
      <c r="V344" s="46"/>
      <c r="W344" s="585">
        <v>965</v>
      </c>
      <c r="X344" s="273">
        <v>44778</v>
      </c>
      <c r="Y344" s="274">
        <v>14070000</v>
      </c>
      <c r="Z344" s="585">
        <v>4425</v>
      </c>
      <c r="AA344" s="273">
        <v>44783</v>
      </c>
      <c r="AB344" s="275">
        <v>14070000</v>
      </c>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DQ344" s="49"/>
      <c r="DR344" s="49"/>
      <c r="DS344" s="49"/>
      <c r="DT344" s="49"/>
      <c r="DU344" s="49"/>
      <c r="DV344" s="49"/>
      <c r="DW344" s="49"/>
      <c r="DX344" s="49"/>
      <c r="DY344" s="49"/>
      <c r="DZ344" s="49"/>
      <c r="EA344" s="49"/>
      <c r="EB344" s="49"/>
      <c r="EC344" s="49"/>
    </row>
    <row r="345" spans="1:133" s="50" customFormat="1" ht="15" x14ac:dyDescent="0.25">
      <c r="A345" s="693"/>
      <c r="B345" s="690"/>
      <c r="C345" s="690"/>
      <c r="D345" s="737"/>
      <c r="E345" s="690"/>
      <c r="F345" s="711"/>
      <c r="G345" s="735"/>
      <c r="H345" s="693"/>
      <c r="I345" s="693"/>
      <c r="J345" s="711"/>
      <c r="K345" s="693"/>
      <c r="L345" s="693"/>
      <c r="M345" s="693"/>
      <c r="N345" s="693"/>
      <c r="O345" s="735"/>
      <c r="P345" s="812"/>
      <c r="Q345" s="743"/>
      <c r="R345" s="78" t="s">
        <v>1944</v>
      </c>
      <c r="S345" s="457" t="s">
        <v>1946</v>
      </c>
      <c r="T345" s="78" t="s">
        <v>1942</v>
      </c>
      <c r="U345" s="274">
        <v>35510000</v>
      </c>
      <c r="V345" s="46"/>
      <c r="W345" s="329">
        <v>1146</v>
      </c>
      <c r="X345" s="273">
        <v>44806</v>
      </c>
      <c r="Y345" s="274">
        <v>35510000</v>
      </c>
      <c r="Z345" s="329">
        <v>4887</v>
      </c>
      <c r="AA345" s="273">
        <v>44811</v>
      </c>
      <c r="AB345" s="275">
        <v>12720000</v>
      </c>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c r="DP345" s="49"/>
      <c r="DQ345" s="49"/>
      <c r="DR345" s="49"/>
      <c r="DS345" s="49"/>
      <c r="DT345" s="49"/>
      <c r="DU345" s="49"/>
      <c r="DV345" s="49"/>
      <c r="DW345" s="49"/>
      <c r="DX345" s="49"/>
      <c r="DY345" s="49"/>
      <c r="DZ345" s="49"/>
      <c r="EA345" s="49"/>
      <c r="EB345" s="49"/>
      <c r="EC345" s="49"/>
    </row>
    <row r="346" spans="1:133" s="50" customFormat="1" ht="15" x14ac:dyDescent="0.25">
      <c r="A346" s="693"/>
      <c r="B346" s="690"/>
      <c r="C346" s="690"/>
      <c r="D346" s="737"/>
      <c r="E346" s="690"/>
      <c r="F346" s="711"/>
      <c r="G346" s="735"/>
      <c r="H346" s="693"/>
      <c r="I346" s="693"/>
      <c r="J346" s="711"/>
      <c r="K346" s="693"/>
      <c r="L346" s="693"/>
      <c r="M346" s="693"/>
      <c r="N346" s="693"/>
      <c r="O346" s="735"/>
      <c r="P346" s="812"/>
      <c r="Q346" s="743"/>
      <c r="R346" s="78"/>
      <c r="S346" s="330"/>
      <c r="T346" s="78"/>
      <c r="U346" s="274"/>
      <c r="V346" s="46"/>
      <c r="W346" s="404"/>
      <c r="X346" s="273"/>
      <c r="Y346" s="274"/>
      <c r="Z346" s="404">
        <v>4888</v>
      </c>
      <c r="AA346" s="273">
        <v>44811</v>
      </c>
      <c r="AB346" s="275">
        <v>10070000</v>
      </c>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c r="DP346" s="49"/>
      <c r="DQ346" s="49"/>
      <c r="DR346" s="49"/>
      <c r="DS346" s="49"/>
      <c r="DT346" s="49"/>
      <c r="DU346" s="49"/>
      <c r="DV346" s="49"/>
      <c r="DW346" s="49"/>
      <c r="DX346" s="49"/>
      <c r="DY346" s="49"/>
      <c r="DZ346" s="49"/>
      <c r="EA346" s="49"/>
      <c r="EB346" s="49"/>
      <c r="EC346" s="49"/>
    </row>
    <row r="347" spans="1:133" s="50" customFormat="1" ht="15" x14ac:dyDescent="0.25">
      <c r="A347" s="694"/>
      <c r="B347" s="691"/>
      <c r="C347" s="691"/>
      <c r="D347" s="738"/>
      <c r="E347" s="691"/>
      <c r="F347" s="712"/>
      <c r="G347" s="729"/>
      <c r="H347" s="694"/>
      <c r="I347" s="694"/>
      <c r="J347" s="712"/>
      <c r="K347" s="694"/>
      <c r="L347" s="694"/>
      <c r="M347" s="694"/>
      <c r="N347" s="694"/>
      <c r="O347" s="729"/>
      <c r="P347" s="811"/>
      <c r="Q347" s="744"/>
      <c r="R347" s="78"/>
      <c r="S347" s="330"/>
      <c r="T347" s="78"/>
      <c r="U347" s="274"/>
      <c r="V347" s="46"/>
      <c r="W347" s="404"/>
      <c r="X347" s="273"/>
      <c r="Y347" s="274"/>
      <c r="Z347" s="404">
        <v>4950</v>
      </c>
      <c r="AA347" s="273">
        <v>44817</v>
      </c>
      <c r="AB347" s="275">
        <v>12720000</v>
      </c>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DQ347" s="49"/>
      <c r="DR347" s="49"/>
      <c r="DS347" s="49"/>
      <c r="DT347" s="49"/>
      <c r="DU347" s="49"/>
      <c r="DV347" s="49"/>
      <c r="DW347" s="49"/>
      <c r="DX347" s="49"/>
      <c r="DY347" s="49"/>
      <c r="DZ347" s="49"/>
      <c r="EA347" s="49"/>
      <c r="EB347" s="49"/>
      <c r="EC347" s="49"/>
    </row>
    <row r="348" spans="1:133" s="107" customFormat="1" ht="15" x14ac:dyDescent="0.25">
      <c r="A348" s="92"/>
      <c r="B348" s="92"/>
      <c r="C348" s="92"/>
      <c r="D348" s="92"/>
      <c r="E348" s="104"/>
      <c r="F348" s="101"/>
      <c r="G348" s="101"/>
      <c r="H348" s="92"/>
      <c r="I348" s="93"/>
      <c r="J348" s="93"/>
      <c r="K348" s="93"/>
      <c r="L348" s="93"/>
      <c r="M348" s="93"/>
      <c r="N348" s="92"/>
      <c r="O348" s="92"/>
      <c r="P348" s="102">
        <f>SUM(P341:P343)</f>
        <v>407084373</v>
      </c>
      <c r="Q348" s="101"/>
      <c r="R348" s="105"/>
      <c r="S348" s="86"/>
      <c r="T348" s="95"/>
      <c r="U348" s="103">
        <f>SUM(U341:U347)</f>
        <v>317934414</v>
      </c>
      <c r="V348" s="89"/>
      <c r="W348" s="86"/>
      <c r="X348" s="95"/>
      <c r="Y348" s="103">
        <f>SUM(Y341:Y347)</f>
        <v>317934414</v>
      </c>
      <c r="Z348" s="86"/>
      <c r="AA348" s="95"/>
      <c r="AB348" s="103">
        <f>SUM(AB341:AB347)</f>
        <v>317934414</v>
      </c>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row>
    <row r="349" spans="1:133" s="143" customFormat="1" ht="67.5" x14ac:dyDescent="0.25">
      <c r="A349" s="138" t="s">
        <v>999</v>
      </c>
      <c r="B349" s="144" t="s">
        <v>880</v>
      </c>
      <c r="C349" s="38" t="s">
        <v>16</v>
      </c>
      <c r="D349" s="138" t="s">
        <v>868</v>
      </c>
      <c r="E349" s="145" t="s">
        <v>881</v>
      </c>
      <c r="F349" s="147">
        <v>0</v>
      </c>
      <c r="G349" s="139">
        <v>0</v>
      </c>
      <c r="H349" s="292">
        <v>200000000</v>
      </c>
      <c r="I349" s="234"/>
      <c r="J349" s="234"/>
      <c r="K349" s="234"/>
      <c r="L349" s="140"/>
      <c r="M349" s="140"/>
      <c r="N349" s="138"/>
      <c r="O349" s="147">
        <v>13682386</v>
      </c>
      <c r="P349" s="515">
        <f t="shared" si="0"/>
        <v>186317614</v>
      </c>
      <c r="Q349" s="295">
        <f>+P350</f>
        <v>186317614</v>
      </c>
      <c r="R349" s="252" t="s">
        <v>2744</v>
      </c>
      <c r="S349" s="457" t="s">
        <v>2745</v>
      </c>
      <c r="T349" s="494" t="s">
        <v>2746</v>
      </c>
      <c r="U349" s="275">
        <v>120000000</v>
      </c>
      <c r="V349" s="141"/>
      <c r="W349" s="148">
        <v>1448</v>
      </c>
      <c r="X349" s="150" t="s">
        <v>2788</v>
      </c>
      <c r="Y349" s="275">
        <v>120000000</v>
      </c>
      <c r="Z349" s="151">
        <v>6339</v>
      </c>
      <c r="AA349" s="494" t="s">
        <v>2832</v>
      </c>
      <c r="AB349" s="275">
        <v>120000000</v>
      </c>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c r="BM349" s="142"/>
      <c r="BN349" s="142"/>
      <c r="BO349" s="142"/>
      <c r="BP349" s="142"/>
      <c r="BQ349" s="142"/>
      <c r="BR349" s="142"/>
      <c r="BS349" s="142"/>
      <c r="BT349" s="142"/>
      <c r="BU349" s="142"/>
      <c r="BV349" s="142"/>
      <c r="BW349" s="142"/>
      <c r="BX349" s="142"/>
      <c r="BY349" s="142"/>
      <c r="BZ349" s="142"/>
      <c r="CA349" s="142"/>
      <c r="CB349" s="142"/>
      <c r="CC349" s="142"/>
      <c r="CD349" s="142"/>
      <c r="CE349" s="142"/>
      <c r="CF349" s="142"/>
      <c r="CG349" s="142"/>
      <c r="CH349" s="142"/>
      <c r="CI349" s="142"/>
      <c r="CJ349" s="142"/>
      <c r="CK349" s="142"/>
      <c r="CL349" s="142"/>
      <c r="CM349" s="142"/>
      <c r="CN349" s="142"/>
      <c r="CO349" s="142"/>
      <c r="CP349" s="142"/>
      <c r="CQ349" s="142"/>
      <c r="CR349" s="142"/>
      <c r="CS349" s="142"/>
      <c r="CT349" s="142"/>
      <c r="CU349" s="142"/>
      <c r="CV349" s="142"/>
      <c r="CW349" s="142"/>
      <c r="CX349" s="142"/>
      <c r="CY349" s="142"/>
      <c r="CZ349" s="142"/>
      <c r="DA349" s="142"/>
      <c r="DB349" s="142"/>
      <c r="DC349" s="142"/>
      <c r="DD349" s="142"/>
      <c r="DE349" s="142"/>
      <c r="DF349" s="142"/>
      <c r="DG349" s="142"/>
      <c r="DH349" s="142"/>
      <c r="DI349" s="142"/>
      <c r="DJ349" s="142"/>
      <c r="DK349" s="142"/>
      <c r="DL349" s="142"/>
      <c r="DM349" s="142"/>
      <c r="DN349" s="142"/>
      <c r="DO349" s="142"/>
      <c r="DP349" s="142"/>
      <c r="DQ349" s="142"/>
      <c r="DR349" s="142"/>
      <c r="DS349" s="142"/>
      <c r="DT349" s="142"/>
      <c r="DU349" s="142"/>
      <c r="DV349" s="142"/>
      <c r="DW349" s="142"/>
      <c r="DX349" s="142"/>
      <c r="DY349" s="142"/>
      <c r="DZ349" s="142"/>
      <c r="EA349" s="142"/>
      <c r="EB349" s="142"/>
      <c r="EC349" s="142"/>
    </row>
    <row r="350" spans="1:133" s="107" customFormat="1" ht="15" x14ac:dyDescent="0.25">
      <c r="A350" s="92"/>
      <c r="B350" s="92"/>
      <c r="C350" s="92"/>
      <c r="D350" s="92"/>
      <c r="E350" s="104"/>
      <c r="F350" s="101"/>
      <c r="G350" s="101"/>
      <c r="H350" s="92"/>
      <c r="I350" s="93"/>
      <c r="J350" s="93"/>
      <c r="K350" s="93"/>
      <c r="L350" s="93"/>
      <c r="M350" s="93"/>
      <c r="N350" s="92"/>
      <c r="O350" s="92"/>
      <c r="P350" s="102">
        <f>+P349</f>
        <v>186317614</v>
      </c>
      <c r="Q350" s="101"/>
      <c r="R350" s="105"/>
      <c r="S350" s="86"/>
      <c r="T350" s="95"/>
      <c r="U350" s="103">
        <f>+U349</f>
        <v>120000000</v>
      </c>
      <c r="V350" s="89"/>
      <c r="W350" s="86"/>
      <c r="X350" s="95"/>
      <c r="Y350" s="103">
        <f>+Y349</f>
        <v>120000000</v>
      </c>
      <c r="Z350" s="86"/>
      <c r="AA350" s="95"/>
      <c r="AB350" s="103">
        <f>+AB349</f>
        <v>120000000</v>
      </c>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row>
    <row r="351" spans="1:133" s="50" customFormat="1" ht="47.25" customHeight="1" x14ac:dyDescent="0.25">
      <c r="A351" s="44" t="s">
        <v>1056</v>
      </c>
      <c r="B351" s="38" t="s">
        <v>250</v>
      </c>
      <c r="C351" s="38" t="s">
        <v>16</v>
      </c>
      <c r="D351" s="44" t="s">
        <v>867</v>
      </c>
      <c r="E351" s="69" t="s">
        <v>251</v>
      </c>
      <c r="F351" s="66">
        <v>0</v>
      </c>
      <c r="G351" s="289">
        <v>3200000000</v>
      </c>
      <c r="H351" s="44"/>
      <c r="I351" s="45"/>
      <c r="J351" s="45"/>
      <c r="K351" s="45"/>
      <c r="L351" s="45"/>
      <c r="M351" s="45"/>
      <c r="N351" s="274">
        <v>554190941</v>
      </c>
      <c r="O351" s="44"/>
      <c r="P351" s="507">
        <f t="shared" si="0"/>
        <v>3754190941</v>
      </c>
      <c r="Q351" s="296">
        <f>+P352</f>
        <v>3754190941</v>
      </c>
      <c r="R351" s="78" t="s">
        <v>2096</v>
      </c>
      <c r="S351" s="457">
        <v>484</v>
      </c>
      <c r="T351" s="80" t="s">
        <v>2097</v>
      </c>
      <c r="U351" s="345">
        <v>3698074026</v>
      </c>
      <c r="V351" s="46"/>
      <c r="W351" s="585">
        <v>1002</v>
      </c>
      <c r="X351" s="273">
        <v>44781</v>
      </c>
      <c r="Y351" s="465">
        <v>3698074026</v>
      </c>
      <c r="Z351" s="585">
        <v>5958</v>
      </c>
      <c r="AA351" s="273" t="s">
        <v>2790</v>
      </c>
      <c r="AB351" s="465">
        <v>3698074026</v>
      </c>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DQ351" s="49"/>
      <c r="DR351" s="49"/>
      <c r="DS351" s="49"/>
      <c r="DT351" s="49"/>
      <c r="DU351" s="49"/>
      <c r="DV351" s="49"/>
      <c r="DW351" s="49"/>
      <c r="DX351" s="49"/>
      <c r="DY351" s="49"/>
      <c r="DZ351" s="49"/>
      <c r="EA351" s="49"/>
      <c r="EB351" s="49"/>
      <c r="EC351" s="49"/>
    </row>
    <row r="352" spans="1:133" s="107" customFormat="1" ht="15" x14ac:dyDescent="0.25">
      <c r="A352" s="92"/>
      <c r="B352" s="92"/>
      <c r="C352" s="92"/>
      <c r="D352" s="92"/>
      <c r="E352" s="104"/>
      <c r="F352" s="101"/>
      <c r="G352" s="101"/>
      <c r="H352" s="92"/>
      <c r="I352" s="93"/>
      <c r="J352" s="93"/>
      <c r="K352" s="93"/>
      <c r="L352" s="93"/>
      <c r="M352" s="93"/>
      <c r="N352" s="92"/>
      <c r="O352" s="92"/>
      <c r="P352" s="102">
        <f>+P351</f>
        <v>3754190941</v>
      </c>
      <c r="Q352" s="101"/>
      <c r="R352" s="105"/>
      <c r="S352" s="86"/>
      <c r="T352" s="95"/>
      <c r="U352" s="103">
        <f>+U351</f>
        <v>3698074026</v>
      </c>
      <c r="V352" s="89"/>
      <c r="W352" s="86"/>
      <c r="X352" s="95"/>
      <c r="Y352" s="103">
        <f>+Y351</f>
        <v>3698074026</v>
      </c>
      <c r="Z352" s="86"/>
      <c r="AA352" s="95"/>
      <c r="AB352" s="103">
        <f>+AB351</f>
        <v>3698074026</v>
      </c>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row>
    <row r="353" spans="1:133" s="112" customFormat="1" ht="57" x14ac:dyDescent="0.25">
      <c r="A353" s="183" t="s">
        <v>1119</v>
      </c>
      <c r="B353" s="211" t="s">
        <v>1120</v>
      </c>
      <c r="C353" s="38" t="s">
        <v>16</v>
      </c>
      <c r="D353" s="138" t="s">
        <v>868</v>
      </c>
      <c r="E353" s="192" t="s">
        <v>118</v>
      </c>
      <c r="F353" s="181"/>
      <c r="G353" s="191"/>
      <c r="H353" s="187"/>
      <c r="I353" s="200"/>
      <c r="J353" s="200"/>
      <c r="K353" s="289">
        <v>140000000</v>
      </c>
      <c r="L353" s="187"/>
      <c r="M353" s="330"/>
      <c r="N353" s="187"/>
      <c r="O353" s="274">
        <f>125200000+3199800</f>
        <v>128399800</v>
      </c>
      <c r="P353" s="507">
        <f t="shared" si="0"/>
        <v>11600200</v>
      </c>
      <c r="Q353" s="296">
        <v>140000000</v>
      </c>
      <c r="R353" s="78" t="s">
        <v>2747</v>
      </c>
      <c r="S353" s="457" t="s">
        <v>2748</v>
      </c>
      <c r="T353" s="81" t="s">
        <v>2749</v>
      </c>
      <c r="U353" s="432">
        <v>6603000</v>
      </c>
      <c r="V353" s="46"/>
      <c r="W353" s="585">
        <v>1402</v>
      </c>
      <c r="X353" s="273" t="s">
        <v>2795</v>
      </c>
      <c r="Y353" s="274">
        <v>6603000</v>
      </c>
      <c r="Z353" s="585">
        <v>5942</v>
      </c>
      <c r="AA353" s="273" t="s">
        <v>2797</v>
      </c>
      <c r="AB353" s="274">
        <v>3300000</v>
      </c>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c r="EA353" s="111"/>
      <c r="EB353" s="111"/>
      <c r="EC353" s="111"/>
    </row>
    <row r="354" spans="1:133" s="112" customFormat="1" ht="15" x14ac:dyDescent="0.25">
      <c r="A354" s="574"/>
      <c r="B354" s="600"/>
      <c r="C354" s="573"/>
      <c r="D354" s="582"/>
      <c r="E354" s="576"/>
      <c r="F354" s="575"/>
      <c r="G354" s="575"/>
      <c r="H354" s="574"/>
      <c r="I354" s="85"/>
      <c r="J354" s="85"/>
      <c r="K354" s="287"/>
      <c r="L354" s="85"/>
      <c r="M354" s="85"/>
      <c r="N354" s="574"/>
      <c r="O354" s="579"/>
      <c r="P354" s="583"/>
      <c r="Q354" s="580"/>
      <c r="R354" s="78"/>
      <c r="S354" s="586"/>
      <c r="T354" s="81"/>
      <c r="U354" s="432"/>
      <c r="V354" s="46"/>
      <c r="W354" s="330"/>
      <c r="X354" s="79"/>
      <c r="Y354" s="432"/>
      <c r="Z354" s="585">
        <v>5943</v>
      </c>
      <c r="AA354" s="273" t="s">
        <v>2790</v>
      </c>
      <c r="AB354" s="274">
        <v>3303000</v>
      </c>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c r="EA354" s="111"/>
      <c r="EB354" s="111"/>
      <c r="EC354" s="111"/>
    </row>
    <row r="355" spans="1:133" s="107" customFormat="1" ht="15" x14ac:dyDescent="0.25">
      <c r="A355" s="92"/>
      <c r="B355" s="92"/>
      <c r="C355" s="92"/>
      <c r="D355" s="92"/>
      <c r="E355" s="104"/>
      <c r="F355" s="101"/>
      <c r="G355" s="101"/>
      <c r="H355" s="92"/>
      <c r="I355" s="93"/>
      <c r="J355" s="93"/>
      <c r="K355" s="93"/>
      <c r="L355" s="93"/>
      <c r="M355" s="93"/>
      <c r="N355" s="92"/>
      <c r="O355" s="92"/>
      <c r="P355" s="102">
        <f>+P353</f>
        <v>11600200</v>
      </c>
      <c r="Q355" s="101"/>
      <c r="R355" s="105"/>
      <c r="S355" s="86"/>
      <c r="T355" s="95"/>
      <c r="U355" s="103">
        <f>+U353</f>
        <v>6603000</v>
      </c>
      <c r="V355" s="89"/>
      <c r="W355" s="86"/>
      <c r="X355" s="95"/>
      <c r="Y355" s="103">
        <f>+Y353</f>
        <v>6603000</v>
      </c>
      <c r="Z355" s="86"/>
      <c r="AA355" s="95"/>
      <c r="AB355" s="103">
        <f>SUM(AB353:AB354)</f>
        <v>6603000</v>
      </c>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row>
    <row r="356" spans="1:133" s="112" customFormat="1" ht="42.75" x14ac:dyDescent="0.25">
      <c r="A356" s="183" t="s">
        <v>1531</v>
      </c>
      <c r="B356" s="213" t="s">
        <v>1121</v>
      </c>
      <c r="C356" s="38" t="s">
        <v>16</v>
      </c>
      <c r="D356" s="200" t="s">
        <v>867</v>
      </c>
      <c r="E356" s="192" t="s">
        <v>251</v>
      </c>
      <c r="F356" s="181"/>
      <c r="G356" s="181"/>
      <c r="H356" s="183"/>
      <c r="I356" s="197"/>
      <c r="J356" s="197"/>
      <c r="K356" s="292">
        <v>32000000</v>
      </c>
      <c r="L356" s="187"/>
      <c r="M356" s="330"/>
      <c r="N356" s="187"/>
      <c r="O356" s="187"/>
      <c r="P356" s="507">
        <f t="shared" si="0"/>
        <v>32000000</v>
      </c>
      <c r="Q356" s="296">
        <v>32000000</v>
      </c>
      <c r="R356" s="78" t="s">
        <v>1523</v>
      </c>
      <c r="S356" s="457" t="s">
        <v>1524</v>
      </c>
      <c r="T356" s="81" t="s">
        <v>1525</v>
      </c>
      <c r="U356" s="191">
        <v>31998928</v>
      </c>
      <c r="V356" s="46"/>
      <c r="W356" s="572">
        <v>803</v>
      </c>
      <c r="X356" s="265">
        <v>44753</v>
      </c>
      <c r="Y356" s="274">
        <v>31998928</v>
      </c>
      <c r="Z356" s="572">
        <v>3587</v>
      </c>
      <c r="AA356" s="265">
        <v>44767</v>
      </c>
      <c r="AB356" s="275">
        <v>31998928</v>
      </c>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c r="EA356" s="111"/>
      <c r="EB356" s="111"/>
      <c r="EC356" s="111"/>
    </row>
    <row r="357" spans="1:133" s="107" customFormat="1" ht="15" x14ac:dyDescent="0.25">
      <c r="A357" s="92"/>
      <c r="B357" s="92"/>
      <c r="C357" s="92"/>
      <c r="D357" s="92"/>
      <c r="E357" s="104"/>
      <c r="F357" s="101"/>
      <c r="G357" s="101"/>
      <c r="H357" s="92"/>
      <c r="I357" s="93"/>
      <c r="J357" s="93"/>
      <c r="K357" s="93"/>
      <c r="L357" s="93"/>
      <c r="M357" s="93"/>
      <c r="N357" s="92"/>
      <c r="O357" s="92"/>
      <c r="P357" s="102">
        <f>+P356</f>
        <v>32000000</v>
      </c>
      <c r="Q357" s="101"/>
      <c r="R357" s="105"/>
      <c r="S357" s="86"/>
      <c r="T357" s="95"/>
      <c r="U357" s="103">
        <f>+U356</f>
        <v>31998928</v>
      </c>
      <c r="V357" s="89"/>
      <c r="W357" s="86"/>
      <c r="X357" s="95"/>
      <c r="Y357" s="103">
        <f>+Y356</f>
        <v>31998928</v>
      </c>
      <c r="Z357" s="86"/>
      <c r="AA357" s="95"/>
      <c r="AB357" s="103">
        <f>+AB356</f>
        <v>31998928</v>
      </c>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row>
    <row r="358" spans="1:133" s="112" customFormat="1" ht="54" x14ac:dyDescent="0.25">
      <c r="A358" s="309" t="s">
        <v>1536</v>
      </c>
      <c r="B358" s="536" t="s">
        <v>1538</v>
      </c>
      <c r="C358" s="318" t="s">
        <v>1539</v>
      </c>
      <c r="D358" s="401" t="s">
        <v>2205</v>
      </c>
      <c r="E358" s="396" t="s">
        <v>118</v>
      </c>
      <c r="F358" s="324"/>
      <c r="G358" s="324"/>
      <c r="H358" s="309"/>
      <c r="I358" s="48"/>
      <c r="J358" s="48"/>
      <c r="K358" s="48"/>
      <c r="L358" s="48"/>
      <c r="M358" s="274">
        <v>1440000000</v>
      </c>
      <c r="N358" s="338"/>
      <c r="O358" s="338"/>
      <c r="P358" s="516">
        <f>+F358+G358+H358+I358+J358+K358+L358+M358+N358-O358</f>
        <v>1440000000</v>
      </c>
      <c r="Q358" s="324">
        <v>1440000000</v>
      </c>
      <c r="R358" s="261" t="s">
        <v>2750</v>
      </c>
      <c r="S358" s="461" t="s">
        <v>2751</v>
      </c>
      <c r="T358" s="464" t="s">
        <v>2752</v>
      </c>
      <c r="U358" s="540">
        <v>1375270000</v>
      </c>
      <c r="V358" s="46"/>
      <c r="W358" s="572">
        <v>1466</v>
      </c>
      <c r="X358" s="265" t="s">
        <v>2782</v>
      </c>
      <c r="Y358" s="578">
        <v>1375270000</v>
      </c>
      <c r="Z358" s="572">
        <v>6352</v>
      </c>
      <c r="AA358" s="265" t="s">
        <v>2816</v>
      </c>
      <c r="AB358" s="169">
        <v>1375270000</v>
      </c>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c r="EA358" s="111"/>
      <c r="EB358" s="111"/>
      <c r="EC358" s="111"/>
    </row>
    <row r="359" spans="1:133" s="341" customFormat="1" ht="15" x14ac:dyDescent="0.25">
      <c r="A359" s="86"/>
      <c r="B359" s="86"/>
      <c r="C359" s="86"/>
      <c r="D359" s="86"/>
      <c r="E359" s="116"/>
      <c r="F359" s="103"/>
      <c r="G359" s="103"/>
      <c r="H359" s="86"/>
      <c r="I359" s="86"/>
      <c r="J359" s="86"/>
      <c r="K359" s="86"/>
      <c r="L359" s="86"/>
      <c r="M359" s="86"/>
      <c r="N359" s="86"/>
      <c r="O359" s="86"/>
      <c r="P359" s="88">
        <f>+P358</f>
        <v>1440000000</v>
      </c>
      <c r="Q359" s="103"/>
      <c r="R359" s="105"/>
      <c r="S359" s="86"/>
      <c r="T359" s="95"/>
      <c r="U359" s="103">
        <f>+U358</f>
        <v>1375270000</v>
      </c>
      <c r="V359" s="119"/>
      <c r="W359" s="86"/>
      <c r="X359" s="95"/>
      <c r="Y359" s="103">
        <f>+Y358</f>
        <v>1375270000</v>
      </c>
      <c r="Z359" s="86"/>
      <c r="AA359" s="95"/>
      <c r="AB359" s="103">
        <f>+AB358</f>
        <v>1375270000</v>
      </c>
    </row>
    <row r="360" spans="1:133" s="63" customFormat="1" ht="17.25" thickBot="1" x14ac:dyDescent="0.35">
      <c r="A360" s="339"/>
      <c r="B360" s="339"/>
      <c r="C360" s="220"/>
      <c r="D360" s="220"/>
      <c r="E360" s="220"/>
      <c r="F360" s="221"/>
      <c r="G360" s="220"/>
      <c r="H360" s="220"/>
      <c r="I360" s="217"/>
      <c r="J360" s="217"/>
      <c r="K360" s="217"/>
      <c r="L360" s="42"/>
      <c r="M360" s="42"/>
      <c r="N360" s="54" t="s">
        <v>29</v>
      </c>
      <c r="O360" s="54"/>
      <c r="P360" s="55">
        <f>+P313+P340+P348+P352+P350+P355+P357+P359</f>
        <v>10360164221</v>
      </c>
      <c r="Q360" s="56"/>
      <c r="R360" s="56"/>
      <c r="S360" s="56"/>
      <c r="T360" s="56"/>
      <c r="U360" s="67">
        <f>+U313+U340+U348+U352+U350+U355+U357+U359</f>
        <v>9337250174.0599995</v>
      </c>
      <c r="V360" s="340">
        <f>(U360*1)/P360</f>
        <v>0.90126468797989134</v>
      </c>
      <c r="W360" s="327"/>
      <c r="X360" s="113"/>
      <c r="Y360" s="114">
        <f>+Y313+Y340+Y348+Y352+Y350+Y355+Y357+Y359</f>
        <v>9272724570.0599995</v>
      </c>
      <c r="Z360" s="327"/>
      <c r="AA360" s="113"/>
      <c r="AB360" s="115">
        <f>+AB313+AB340+AB348+AB352+AB350+AB355+AB357+AB359</f>
        <v>9272724570.0599995</v>
      </c>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2"/>
      <c r="BD360" s="62"/>
      <c r="BE360" s="62"/>
      <c r="BF360" s="62"/>
      <c r="BG360" s="62"/>
      <c r="BH360" s="62"/>
      <c r="BI360" s="62"/>
      <c r="BJ360" s="62"/>
      <c r="BK360" s="62"/>
      <c r="BL360" s="62"/>
      <c r="BM360" s="62"/>
      <c r="BN360" s="62"/>
      <c r="BO360" s="62"/>
      <c r="BP360" s="62"/>
      <c r="BQ360" s="62"/>
      <c r="BR360" s="62"/>
      <c r="BS360" s="62"/>
      <c r="BT360" s="62"/>
      <c r="BU360" s="62"/>
      <c r="BV360" s="62"/>
      <c r="BW360" s="62"/>
      <c r="BX360" s="62"/>
      <c r="BY360" s="62"/>
      <c r="BZ360" s="62"/>
      <c r="CA360" s="62"/>
      <c r="CB360" s="62"/>
      <c r="CC360" s="62"/>
      <c r="CD360" s="62"/>
      <c r="CE360" s="62"/>
      <c r="CF360" s="62"/>
      <c r="CG360" s="62"/>
      <c r="CH360" s="62"/>
      <c r="CI360" s="62"/>
      <c r="CJ360" s="62"/>
      <c r="CK360" s="62"/>
      <c r="CL360" s="62"/>
      <c r="CM360" s="62"/>
      <c r="CN360" s="62"/>
      <c r="CO360" s="62"/>
      <c r="CP360" s="62"/>
      <c r="CQ360" s="62"/>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row>
    <row r="361" spans="1:133" ht="15" x14ac:dyDescent="0.25">
      <c r="P361" s="285"/>
      <c r="V361" s="4"/>
    </row>
    <row r="362" spans="1:133" ht="15" x14ac:dyDescent="0.25">
      <c r="U362" s="39"/>
      <c r="V362" s="6"/>
      <c r="W362" s="39"/>
      <c r="AB362" s="251"/>
    </row>
    <row r="363" spans="1:133" ht="15" x14ac:dyDescent="0.25">
      <c r="U363" s="39"/>
      <c r="V363" s="6"/>
      <c r="W363" s="39"/>
    </row>
    <row r="364" spans="1:133" ht="15" x14ac:dyDescent="0.25">
      <c r="U364" s="39"/>
      <c r="V364" s="6"/>
      <c r="W364" s="39"/>
    </row>
    <row r="365" spans="1:133" ht="15" x14ac:dyDescent="0.25">
      <c r="U365" s="39"/>
      <c r="V365" s="6"/>
      <c r="W365" s="39"/>
    </row>
    <row r="366" spans="1:133" ht="15" x14ac:dyDescent="0.25">
      <c r="U366" s="39"/>
      <c r="V366" s="6"/>
      <c r="W366" s="39"/>
    </row>
    <row r="367" spans="1:133" ht="15" x14ac:dyDescent="0.25">
      <c r="U367" s="39"/>
      <c r="V367" s="6"/>
      <c r="W367" s="39"/>
    </row>
    <row r="368" spans="1:133" ht="15" x14ac:dyDescent="0.25">
      <c r="U368" s="39"/>
      <c r="V368" s="6"/>
      <c r="W368" s="39"/>
    </row>
    <row r="369" spans="21:23" ht="15" x14ac:dyDescent="0.25">
      <c r="U369" s="39"/>
      <c r="V369" s="6"/>
      <c r="W369" s="39"/>
    </row>
    <row r="370" spans="21:23" ht="15" x14ac:dyDescent="0.25">
      <c r="U370" s="39"/>
      <c r="V370" s="7"/>
      <c r="W370" s="39"/>
    </row>
    <row r="371" spans="21:23" ht="15" x14ac:dyDescent="0.25"/>
    <row r="372" spans="21:23" ht="15" x14ac:dyDescent="0.25"/>
    <row r="373" spans="21:23" ht="15" x14ac:dyDescent="0.25"/>
    <row r="374" spans="21:23" ht="15" x14ac:dyDescent="0.25"/>
    <row r="375" spans="21:23" ht="15" x14ac:dyDescent="0.25"/>
    <row r="376" spans="21:23" ht="15" x14ac:dyDescent="0.25"/>
    <row r="377" spans="21:23" ht="15" x14ac:dyDescent="0.25"/>
    <row r="378" spans="21:23" ht="15" x14ac:dyDescent="0.25"/>
    <row r="379" spans="21:23" ht="15" x14ac:dyDescent="0.25"/>
    <row r="380" spans="21:23" ht="15" x14ac:dyDescent="0.25"/>
    <row r="381" spans="21:23" ht="15" x14ac:dyDescent="0.25"/>
    <row r="382" spans="21:23" ht="15" x14ac:dyDescent="0.25"/>
    <row r="383" spans="21:23" ht="15" x14ac:dyDescent="0.25"/>
    <row r="384" spans="21:23"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customHeight="1" x14ac:dyDescent="0.25"/>
    <row r="414" ht="15"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hidden="1" customHeight="1" x14ac:dyDescent="0.25"/>
    <row r="849" ht="15" hidden="1" customHeight="1" x14ac:dyDescent="0.25"/>
    <row r="850" ht="15" hidden="1" customHeight="1" x14ac:dyDescent="0.25"/>
    <row r="851" ht="15" hidden="1" customHeight="1" x14ac:dyDescent="0.25"/>
    <row r="852" ht="15" hidden="1" customHeight="1" x14ac:dyDescent="0.25"/>
    <row r="853" ht="15" hidden="1" customHeight="1" x14ac:dyDescent="0.25"/>
    <row r="854" ht="15" hidden="1" customHeight="1" x14ac:dyDescent="0.25"/>
    <row r="855" ht="15" hidden="1" customHeight="1" x14ac:dyDescent="0.25"/>
    <row r="856" ht="15" hidden="1" customHeight="1" x14ac:dyDescent="0.25"/>
    <row r="857" ht="15" hidden="1" customHeight="1" x14ac:dyDescent="0.25"/>
    <row r="858" ht="15" hidden="1" customHeight="1" x14ac:dyDescent="0.25"/>
    <row r="859" ht="15" hidden="1" customHeight="1" x14ac:dyDescent="0.25"/>
    <row r="860" ht="15" hidden="1" customHeight="1" x14ac:dyDescent="0.25"/>
    <row r="861" ht="15" hidden="1" customHeight="1" x14ac:dyDescent="0.25"/>
    <row r="862" ht="15" hidden="1" customHeight="1" x14ac:dyDescent="0.25"/>
    <row r="863" ht="15" hidden="1" customHeight="1" x14ac:dyDescent="0.25"/>
    <row r="864" ht="15" hidden="1" customHeight="1" x14ac:dyDescent="0.25"/>
    <row r="865" ht="15" hidden="1" customHeight="1" x14ac:dyDescent="0.25"/>
    <row r="866" ht="15" hidden="1" customHeight="1" x14ac:dyDescent="0.25"/>
    <row r="867" ht="15" hidden="1" customHeight="1" x14ac:dyDescent="0.25"/>
    <row r="868" ht="15" hidden="1" customHeight="1" x14ac:dyDescent="0.25"/>
    <row r="869" ht="15" hidden="1" customHeight="1" x14ac:dyDescent="0.25"/>
    <row r="870" ht="15" hidden="1" customHeight="1" x14ac:dyDescent="0.25"/>
    <row r="871" ht="15" hidden="1" customHeight="1" x14ac:dyDescent="0.25"/>
    <row r="872" ht="15" hidden="1" customHeight="1" x14ac:dyDescent="0.25"/>
    <row r="873" ht="15" hidden="1" customHeight="1" x14ac:dyDescent="0.25"/>
    <row r="874" ht="15" hidden="1" customHeight="1" x14ac:dyDescent="0.25"/>
    <row r="875" ht="15" hidden="1" customHeight="1" x14ac:dyDescent="0.25"/>
    <row r="876" ht="15" hidden="1" customHeight="1" x14ac:dyDescent="0.25"/>
    <row r="877" ht="15" hidden="1" customHeight="1" x14ac:dyDescent="0.25"/>
    <row r="878" ht="15" hidden="1" customHeight="1" x14ac:dyDescent="0.25"/>
    <row r="879" ht="15" hidden="1" customHeight="1" x14ac:dyDescent="0.25"/>
    <row r="880" ht="15" hidden="1" customHeight="1" x14ac:dyDescent="0.25"/>
    <row r="881" ht="15" hidden="1" customHeight="1" x14ac:dyDescent="0.25"/>
    <row r="882" ht="15" hidden="1" customHeight="1" x14ac:dyDescent="0.25"/>
    <row r="883" ht="15" hidden="1" customHeight="1" x14ac:dyDescent="0.25"/>
    <row r="884" ht="15" hidden="1" customHeight="1" x14ac:dyDescent="0.25"/>
    <row r="885" ht="15" hidden="1" customHeight="1" x14ac:dyDescent="0.25"/>
    <row r="886" ht="15" hidden="1" customHeight="1" x14ac:dyDescent="0.25"/>
    <row r="887" ht="15" hidden="1" customHeight="1" x14ac:dyDescent="0.25"/>
    <row r="888" ht="15" hidden="1" customHeight="1" x14ac:dyDescent="0.25"/>
    <row r="889" ht="15" hidden="1" customHeight="1" x14ac:dyDescent="0.25"/>
    <row r="890" ht="15" hidden="1" customHeight="1" x14ac:dyDescent="0.25"/>
    <row r="891" ht="15" hidden="1" customHeight="1" x14ac:dyDescent="0.25"/>
    <row r="892" ht="15" hidden="1" customHeight="1" x14ac:dyDescent="0.25"/>
    <row r="893" ht="15" hidden="1" customHeight="1" x14ac:dyDescent="0.25"/>
    <row r="894" ht="15" hidden="1" customHeight="1" x14ac:dyDescent="0.25"/>
    <row r="895" ht="15" hidden="1" customHeight="1" x14ac:dyDescent="0.25"/>
    <row r="896" ht="15" hidden="1" customHeight="1" x14ac:dyDescent="0.25"/>
    <row r="897" ht="15" hidden="1" customHeight="1" x14ac:dyDescent="0.25"/>
    <row r="898" ht="15" hidden="1" customHeight="1" x14ac:dyDescent="0.25"/>
    <row r="899" ht="15" hidden="1" customHeight="1" x14ac:dyDescent="0.25"/>
    <row r="900" ht="15" hidden="1" customHeight="1" x14ac:dyDescent="0.25"/>
    <row r="901" ht="15" hidden="1" customHeight="1" x14ac:dyDescent="0.25"/>
    <row r="902" ht="15" hidden="1" customHeight="1" x14ac:dyDescent="0.25"/>
    <row r="903" ht="15" hidden="1" customHeight="1" x14ac:dyDescent="0.25"/>
    <row r="904" ht="15" hidden="1" customHeight="1" x14ac:dyDescent="0.25"/>
    <row r="905" ht="15" hidden="1" customHeight="1" x14ac:dyDescent="0.25"/>
    <row r="906" ht="15" hidden="1" customHeight="1" x14ac:dyDescent="0.25"/>
    <row r="907" ht="15" hidden="1" customHeight="1" x14ac:dyDescent="0.25"/>
    <row r="908" ht="15" hidden="1" customHeight="1" x14ac:dyDescent="0.25"/>
    <row r="909" ht="15" hidden="1" customHeight="1" x14ac:dyDescent="0.25"/>
    <row r="910" ht="15" hidden="1" customHeight="1" x14ac:dyDescent="0.25"/>
    <row r="911" ht="15" hidden="1" customHeight="1" x14ac:dyDescent="0.25"/>
    <row r="912" ht="15" hidden="1" customHeight="1" x14ac:dyDescent="0.25"/>
    <row r="913" ht="15" hidden="1" customHeight="1" x14ac:dyDescent="0.25"/>
    <row r="914" ht="15" hidden="1" customHeight="1" x14ac:dyDescent="0.25"/>
    <row r="915" ht="15" hidden="1" customHeight="1" x14ac:dyDescent="0.25"/>
    <row r="916" ht="15" hidden="1" customHeight="1" x14ac:dyDescent="0.25"/>
    <row r="917" ht="15" hidden="1" customHeight="1" x14ac:dyDescent="0.25"/>
    <row r="918" ht="15" hidden="1" customHeight="1" x14ac:dyDescent="0.25"/>
    <row r="919" ht="15" hidden="1" customHeight="1" x14ac:dyDescent="0.25"/>
    <row r="920" ht="15" hidden="1" customHeight="1" x14ac:dyDescent="0.25"/>
    <row r="921" ht="15" hidden="1" customHeight="1" x14ac:dyDescent="0.25"/>
    <row r="922" ht="15" hidden="1" customHeight="1" x14ac:dyDescent="0.25"/>
    <row r="923" ht="15" hidden="1" customHeight="1" x14ac:dyDescent="0.25"/>
    <row r="924" ht="15" hidden="1" customHeight="1" x14ac:dyDescent="0.25"/>
    <row r="925" ht="15" hidden="1" customHeight="1" x14ac:dyDescent="0.25"/>
    <row r="926" ht="15" hidden="1" customHeight="1" x14ac:dyDescent="0.25"/>
    <row r="927" ht="15" hidden="1" customHeight="1" x14ac:dyDescent="0.25"/>
    <row r="928" ht="15" hidden="1" customHeight="1" x14ac:dyDescent="0.25"/>
    <row r="929" ht="15" hidden="1" customHeight="1" x14ac:dyDescent="0.25"/>
    <row r="930" ht="15" hidden="1" customHeight="1" x14ac:dyDescent="0.25"/>
    <row r="931" ht="15" hidden="1" customHeight="1" x14ac:dyDescent="0.25"/>
    <row r="932" ht="15" hidden="1" customHeight="1" x14ac:dyDescent="0.25"/>
    <row r="933" ht="15" hidden="1" customHeight="1" x14ac:dyDescent="0.25"/>
    <row r="934" ht="15" hidden="1" customHeight="1" x14ac:dyDescent="0.25"/>
    <row r="935" ht="15" hidden="1" customHeight="1" x14ac:dyDescent="0.25"/>
    <row r="936" ht="15" hidden="1" customHeight="1" x14ac:dyDescent="0.25"/>
    <row r="937" ht="15" hidden="1" customHeight="1" x14ac:dyDescent="0.25"/>
    <row r="938" ht="15" hidden="1" customHeight="1" x14ac:dyDescent="0.25"/>
    <row r="939" ht="15" hidden="1" customHeight="1" x14ac:dyDescent="0.25"/>
    <row r="940" ht="15" hidden="1" customHeight="1" x14ac:dyDescent="0.25"/>
    <row r="941" ht="15" hidden="1" customHeight="1" x14ac:dyDescent="0.25"/>
    <row r="942" ht="15" hidden="1" customHeight="1" x14ac:dyDescent="0.25"/>
    <row r="943" ht="15" hidden="1" customHeight="1" x14ac:dyDescent="0.25"/>
    <row r="944" ht="15" hidden="1" customHeight="1" x14ac:dyDescent="0.25"/>
    <row r="945" ht="15" hidden="1" customHeight="1" x14ac:dyDescent="0.25"/>
    <row r="946" ht="15" hidden="1" customHeight="1" x14ac:dyDescent="0.25"/>
    <row r="947" ht="15" hidden="1" customHeight="1" x14ac:dyDescent="0.25"/>
    <row r="948" ht="15" hidden="1" customHeight="1" x14ac:dyDescent="0.25"/>
    <row r="949" ht="15" hidden="1" customHeight="1" x14ac:dyDescent="0.25"/>
    <row r="950" ht="15" hidden="1" customHeight="1" x14ac:dyDescent="0.25"/>
    <row r="951" ht="15" hidden="1" customHeight="1" x14ac:dyDescent="0.25"/>
    <row r="952" ht="15" hidden="1" customHeight="1" x14ac:dyDescent="0.25"/>
    <row r="953" ht="15" hidden="1" customHeight="1" x14ac:dyDescent="0.25"/>
    <row r="954" ht="15" hidden="1" customHeight="1" x14ac:dyDescent="0.25"/>
    <row r="955" ht="15" hidden="1" customHeight="1" x14ac:dyDescent="0.25"/>
    <row r="956" ht="15" hidden="1" customHeight="1" x14ac:dyDescent="0.25"/>
    <row r="957" ht="15" hidden="1" customHeight="1" x14ac:dyDescent="0.25"/>
    <row r="958" ht="15" hidden="1" customHeight="1" x14ac:dyDescent="0.25"/>
    <row r="959" ht="15" hidden="1" customHeight="1" x14ac:dyDescent="0.25"/>
    <row r="960" ht="15" hidden="1" customHeight="1" x14ac:dyDescent="0.25"/>
    <row r="961" ht="15" hidden="1" customHeight="1" x14ac:dyDescent="0.25"/>
    <row r="962" ht="15" hidden="1" customHeight="1" x14ac:dyDescent="0.25"/>
    <row r="963" ht="15" hidden="1" customHeight="1" x14ac:dyDescent="0.25"/>
    <row r="964" ht="15" hidden="1" customHeight="1" x14ac:dyDescent="0.25"/>
    <row r="965" ht="15" hidden="1" customHeight="1" x14ac:dyDescent="0.25"/>
    <row r="966" ht="15" hidden="1" customHeight="1" x14ac:dyDescent="0.25"/>
    <row r="967" ht="15" hidden="1" customHeight="1" x14ac:dyDescent="0.25"/>
    <row r="968" ht="15" hidden="1" customHeight="1" x14ac:dyDescent="0.25"/>
    <row r="969" ht="15" hidden="1" customHeight="1" x14ac:dyDescent="0.25"/>
    <row r="970" ht="15" hidden="1" customHeight="1" x14ac:dyDescent="0.25"/>
    <row r="971" ht="15" hidden="1" customHeight="1" x14ac:dyDescent="0.25"/>
    <row r="972" ht="15" hidden="1" customHeight="1" x14ac:dyDescent="0.25"/>
    <row r="973" ht="15" hidden="1" customHeight="1" x14ac:dyDescent="0.25"/>
    <row r="974" ht="15" hidden="1" customHeight="1" x14ac:dyDescent="0.25"/>
    <row r="975" ht="15" hidden="1" customHeight="1" x14ac:dyDescent="0.25"/>
    <row r="976" ht="15" hidden="1" customHeight="1" x14ac:dyDescent="0.25"/>
    <row r="977" ht="15" hidden="1" customHeight="1" x14ac:dyDescent="0.25"/>
    <row r="978" ht="15" hidden="1" customHeight="1" x14ac:dyDescent="0.25"/>
    <row r="979" ht="15" hidden="1" customHeight="1" x14ac:dyDescent="0.25"/>
    <row r="980" ht="15" hidden="1" customHeight="1" x14ac:dyDescent="0.25"/>
    <row r="981" ht="15" hidden="1" customHeight="1" x14ac:dyDescent="0.25"/>
    <row r="982" ht="15" hidden="1" customHeight="1" x14ac:dyDescent="0.25"/>
    <row r="983" ht="15" hidden="1" customHeight="1" x14ac:dyDescent="0.25"/>
    <row r="984" ht="15" hidden="1" customHeight="1" x14ac:dyDescent="0.25"/>
    <row r="985" ht="15" hidden="1" customHeight="1" x14ac:dyDescent="0.25"/>
    <row r="986" ht="15" hidden="1" customHeight="1" x14ac:dyDescent="0.25"/>
    <row r="987" ht="15" hidden="1" customHeight="1" x14ac:dyDescent="0.25"/>
    <row r="988" ht="15" hidden="1" customHeight="1" x14ac:dyDescent="0.25"/>
    <row r="989" ht="15" hidden="1" customHeight="1" x14ac:dyDescent="0.25"/>
    <row r="990" ht="15" hidden="1" customHeight="1" x14ac:dyDescent="0.25"/>
    <row r="991" ht="15" hidden="1" customHeight="1" x14ac:dyDescent="0.25"/>
    <row r="992" ht="15" hidden="1" customHeight="1" x14ac:dyDescent="0.25"/>
    <row r="993" ht="15" hidden="1" customHeight="1" x14ac:dyDescent="0.25"/>
    <row r="994" ht="15" hidden="1" customHeight="1" x14ac:dyDescent="0.25"/>
    <row r="995" ht="15" hidden="1" customHeight="1" x14ac:dyDescent="0.25"/>
    <row r="996" ht="15" hidden="1" customHeight="1" x14ac:dyDescent="0.25"/>
    <row r="997" ht="15" hidden="1" customHeight="1" x14ac:dyDescent="0.25"/>
    <row r="998" ht="15" hidden="1" customHeight="1" x14ac:dyDescent="0.25"/>
    <row r="999" ht="15" hidden="1" customHeight="1" x14ac:dyDescent="0.25"/>
    <row r="1000" ht="15" hidden="1" customHeight="1" x14ac:dyDescent="0.25"/>
    <row r="1001" ht="15" hidden="1" customHeight="1" x14ac:dyDescent="0.25"/>
    <row r="1002" ht="15" hidden="1" customHeight="1" x14ac:dyDescent="0.25"/>
    <row r="1003" ht="15" hidden="1" customHeight="1" x14ac:dyDescent="0.25"/>
    <row r="1004" ht="15" hidden="1" customHeight="1" x14ac:dyDescent="0.25"/>
    <row r="1005" ht="15" hidden="1" customHeight="1" x14ac:dyDescent="0.25"/>
    <row r="1006" ht="15" hidden="1" customHeight="1" x14ac:dyDescent="0.25"/>
    <row r="1007" ht="15" hidden="1" customHeight="1" x14ac:dyDescent="0.25"/>
    <row r="1008" ht="15" hidden="1" customHeight="1" x14ac:dyDescent="0.25"/>
    <row r="1009" ht="15" hidden="1" customHeight="1" x14ac:dyDescent="0.25"/>
    <row r="1010" ht="15" hidden="1" customHeight="1" x14ac:dyDescent="0.25"/>
    <row r="1011" ht="15" hidden="1" customHeight="1" x14ac:dyDescent="0.25"/>
    <row r="1012" ht="15" hidden="1" customHeight="1" x14ac:dyDescent="0.25"/>
    <row r="1013" ht="15" hidden="1" customHeight="1" x14ac:dyDescent="0.25"/>
    <row r="1014" ht="15" hidden="1" customHeight="1" x14ac:dyDescent="0.25"/>
    <row r="1015" ht="15" hidden="1" customHeight="1" x14ac:dyDescent="0.25"/>
    <row r="1016" ht="15" hidden="1" customHeight="1" x14ac:dyDescent="0.25"/>
    <row r="1017" ht="15" hidden="1" customHeight="1" x14ac:dyDescent="0.25"/>
    <row r="1018" ht="15" hidden="1" customHeight="1" x14ac:dyDescent="0.25"/>
    <row r="1019" ht="15" hidden="1" customHeight="1" x14ac:dyDescent="0.25"/>
    <row r="1020" ht="15" hidden="1" customHeight="1" x14ac:dyDescent="0.25"/>
    <row r="1021" ht="15" hidden="1" customHeight="1" x14ac:dyDescent="0.25"/>
    <row r="1022" ht="15" hidden="1" customHeight="1" x14ac:dyDescent="0.25"/>
    <row r="1023" ht="15" hidden="1" customHeight="1" x14ac:dyDescent="0.25"/>
    <row r="1024" ht="15" hidden="1" customHeight="1" x14ac:dyDescent="0.25"/>
    <row r="1025" ht="15" hidden="1" customHeight="1" x14ac:dyDescent="0.25"/>
    <row r="1026" ht="15" hidden="1" customHeight="1" x14ac:dyDescent="0.25"/>
    <row r="1027" ht="15" hidden="1" customHeight="1" x14ac:dyDescent="0.25"/>
    <row r="1028" ht="15" hidden="1" customHeight="1" x14ac:dyDescent="0.25"/>
    <row r="1029" ht="15" hidden="1" customHeight="1" x14ac:dyDescent="0.25"/>
    <row r="1030" ht="15" hidden="1" customHeight="1" x14ac:dyDescent="0.25"/>
    <row r="1031" ht="15" hidden="1" customHeight="1" x14ac:dyDescent="0.25"/>
    <row r="1032" ht="15" hidden="1" customHeight="1" x14ac:dyDescent="0.25"/>
    <row r="1033" ht="15" hidden="1" customHeight="1" x14ac:dyDescent="0.25"/>
    <row r="1034" ht="15" hidden="1" customHeight="1" x14ac:dyDescent="0.25"/>
    <row r="1035" ht="15" hidden="1" customHeight="1" x14ac:dyDescent="0.25"/>
    <row r="1036" ht="15" hidden="1" customHeight="1" x14ac:dyDescent="0.25"/>
    <row r="1037" ht="15" hidden="1" customHeight="1" x14ac:dyDescent="0.25"/>
    <row r="1038" ht="15" hidden="1" customHeight="1" x14ac:dyDescent="0.25"/>
    <row r="1039" ht="15" hidden="1" customHeight="1" x14ac:dyDescent="0.25"/>
    <row r="1040" ht="15" hidden="1" customHeight="1" x14ac:dyDescent="0.25"/>
    <row r="1041" ht="15" hidden="1" customHeight="1" x14ac:dyDescent="0.25"/>
    <row r="1042" ht="15" hidden="1" customHeight="1" x14ac:dyDescent="0.25"/>
    <row r="1043" ht="15" hidden="1" customHeight="1" x14ac:dyDescent="0.25"/>
    <row r="1044" ht="15" hidden="1" customHeight="1" x14ac:dyDescent="0.25"/>
    <row r="1045" ht="15" hidden="1" customHeight="1" x14ac:dyDescent="0.25"/>
    <row r="1046" ht="15" hidden="1" customHeight="1" x14ac:dyDescent="0.25"/>
    <row r="1047" ht="15" hidden="1" customHeight="1" x14ac:dyDescent="0.25"/>
    <row r="1048" ht="15" hidden="1" customHeight="1" x14ac:dyDescent="0.25"/>
    <row r="1049" ht="15" hidden="1" customHeight="1" x14ac:dyDescent="0.25"/>
    <row r="1050" ht="15" hidden="1" customHeight="1" x14ac:dyDescent="0.25"/>
    <row r="1051" ht="15" hidden="1" customHeight="1" x14ac:dyDescent="0.25"/>
    <row r="1052" ht="15" hidden="1" customHeight="1" x14ac:dyDescent="0.25"/>
    <row r="1053" ht="15" hidden="1" customHeight="1" x14ac:dyDescent="0.25"/>
    <row r="1054" ht="15" hidden="1" customHeight="1" x14ac:dyDescent="0.25"/>
    <row r="1055" ht="15" hidden="1" customHeight="1" x14ac:dyDescent="0.25"/>
    <row r="1056" ht="15" hidden="1" customHeight="1" x14ac:dyDescent="0.25"/>
    <row r="1057" ht="15" hidden="1" customHeight="1" x14ac:dyDescent="0.25"/>
    <row r="1058" ht="15" hidden="1" customHeight="1" x14ac:dyDescent="0.25"/>
    <row r="1059" ht="15" hidden="1" customHeight="1" x14ac:dyDescent="0.25"/>
    <row r="1060" ht="15" hidden="1" customHeight="1" x14ac:dyDescent="0.25"/>
    <row r="1061" ht="15" hidden="1" customHeight="1" x14ac:dyDescent="0.25"/>
    <row r="1062" ht="15" hidden="1" customHeight="1" x14ac:dyDescent="0.25"/>
    <row r="1063" ht="15" hidden="1" customHeight="1" x14ac:dyDescent="0.25"/>
    <row r="1064" ht="15" hidden="1" customHeight="1" x14ac:dyDescent="0.25"/>
    <row r="1065" ht="15" hidden="1" customHeight="1" x14ac:dyDescent="0.25"/>
    <row r="1066" ht="15" hidden="1" customHeight="1" x14ac:dyDescent="0.25"/>
    <row r="1067" ht="15" hidden="1" customHeight="1" x14ac:dyDescent="0.25"/>
    <row r="1068" ht="15" hidden="1" customHeight="1" x14ac:dyDescent="0.25"/>
    <row r="1069" ht="15" hidden="1" customHeight="1" x14ac:dyDescent="0.25"/>
    <row r="1070" ht="15" hidden="1" customHeight="1" x14ac:dyDescent="0.25"/>
    <row r="1071" ht="15" hidden="1" customHeight="1" x14ac:dyDescent="0.25"/>
    <row r="1072" ht="15" hidden="1" customHeight="1" x14ac:dyDescent="0.25"/>
    <row r="1073" ht="15" hidden="1" customHeight="1" x14ac:dyDescent="0.25"/>
    <row r="1074" ht="15" hidden="1" customHeight="1" x14ac:dyDescent="0.25"/>
    <row r="1075" ht="15" hidden="1" customHeight="1" x14ac:dyDescent="0.25"/>
    <row r="1076" ht="15" hidden="1" customHeight="1" x14ac:dyDescent="0.25"/>
    <row r="1077" ht="15" hidden="1" customHeight="1" x14ac:dyDescent="0.25"/>
    <row r="1078" ht="15" hidden="1" customHeight="1" x14ac:dyDescent="0.25"/>
    <row r="1079" ht="15" hidden="1" customHeight="1" x14ac:dyDescent="0.25"/>
    <row r="1080" ht="15" hidden="1" customHeight="1" x14ac:dyDescent="0.25"/>
    <row r="1081" ht="15" hidden="1" customHeight="1" x14ac:dyDescent="0.25"/>
    <row r="1082" ht="15" hidden="1" customHeight="1" x14ac:dyDescent="0.25"/>
    <row r="1083" ht="15" hidden="1" customHeight="1" x14ac:dyDescent="0.25"/>
    <row r="1084" ht="15" hidden="1" customHeight="1" x14ac:dyDescent="0.25"/>
    <row r="1085" ht="15" hidden="1" customHeight="1" x14ac:dyDescent="0.25"/>
    <row r="1086" ht="15" hidden="1" customHeight="1" x14ac:dyDescent="0.25"/>
    <row r="1087" ht="15" hidden="1" customHeight="1" x14ac:dyDescent="0.25"/>
    <row r="1088" ht="15" hidden="1" customHeight="1" x14ac:dyDescent="0.25"/>
    <row r="1089" ht="15" hidden="1" customHeight="1" x14ac:dyDescent="0.25"/>
    <row r="1090" ht="15" hidden="1" customHeight="1" x14ac:dyDescent="0.25"/>
    <row r="1091" ht="15" hidden="1" customHeight="1" x14ac:dyDescent="0.25"/>
    <row r="1092" ht="15" hidden="1" customHeight="1" x14ac:dyDescent="0.25"/>
    <row r="1093" ht="15" hidden="1" customHeight="1" x14ac:dyDescent="0.25"/>
    <row r="1094" ht="15" hidden="1" customHeight="1" x14ac:dyDescent="0.25"/>
    <row r="1095" ht="15" hidden="1" customHeight="1" x14ac:dyDescent="0.25"/>
    <row r="1096" ht="15" hidden="1" customHeight="1" x14ac:dyDescent="0.25"/>
    <row r="1097" ht="15" hidden="1" customHeight="1" x14ac:dyDescent="0.25"/>
    <row r="1098" ht="15" hidden="1" customHeight="1" x14ac:dyDescent="0.25"/>
    <row r="1099" ht="15" hidden="1" customHeight="1" x14ac:dyDescent="0.25"/>
    <row r="1100" ht="15" hidden="1" customHeight="1" x14ac:dyDescent="0.25"/>
    <row r="1101" ht="15" hidden="1" customHeight="1" x14ac:dyDescent="0.25"/>
    <row r="1102" ht="15" hidden="1" customHeight="1" x14ac:dyDescent="0.25"/>
    <row r="1103" ht="15" hidden="1" customHeight="1" x14ac:dyDescent="0.25"/>
    <row r="1104" ht="15" hidden="1" customHeight="1" x14ac:dyDescent="0.25"/>
    <row r="1105" ht="15" hidden="1" customHeight="1" x14ac:dyDescent="0.25"/>
    <row r="1106" ht="15" hidden="1" customHeight="1" x14ac:dyDescent="0.25"/>
    <row r="1107" ht="15" hidden="1" customHeight="1" x14ac:dyDescent="0.25"/>
    <row r="1108" ht="15" hidden="1" customHeight="1" x14ac:dyDescent="0.25"/>
    <row r="1109" ht="15" hidden="1" customHeight="1" x14ac:dyDescent="0.25"/>
    <row r="1110" ht="15" hidden="1" customHeight="1" x14ac:dyDescent="0.25"/>
    <row r="1111" ht="15" hidden="1"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20" ht="15" hidden="1" customHeight="1" x14ac:dyDescent="0.25"/>
    <row r="1121" ht="15" hidden="1" customHeight="1" x14ac:dyDescent="0.25"/>
    <row r="1122" ht="15" hidden="1" customHeight="1" x14ac:dyDescent="0.25"/>
    <row r="1123" ht="15" hidden="1" customHeight="1" x14ac:dyDescent="0.25"/>
    <row r="1124" ht="15" hidden="1" customHeight="1" x14ac:dyDescent="0.25"/>
    <row r="1125" ht="15" hidden="1" customHeight="1" x14ac:dyDescent="0.25"/>
    <row r="1126" ht="15" hidden="1" customHeight="1" x14ac:dyDescent="0.25"/>
    <row r="1127" ht="15" hidden="1" customHeight="1" x14ac:dyDescent="0.25"/>
    <row r="1128" ht="15" hidden="1" customHeight="1" x14ac:dyDescent="0.25"/>
    <row r="1129" ht="15" hidden="1" customHeight="1" x14ac:dyDescent="0.25"/>
    <row r="1130" ht="15" hidden="1" customHeight="1" x14ac:dyDescent="0.25"/>
    <row r="1131" ht="15" hidden="1" customHeight="1" x14ac:dyDescent="0.25"/>
    <row r="1132" ht="15" hidden="1" customHeight="1" x14ac:dyDescent="0.25"/>
    <row r="1133" ht="15" hidden="1" customHeight="1" x14ac:dyDescent="0.25"/>
    <row r="1134" ht="15" hidden="1" customHeight="1" x14ac:dyDescent="0.25"/>
    <row r="1135" ht="15" hidden="1" customHeight="1" x14ac:dyDescent="0.25"/>
    <row r="1136" ht="15" hidden="1" customHeight="1" x14ac:dyDescent="0.25"/>
    <row r="1137" ht="15" hidden="1" customHeight="1" x14ac:dyDescent="0.25"/>
    <row r="1138" ht="15" hidden="1" customHeight="1" x14ac:dyDescent="0.25"/>
    <row r="1139" ht="15" hidden="1" customHeight="1" x14ac:dyDescent="0.25"/>
    <row r="1140" ht="15" hidden="1" customHeight="1" x14ac:dyDescent="0.25"/>
    <row r="1141" ht="15" hidden="1" customHeight="1" x14ac:dyDescent="0.25"/>
    <row r="1142" ht="15" hidden="1" customHeight="1" x14ac:dyDescent="0.25"/>
    <row r="1143" ht="15" hidden="1" customHeight="1" x14ac:dyDescent="0.25"/>
    <row r="1144" ht="15" hidden="1" customHeight="1" x14ac:dyDescent="0.25"/>
    <row r="1145" ht="15" hidden="1" customHeight="1" x14ac:dyDescent="0.25"/>
    <row r="1146" ht="15" hidden="1" customHeight="1" x14ac:dyDescent="0.25"/>
    <row r="1147" ht="15" hidden="1"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53" ht="15" hidden="1" customHeight="1" x14ac:dyDescent="0.25"/>
    <row r="1154" ht="15" hidden="1" customHeight="1" x14ac:dyDescent="0.25"/>
    <row r="1155" ht="15" hidden="1"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0" hidden="1" customHeight="1" x14ac:dyDescent="0.25"/>
  </sheetData>
  <sheetProtection algorithmName="SHA-512" hashValue="YYg3SrWtyT78TgC6+G73TYn6j86rvzfqClWgR+spo+51gJfKY6LMBtkPH1wpx29Yo9sa34pb7hLVYGKRvnd9iQ==" saltValue="xexvDICnWFwyFAXyFs6ncA==" spinCount="100000" sheet="1" objects="1" scenarios="1" selectLockedCells="1" selectUnlockedCells="1"/>
  <mergeCells count="169">
    <mergeCell ref="Q341:Q347"/>
    <mergeCell ref="M335:M338"/>
    <mergeCell ref="N335:N338"/>
    <mergeCell ref="O335:O338"/>
    <mergeCell ref="P335:P338"/>
    <mergeCell ref="J343:J347"/>
    <mergeCell ref="K343:K347"/>
    <mergeCell ref="L343:L347"/>
    <mergeCell ref="D343:D347"/>
    <mergeCell ref="N343:N347"/>
    <mergeCell ref="O343:O347"/>
    <mergeCell ref="P343:P347"/>
    <mergeCell ref="C341:C347"/>
    <mergeCell ref="B341:B347"/>
    <mergeCell ref="A341:A347"/>
    <mergeCell ref="E343:E347"/>
    <mergeCell ref="F343:F347"/>
    <mergeCell ref="G343:G347"/>
    <mergeCell ref="H343:H347"/>
    <mergeCell ref="I343:I347"/>
    <mergeCell ref="M343:M347"/>
    <mergeCell ref="N332:N333"/>
    <mergeCell ref="O332:O333"/>
    <mergeCell ref="P332:P333"/>
    <mergeCell ref="L304:L311"/>
    <mergeCell ref="K106:K171"/>
    <mergeCell ref="L106:L171"/>
    <mergeCell ref="N172:N237"/>
    <mergeCell ref="O172:O237"/>
    <mergeCell ref="P172:P237"/>
    <mergeCell ref="O106:O171"/>
    <mergeCell ref="M332:M333"/>
    <mergeCell ref="L314:L331"/>
    <mergeCell ref="M314:M331"/>
    <mergeCell ref="N314:N331"/>
    <mergeCell ref="O314:O331"/>
    <mergeCell ref="P314:P331"/>
    <mergeCell ref="K8:K73"/>
    <mergeCell ref="L8:L73"/>
    <mergeCell ref="O74:O105"/>
    <mergeCell ref="P74:P105"/>
    <mergeCell ref="R172:R198"/>
    <mergeCell ref="S172:S198"/>
    <mergeCell ref="T172:T198"/>
    <mergeCell ref="U172:U198"/>
    <mergeCell ref="U74:U83"/>
    <mergeCell ref="T74:T83"/>
    <mergeCell ref="S74:S83"/>
    <mergeCell ref="R74:R83"/>
    <mergeCell ref="R106:R132"/>
    <mergeCell ref="S106:S132"/>
    <mergeCell ref="T106:T132"/>
    <mergeCell ref="U106:U132"/>
    <mergeCell ref="M8:M73"/>
    <mergeCell ref="N8:N73"/>
    <mergeCell ref="O8:O73"/>
    <mergeCell ref="P8:P73"/>
    <mergeCell ref="Q8:Q311"/>
    <mergeCell ref="K74:K105"/>
    <mergeCell ref="L74:L105"/>
    <mergeCell ref="M74:M105"/>
    <mergeCell ref="U238:U264"/>
    <mergeCell ref="N74:N105"/>
    <mergeCell ref="H74:H105"/>
    <mergeCell ref="I74:I105"/>
    <mergeCell ref="J74:J105"/>
    <mergeCell ref="P106:P171"/>
    <mergeCell ref="K172:K237"/>
    <mergeCell ref="L172:L237"/>
    <mergeCell ref="M172:M237"/>
    <mergeCell ref="J238:J303"/>
    <mergeCell ref="M106:M171"/>
    <mergeCell ref="N106:N171"/>
    <mergeCell ref="AA2:AB2"/>
    <mergeCell ref="B3:Z3"/>
    <mergeCell ref="AA3:AB3"/>
    <mergeCell ref="B4:Z5"/>
    <mergeCell ref="AA4:AB4"/>
    <mergeCell ref="AA5:AB5"/>
    <mergeCell ref="R8:R34"/>
    <mergeCell ref="S8:S34"/>
    <mergeCell ref="T8:T34"/>
    <mergeCell ref="U8:U34"/>
    <mergeCell ref="E8:E73"/>
    <mergeCell ref="D8:D73"/>
    <mergeCell ref="F8:F73"/>
    <mergeCell ref="G8:G73"/>
    <mergeCell ref="H8:H73"/>
    <mergeCell ref="I8:I73"/>
    <mergeCell ref="J8:J73"/>
    <mergeCell ref="B8:B311"/>
    <mergeCell ref="C8:C311"/>
    <mergeCell ref="D74:D105"/>
    <mergeCell ref="E74:E105"/>
    <mergeCell ref="F74:F105"/>
    <mergeCell ref="G74:G105"/>
    <mergeCell ref="R238:R264"/>
    <mergeCell ref="A2:A5"/>
    <mergeCell ref="B2:Z2"/>
    <mergeCell ref="D172:D237"/>
    <mergeCell ref="E172:E237"/>
    <mergeCell ref="F172:F237"/>
    <mergeCell ref="G172:G237"/>
    <mergeCell ref="H172:H237"/>
    <mergeCell ref="I172:I237"/>
    <mergeCell ref="J172:J237"/>
    <mergeCell ref="G106:G171"/>
    <mergeCell ref="H106:H171"/>
    <mergeCell ref="I106:I171"/>
    <mergeCell ref="J106:J171"/>
    <mergeCell ref="A8:A311"/>
    <mergeCell ref="D304:D311"/>
    <mergeCell ref="E304:E311"/>
    <mergeCell ref="F304:F311"/>
    <mergeCell ref="I304:I311"/>
    <mergeCell ref="J304:J311"/>
    <mergeCell ref="K304:K311"/>
    <mergeCell ref="D106:D171"/>
    <mergeCell ref="E106:E171"/>
    <mergeCell ref="S238:S264"/>
    <mergeCell ref="T238:T264"/>
    <mergeCell ref="D332:D333"/>
    <mergeCell ref="E332:E333"/>
    <mergeCell ref="F332:F333"/>
    <mergeCell ref="G332:G333"/>
    <mergeCell ref="H332:H333"/>
    <mergeCell ref="I332:I333"/>
    <mergeCell ref="J332:J333"/>
    <mergeCell ref="K332:K333"/>
    <mergeCell ref="F106:F171"/>
    <mergeCell ref="D314:D318"/>
    <mergeCell ref="F314:F331"/>
    <mergeCell ref="E314:E331"/>
    <mergeCell ref="G314:G331"/>
    <mergeCell ref="H314:H331"/>
    <mergeCell ref="J314:J331"/>
    <mergeCell ref="K314:K331"/>
    <mergeCell ref="D238:D303"/>
    <mergeCell ref="E238:E303"/>
    <mergeCell ref="F238:F303"/>
    <mergeCell ref="G238:G303"/>
    <mergeCell ref="H238:H303"/>
    <mergeCell ref="I238:I303"/>
    <mergeCell ref="G304:G311"/>
    <mergeCell ref="H304:H311"/>
    <mergeCell ref="A314:A339"/>
    <mergeCell ref="B314:B339"/>
    <mergeCell ref="C314:C339"/>
    <mergeCell ref="G335:G338"/>
    <mergeCell ref="D335:D338"/>
    <mergeCell ref="E335:E338"/>
    <mergeCell ref="F335:F338"/>
    <mergeCell ref="Q314:Q339"/>
    <mergeCell ref="O238:O303"/>
    <mergeCell ref="P238:P303"/>
    <mergeCell ref="M304:M311"/>
    <mergeCell ref="N304:N311"/>
    <mergeCell ref="K238:K303"/>
    <mergeCell ref="L238:L303"/>
    <mergeCell ref="M238:M303"/>
    <mergeCell ref="N238:N303"/>
    <mergeCell ref="H335:H338"/>
    <mergeCell ref="I335:I338"/>
    <mergeCell ref="J335:J338"/>
    <mergeCell ref="K335:K338"/>
    <mergeCell ref="L335:L338"/>
    <mergeCell ref="O304:O311"/>
    <mergeCell ref="P304:P311"/>
    <mergeCell ref="L332:L333"/>
  </mergeCells>
  <conditionalFormatting sqref="V370:V1048576 V341:V347 V351 V360 V314:V339 V7:V312">
    <cfRule type="cellIs" dxfId="199" priority="91" operator="between">
      <formula>0.51</formula>
      <formula>0.69</formula>
    </cfRule>
    <cfRule type="cellIs" dxfId="198" priority="92" operator="between">
      <formula>0.51</formula>
      <formula>0.69</formula>
    </cfRule>
    <cfRule type="cellIs" dxfId="197" priority="93" operator="lessThan">
      <formula>0.5</formula>
    </cfRule>
    <cfRule type="cellIs" dxfId="196" priority="94" operator="greaterThan">
      <formula>0.7</formula>
    </cfRule>
    <cfRule type="cellIs" dxfId="195" priority="95" operator="between">
      <formula>0.51</formula>
      <formula>0.69</formula>
    </cfRule>
    <cfRule type="cellIs" dxfId="194" priority="96" operator="lessThan">
      <formula>50</formula>
    </cfRule>
    <cfRule type="cellIs" dxfId="193" priority="97" operator="greaterThan">
      <formula>0.7</formula>
    </cfRule>
    <cfRule type="cellIs" dxfId="192" priority="98" operator="between">
      <formula>0.51</formula>
      <formula>0.69</formula>
    </cfRule>
    <cfRule type="cellIs" dxfId="191" priority="99" operator="lessThan">
      <formula>0.5</formula>
    </cfRule>
    <cfRule type="cellIs" dxfId="190" priority="100" operator="greaterThan">
      <formula>0.7</formula>
    </cfRule>
  </conditionalFormatting>
  <conditionalFormatting sqref="V313">
    <cfRule type="cellIs" dxfId="189" priority="81" operator="between">
      <formula>0.51</formula>
      <formula>0.69</formula>
    </cfRule>
    <cfRule type="cellIs" dxfId="188" priority="82" operator="between">
      <formula>0.51</formula>
      <formula>0.69</formula>
    </cfRule>
    <cfRule type="cellIs" dxfId="187" priority="83" operator="lessThan">
      <formula>0.5</formula>
    </cfRule>
    <cfRule type="cellIs" dxfId="186" priority="84" operator="greaterThan">
      <formula>0.7</formula>
    </cfRule>
    <cfRule type="cellIs" dxfId="185" priority="85" operator="between">
      <formula>0.51</formula>
      <formula>0.69</formula>
    </cfRule>
    <cfRule type="cellIs" dxfId="184" priority="86" operator="lessThan">
      <formula>50</formula>
    </cfRule>
    <cfRule type="cellIs" dxfId="183" priority="87" operator="greaterThan">
      <formula>0.7</formula>
    </cfRule>
    <cfRule type="cellIs" dxfId="182" priority="88" operator="between">
      <formula>0.51</formula>
      <formula>0.69</formula>
    </cfRule>
    <cfRule type="cellIs" dxfId="181" priority="89" operator="lessThan">
      <formula>0.5</formula>
    </cfRule>
    <cfRule type="cellIs" dxfId="180" priority="90" operator="greaterThan">
      <formula>0.7</formula>
    </cfRule>
  </conditionalFormatting>
  <conditionalFormatting sqref="V340">
    <cfRule type="cellIs" dxfId="179" priority="71" operator="between">
      <formula>0.51</formula>
      <formula>0.69</formula>
    </cfRule>
    <cfRule type="cellIs" dxfId="178" priority="72" operator="between">
      <formula>0.51</formula>
      <formula>0.69</formula>
    </cfRule>
    <cfRule type="cellIs" dxfId="177" priority="73" operator="lessThan">
      <formula>0.5</formula>
    </cfRule>
    <cfRule type="cellIs" dxfId="176" priority="74" operator="greaterThan">
      <formula>0.7</formula>
    </cfRule>
    <cfRule type="cellIs" dxfId="175" priority="75" operator="between">
      <formula>0.51</formula>
      <formula>0.69</formula>
    </cfRule>
    <cfRule type="cellIs" dxfId="174" priority="76" operator="lessThan">
      <formula>50</formula>
    </cfRule>
    <cfRule type="cellIs" dxfId="173" priority="77" operator="greaterThan">
      <formula>0.7</formula>
    </cfRule>
    <cfRule type="cellIs" dxfId="172" priority="78" operator="between">
      <formula>0.51</formula>
      <formula>0.69</formula>
    </cfRule>
    <cfRule type="cellIs" dxfId="171" priority="79" operator="lessThan">
      <formula>0.5</formula>
    </cfRule>
    <cfRule type="cellIs" dxfId="170" priority="80" operator="greaterThan">
      <formula>0.7</formula>
    </cfRule>
  </conditionalFormatting>
  <conditionalFormatting sqref="V348:V349">
    <cfRule type="cellIs" dxfId="169" priority="61" operator="between">
      <formula>0.51</formula>
      <formula>0.69</formula>
    </cfRule>
    <cfRule type="cellIs" dxfId="168" priority="62" operator="between">
      <formula>0.51</formula>
      <formula>0.69</formula>
    </cfRule>
    <cfRule type="cellIs" dxfId="167" priority="63" operator="lessThan">
      <formula>0.5</formula>
    </cfRule>
    <cfRule type="cellIs" dxfId="166" priority="64" operator="greaterThan">
      <formula>0.7</formula>
    </cfRule>
    <cfRule type="cellIs" dxfId="165" priority="65" operator="between">
      <formula>0.51</formula>
      <formula>0.69</formula>
    </cfRule>
    <cfRule type="cellIs" dxfId="164" priority="66" operator="lessThan">
      <formula>50</formula>
    </cfRule>
    <cfRule type="cellIs" dxfId="163" priority="67" operator="greaterThan">
      <formula>0.7</formula>
    </cfRule>
    <cfRule type="cellIs" dxfId="162" priority="68" operator="between">
      <formula>0.51</formula>
      <formula>0.69</formula>
    </cfRule>
    <cfRule type="cellIs" dxfId="161" priority="69" operator="lessThan">
      <formula>0.5</formula>
    </cfRule>
    <cfRule type="cellIs" dxfId="160" priority="70" operator="greaterThan">
      <formula>0.7</formula>
    </cfRule>
  </conditionalFormatting>
  <conditionalFormatting sqref="V352:V354 V356">
    <cfRule type="cellIs" dxfId="159" priority="51" operator="between">
      <formula>0.51</formula>
      <formula>0.69</formula>
    </cfRule>
    <cfRule type="cellIs" dxfId="158" priority="52" operator="between">
      <formula>0.51</formula>
      <formula>0.69</formula>
    </cfRule>
    <cfRule type="cellIs" dxfId="157" priority="53" operator="lessThan">
      <formula>0.5</formula>
    </cfRule>
    <cfRule type="cellIs" dxfId="156" priority="54" operator="greaterThan">
      <formula>0.7</formula>
    </cfRule>
    <cfRule type="cellIs" dxfId="155" priority="55" operator="between">
      <formula>0.51</formula>
      <formula>0.69</formula>
    </cfRule>
    <cfRule type="cellIs" dxfId="154" priority="56" operator="lessThan">
      <formula>50</formula>
    </cfRule>
    <cfRule type="cellIs" dxfId="153" priority="57" operator="greaterThan">
      <formula>0.7</formula>
    </cfRule>
    <cfRule type="cellIs" dxfId="152" priority="58" operator="between">
      <formula>0.51</formula>
      <formula>0.69</formula>
    </cfRule>
    <cfRule type="cellIs" dxfId="151" priority="59" operator="lessThan">
      <formula>0.5</formula>
    </cfRule>
    <cfRule type="cellIs" dxfId="150" priority="60" operator="greaterThan">
      <formula>0.7</formula>
    </cfRule>
  </conditionalFormatting>
  <conditionalFormatting sqref="V350">
    <cfRule type="cellIs" dxfId="149" priority="41" operator="between">
      <formula>0.51</formula>
      <formula>0.69</formula>
    </cfRule>
    <cfRule type="cellIs" dxfId="148" priority="42" operator="between">
      <formula>0.51</formula>
      <formula>0.69</formula>
    </cfRule>
    <cfRule type="cellIs" dxfId="147" priority="43" operator="lessThan">
      <formula>0.5</formula>
    </cfRule>
    <cfRule type="cellIs" dxfId="146" priority="44" operator="greaterThan">
      <formula>0.7</formula>
    </cfRule>
    <cfRule type="cellIs" dxfId="145" priority="45" operator="between">
      <formula>0.51</formula>
      <formula>0.69</formula>
    </cfRule>
    <cfRule type="cellIs" dxfId="144" priority="46" operator="lessThan">
      <formula>50</formula>
    </cfRule>
    <cfRule type="cellIs" dxfId="143" priority="47" operator="greaterThan">
      <formula>0.7</formula>
    </cfRule>
    <cfRule type="cellIs" dxfId="142" priority="48" operator="between">
      <formula>0.51</formula>
      <formula>0.69</formula>
    </cfRule>
    <cfRule type="cellIs" dxfId="141" priority="49" operator="lessThan">
      <formula>0.5</formula>
    </cfRule>
    <cfRule type="cellIs" dxfId="140" priority="50" operator="greaterThan">
      <formula>0.7</formula>
    </cfRule>
  </conditionalFormatting>
  <conditionalFormatting sqref="V357:V359">
    <cfRule type="cellIs" dxfId="139" priority="31" operator="between">
      <formula>0.51</formula>
      <formula>0.69</formula>
    </cfRule>
    <cfRule type="cellIs" dxfId="138" priority="32" operator="between">
      <formula>0.51</formula>
      <formula>0.69</formula>
    </cfRule>
    <cfRule type="cellIs" dxfId="137" priority="33" operator="lessThan">
      <formula>0.5</formula>
    </cfRule>
    <cfRule type="cellIs" dxfId="136" priority="34" operator="greaterThan">
      <formula>0.7</formula>
    </cfRule>
    <cfRule type="cellIs" dxfId="135" priority="35" operator="between">
      <formula>0.51</formula>
      <formula>0.69</formula>
    </cfRule>
    <cfRule type="cellIs" dxfId="134" priority="36" operator="lessThan">
      <formula>50</formula>
    </cfRule>
    <cfRule type="cellIs" dxfId="133" priority="37" operator="greaterThan">
      <formula>0.7</formula>
    </cfRule>
    <cfRule type="cellIs" dxfId="132" priority="38" operator="between">
      <formula>0.51</formula>
      <formula>0.69</formula>
    </cfRule>
    <cfRule type="cellIs" dxfId="131" priority="39" operator="lessThan">
      <formula>0.5</formula>
    </cfRule>
    <cfRule type="cellIs" dxfId="130" priority="40" operator="greaterThan">
      <formula>0.7</formula>
    </cfRule>
  </conditionalFormatting>
  <conditionalFormatting sqref="V355">
    <cfRule type="cellIs" dxfId="129" priority="21" operator="between">
      <formula>0.51</formula>
      <formula>0.69</formula>
    </cfRule>
    <cfRule type="cellIs" dxfId="128" priority="22" operator="between">
      <formula>0.51</formula>
      <formula>0.69</formula>
    </cfRule>
    <cfRule type="cellIs" dxfId="127" priority="23" operator="lessThan">
      <formula>0.5</formula>
    </cfRule>
    <cfRule type="cellIs" dxfId="126" priority="24" operator="greaterThan">
      <formula>0.7</formula>
    </cfRule>
    <cfRule type="cellIs" dxfId="125" priority="25" operator="between">
      <formula>0.51</formula>
      <formula>0.69</formula>
    </cfRule>
    <cfRule type="cellIs" dxfId="124" priority="26" operator="lessThan">
      <formula>50</formula>
    </cfRule>
    <cfRule type="cellIs" dxfId="123" priority="27" operator="greaterThan">
      <formula>0.7</formula>
    </cfRule>
    <cfRule type="cellIs" dxfId="122" priority="28" operator="between">
      <formula>0.51</formula>
      <formula>0.69</formula>
    </cfRule>
    <cfRule type="cellIs" dxfId="121" priority="29" operator="lessThan">
      <formula>0.5</formula>
    </cfRule>
    <cfRule type="cellIs" dxfId="120" priority="30" operator="greaterThan">
      <formula>0.7</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482B"/>
  </sheetPr>
  <dimension ref="A1:EB831"/>
  <sheetViews>
    <sheetView showGridLines="0" zoomScale="80" zoomScaleNormal="80" workbookViewId="0">
      <selection activeCell="B8" sqref="B8:B12"/>
    </sheetView>
  </sheetViews>
  <sheetFormatPr baseColWidth="10" defaultColWidth="0" defaultRowHeight="0" customHeight="1" zeroHeight="1" x14ac:dyDescent="0.25"/>
  <cols>
    <col min="1" max="1" width="11.42578125" style="188" customWidth="1"/>
    <col min="2" max="2" width="45.7109375" style="188" customWidth="1"/>
    <col min="3" max="3" width="17.28515625" style="188" customWidth="1"/>
    <col min="4" max="4" width="14.7109375" style="188" customWidth="1"/>
    <col min="5" max="5" width="42.85546875" style="188" customWidth="1"/>
    <col min="6" max="6" width="21.140625" style="1" hidden="1" customWidth="1"/>
    <col min="7" max="7" width="19.85546875" style="188" hidden="1" customWidth="1"/>
    <col min="8" max="8" width="11.42578125" style="188" hidden="1" customWidth="1"/>
    <col min="9" max="9" width="12.7109375" style="188" hidden="1" customWidth="1"/>
    <col min="10" max="10" width="15.140625" style="188" hidden="1" customWidth="1"/>
    <col min="11" max="11" width="15" style="188" hidden="1" customWidth="1"/>
    <col min="12" max="12" width="18.7109375" style="188" bestFit="1" customWidth="1"/>
    <col min="13" max="13" width="29.28515625" style="188" customWidth="1"/>
    <col min="14" max="14" width="15.7109375" style="188" customWidth="1"/>
    <col min="15" max="15" width="11.42578125" style="188" customWidth="1"/>
    <col min="16" max="16" width="15.42578125" style="188" bestFit="1" customWidth="1"/>
    <col min="17" max="17" width="17.85546875" style="188" bestFit="1" customWidth="1"/>
    <col min="18" max="18" width="11.5703125" style="3" bestFit="1" customWidth="1"/>
    <col min="19" max="19" width="11.42578125" style="188" customWidth="1"/>
    <col min="20" max="20" width="16.7109375" style="35" bestFit="1" customWidth="1"/>
    <col min="21" max="21" width="18.28515625" style="188" bestFit="1" customWidth="1"/>
    <col min="22" max="22" width="11.42578125" style="188" customWidth="1"/>
    <col min="23" max="23" width="14.5703125" style="35" customWidth="1"/>
    <col min="24" max="24" width="19" style="188" bestFit="1" customWidth="1"/>
    <col min="25" max="129" width="11.5703125" style="189" hidden="1" customWidth="1"/>
    <col min="130" max="132" width="11.5703125" style="188" hidden="1" customWidth="1"/>
    <col min="133" max="16384" width="11.42578125" style="188"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1134</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27" x14ac:dyDescent="0.25">
      <c r="A8" s="692" t="s">
        <v>1100</v>
      </c>
      <c r="B8" s="689" t="s">
        <v>1101</v>
      </c>
      <c r="C8" s="689" t="s">
        <v>1102</v>
      </c>
      <c r="D8" s="235" t="s">
        <v>1199</v>
      </c>
      <c r="E8" s="69" t="s">
        <v>111</v>
      </c>
      <c r="F8" s="236"/>
      <c r="G8" s="294">
        <v>201504729</v>
      </c>
      <c r="H8" s="68"/>
      <c r="I8" s="68"/>
      <c r="J8" s="68"/>
      <c r="K8" s="68"/>
      <c r="L8" s="237">
        <f>+F8+G8+H8+J8-K8</f>
        <v>201504729</v>
      </c>
      <c r="M8" s="742">
        <v>377651729</v>
      </c>
      <c r="N8" s="78"/>
      <c r="O8" s="187"/>
      <c r="P8" s="78"/>
      <c r="Q8" s="66"/>
      <c r="R8" s="46"/>
      <c r="S8" s="187"/>
      <c r="T8" s="122"/>
      <c r="U8" s="66"/>
      <c r="V8" s="38"/>
      <c r="W8" s="122"/>
      <c r="X8" s="66"/>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25.5" x14ac:dyDescent="0.25">
      <c r="A9" s="693"/>
      <c r="B9" s="690"/>
      <c r="C9" s="690"/>
      <c r="D9" s="68" t="s">
        <v>1200</v>
      </c>
      <c r="E9" s="69" t="s">
        <v>1137</v>
      </c>
      <c r="F9" s="236"/>
      <c r="G9" s="294">
        <v>6147000</v>
      </c>
      <c r="H9" s="68"/>
      <c r="I9" s="68"/>
      <c r="J9" s="68"/>
      <c r="K9" s="68"/>
      <c r="L9" s="237">
        <f t="shared" ref="L9:L12" si="0">+F9+G9+H9+J9-K9</f>
        <v>6147000</v>
      </c>
      <c r="M9" s="743"/>
      <c r="N9" s="78"/>
      <c r="O9" s="187"/>
      <c r="P9" s="78"/>
      <c r="Q9" s="66"/>
      <c r="R9" s="46"/>
      <c r="S9" s="187"/>
      <c r="T9" s="122"/>
      <c r="U9" s="66"/>
      <c r="V9" s="38"/>
      <c r="W9" s="122"/>
      <c r="X9" s="66"/>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25.5" x14ac:dyDescent="0.25">
      <c r="A10" s="693"/>
      <c r="B10" s="690"/>
      <c r="C10" s="690"/>
      <c r="D10" s="68" t="s">
        <v>1201</v>
      </c>
      <c r="E10" s="69" t="s">
        <v>142</v>
      </c>
      <c r="F10" s="236"/>
      <c r="G10" s="294">
        <v>42000000</v>
      </c>
      <c r="H10" s="68"/>
      <c r="I10" s="68"/>
      <c r="J10" s="68"/>
      <c r="K10" s="68"/>
      <c r="L10" s="237">
        <f t="shared" si="0"/>
        <v>42000000</v>
      </c>
      <c r="M10" s="743"/>
      <c r="N10" s="78"/>
      <c r="O10" s="187"/>
      <c r="P10" s="78"/>
      <c r="Q10" s="66"/>
      <c r="R10" s="46"/>
      <c r="S10" s="187"/>
      <c r="T10" s="122"/>
      <c r="U10" s="66"/>
      <c r="V10" s="38"/>
      <c r="W10" s="122"/>
      <c r="X10" s="66"/>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67.5" x14ac:dyDescent="0.25">
      <c r="A11" s="693"/>
      <c r="B11" s="690"/>
      <c r="C11" s="690"/>
      <c r="D11" s="68" t="s">
        <v>1202</v>
      </c>
      <c r="E11" s="69" t="s">
        <v>100</v>
      </c>
      <c r="F11" s="236"/>
      <c r="G11" s="294">
        <v>120000000</v>
      </c>
      <c r="H11" s="68"/>
      <c r="I11" s="68"/>
      <c r="J11" s="68"/>
      <c r="K11" s="68"/>
      <c r="L11" s="237">
        <f t="shared" si="0"/>
        <v>120000000</v>
      </c>
      <c r="M11" s="743"/>
      <c r="N11" s="78"/>
      <c r="O11" s="187"/>
      <c r="P11" s="78"/>
      <c r="Q11" s="66"/>
      <c r="R11" s="46"/>
      <c r="S11" s="187"/>
      <c r="T11" s="122"/>
      <c r="U11" s="66"/>
      <c r="V11" s="38"/>
      <c r="W11" s="122"/>
      <c r="X11" s="66"/>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50" customFormat="1" ht="40.5" x14ac:dyDescent="0.25">
      <c r="A12" s="693"/>
      <c r="B12" s="690"/>
      <c r="C12" s="690"/>
      <c r="D12" s="68" t="s">
        <v>1203</v>
      </c>
      <c r="E12" s="69" t="s">
        <v>251</v>
      </c>
      <c r="F12" s="236"/>
      <c r="G12" s="294">
        <v>8000000</v>
      </c>
      <c r="H12" s="68"/>
      <c r="I12" s="68"/>
      <c r="J12" s="68"/>
      <c r="K12" s="68"/>
      <c r="L12" s="237">
        <f t="shared" si="0"/>
        <v>8000000</v>
      </c>
      <c r="M12" s="743"/>
      <c r="N12" s="78"/>
      <c r="O12" s="187"/>
      <c r="P12" s="78"/>
      <c r="Q12" s="66"/>
      <c r="R12" s="46"/>
      <c r="S12" s="187"/>
      <c r="T12" s="122"/>
      <c r="U12" s="66"/>
      <c r="V12" s="38"/>
      <c r="W12" s="122"/>
      <c r="X12" s="66"/>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row>
    <row r="13" spans="1:129" s="107" customFormat="1" ht="15.75" thickBot="1" x14ac:dyDescent="0.3">
      <c r="A13" s="92"/>
      <c r="B13" s="92"/>
      <c r="C13" s="92"/>
      <c r="D13" s="92"/>
      <c r="E13" s="104"/>
      <c r="F13" s="101"/>
      <c r="G13" s="101"/>
      <c r="H13" s="92"/>
      <c r="I13" s="93"/>
      <c r="J13" s="92"/>
      <c r="K13" s="92"/>
      <c r="L13" s="102">
        <f>SUM(L8:L12)</f>
        <v>377651729</v>
      </c>
      <c r="M13" s="101"/>
      <c r="N13" s="105"/>
      <c r="O13" s="86"/>
      <c r="P13" s="95"/>
      <c r="Q13" s="103">
        <f>SUM(Q8:Q12)</f>
        <v>0</v>
      </c>
      <c r="R13" s="89"/>
      <c r="S13" s="86"/>
      <c r="T13" s="95"/>
      <c r="U13" s="103">
        <f>SUM(U8:U12)</f>
        <v>0</v>
      </c>
      <c r="V13" s="86"/>
      <c r="W13" s="95"/>
      <c r="X13" s="103">
        <f>SUM(X8:X12)</f>
        <v>0</v>
      </c>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row>
    <row r="14" spans="1:129" s="63" customFormat="1" ht="17.25" thickBot="1" x14ac:dyDescent="0.35">
      <c r="A14" s="51"/>
      <c r="B14" s="51"/>
      <c r="C14" s="42"/>
      <c r="D14" s="42"/>
      <c r="E14" s="42"/>
      <c r="F14" s="52"/>
      <c r="G14" s="42"/>
      <c r="H14" s="42"/>
      <c r="I14" s="43"/>
      <c r="J14" s="53" t="s">
        <v>29</v>
      </c>
      <c r="K14" s="54"/>
      <c r="L14" s="55">
        <f>+L13</f>
        <v>377651729</v>
      </c>
      <c r="M14" s="190"/>
      <c r="N14" s="190"/>
      <c r="O14" s="190"/>
      <c r="P14" s="190"/>
      <c r="Q14" s="130">
        <f>+Q13</f>
        <v>0</v>
      </c>
      <c r="R14" s="57">
        <f>(Q14*1)/L14</f>
        <v>0</v>
      </c>
      <c r="S14" s="58"/>
      <c r="T14" s="59"/>
      <c r="U14" s="60">
        <f>+U13</f>
        <v>0</v>
      </c>
      <c r="V14" s="58"/>
      <c r="W14" s="59"/>
      <c r="X14" s="61">
        <f>+X13</f>
        <v>0</v>
      </c>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row>
    <row r="15" spans="1:129" ht="15" x14ac:dyDescent="0.25">
      <c r="R15" s="4"/>
    </row>
    <row r="16" spans="1:129" ht="15" x14ac:dyDescent="0.25">
      <c r="Q16" s="189"/>
      <c r="R16" s="6"/>
      <c r="S16" s="189"/>
    </row>
    <row r="17" spans="17:19" ht="15" x14ac:dyDescent="0.25">
      <c r="Q17" s="189"/>
      <c r="R17" s="6"/>
      <c r="S17" s="189"/>
    </row>
    <row r="18" spans="17:19" ht="15" x14ac:dyDescent="0.25">
      <c r="Q18" s="189"/>
      <c r="R18" s="6"/>
      <c r="S18" s="189"/>
    </row>
    <row r="19" spans="17:19" ht="15" x14ac:dyDescent="0.25">
      <c r="Q19" s="189"/>
      <c r="R19" s="6"/>
      <c r="S19" s="189"/>
    </row>
    <row r="20" spans="17:19" ht="15" x14ac:dyDescent="0.25">
      <c r="Q20" s="189"/>
      <c r="R20" s="6"/>
      <c r="S20" s="189"/>
    </row>
    <row r="21" spans="17:19" ht="15" x14ac:dyDescent="0.25">
      <c r="Q21" s="189"/>
      <c r="R21" s="6"/>
      <c r="S21" s="189"/>
    </row>
    <row r="22" spans="17:19" ht="15" x14ac:dyDescent="0.25">
      <c r="Q22" s="189"/>
      <c r="R22" s="6"/>
      <c r="S22" s="189"/>
    </row>
    <row r="23" spans="17:19" ht="15" x14ac:dyDescent="0.25">
      <c r="Q23" s="189"/>
      <c r="R23" s="6"/>
      <c r="S23" s="189"/>
    </row>
    <row r="24" spans="17:19" ht="15" x14ac:dyDescent="0.25">
      <c r="Q24" s="189"/>
      <c r="R24" s="7"/>
      <c r="S24" s="189"/>
    </row>
    <row r="25" spans="17:19" ht="15" x14ac:dyDescent="0.25"/>
    <row r="26" spans="17:19" ht="15" x14ac:dyDescent="0.25"/>
    <row r="27" spans="17:19" ht="15" x14ac:dyDescent="0.25"/>
    <row r="28" spans="17:19" ht="15" x14ac:dyDescent="0.25"/>
    <row r="29" spans="17:19" ht="15" x14ac:dyDescent="0.25"/>
    <row r="30" spans="17:19" ht="15" x14ac:dyDescent="0.25"/>
    <row r="31" spans="17:19" ht="15" x14ac:dyDescent="0.25"/>
    <row r="32" spans="17:19"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customHeight="1" x14ac:dyDescent="0.25"/>
    <row r="68" ht="15"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sheetData>
  <sheetProtection algorithmName="SHA-512" hashValue="cKa7hxTFiwt9genvye2xPHfmH81zz4ezYzZhzTuC+9l3rqmA0XjIHtjPVNr5/FHj59ftYb/hgF4C77bNA5vlGw==" saltValue="4J7ih9paqzpEBMuHWy45bQ==" spinCount="100000" sheet="1" objects="1" scenarios="1" selectLockedCells="1" selectUnlockedCells="1"/>
  <mergeCells count="12">
    <mergeCell ref="W2:X2"/>
    <mergeCell ref="B3:V3"/>
    <mergeCell ref="W3:X3"/>
    <mergeCell ref="B4:V5"/>
    <mergeCell ref="W4:X4"/>
    <mergeCell ref="W5:X5"/>
    <mergeCell ref="A8:A12"/>
    <mergeCell ref="B8:B12"/>
    <mergeCell ref="C8:C12"/>
    <mergeCell ref="M8:M12"/>
    <mergeCell ref="A2:A5"/>
    <mergeCell ref="B2:V2"/>
  </mergeCells>
  <conditionalFormatting sqref="R24:R1048576 R7:R12 R14">
    <cfRule type="cellIs" dxfId="119" priority="11" operator="between">
      <formula>0.51</formula>
      <formula>0.69</formula>
    </cfRule>
    <cfRule type="cellIs" dxfId="118" priority="12" operator="between">
      <formula>0.51</formula>
      <formula>0.69</formula>
    </cfRule>
    <cfRule type="cellIs" dxfId="117" priority="13" operator="lessThan">
      <formula>0.5</formula>
    </cfRule>
    <cfRule type="cellIs" dxfId="116" priority="14" operator="greaterThan">
      <formula>0.7</formula>
    </cfRule>
    <cfRule type="cellIs" dxfId="115" priority="15" operator="between">
      <formula>0.51</formula>
      <formula>0.69</formula>
    </cfRule>
    <cfRule type="cellIs" dxfId="114" priority="16" operator="lessThan">
      <formula>50</formula>
    </cfRule>
    <cfRule type="cellIs" dxfId="113" priority="17" operator="greaterThan">
      <formula>0.7</formula>
    </cfRule>
    <cfRule type="cellIs" dxfId="112" priority="18" operator="between">
      <formula>0.51</formula>
      <formula>0.69</formula>
    </cfRule>
    <cfRule type="cellIs" dxfId="111" priority="19" operator="lessThan">
      <formula>0.5</formula>
    </cfRule>
    <cfRule type="cellIs" dxfId="110" priority="20" operator="greaterThan">
      <formula>0.7</formula>
    </cfRule>
  </conditionalFormatting>
  <conditionalFormatting sqref="R13">
    <cfRule type="cellIs" dxfId="109" priority="1" operator="between">
      <formula>0.51</formula>
      <formula>0.69</formula>
    </cfRule>
    <cfRule type="cellIs" dxfId="108" priority="2" operator="between">
      <formula>0.51</formula>
      <formula>0.69</formula>
    </cfRule>
    <cfRule type="cellIs" dxfId="107" priority="3" operator="lessThan">
      <formula>0.5</formula>
    </cfRule>
    <cfRule type="cellIs" dxfId="106" priority="4" operator="greaterThan">
      <formula>0.7</formula>
    </cfRule>
    <cfRule type="cellIs" dxfId="105" priority="5" operator="between">
      <formula>0.51</formula>
      <formula>0.69</formula>
    </cfRule>
    <cfRule type="cellIs" dxfId="104" priority="6" operator="lessThan">
      <formula>50</formula>
    </cfRule>
    <cfRule type="cellIs" dxfId="103" priority="7" operator="greaterThan">
      <formula>0.7</formula>
    </cfRule>
    <cfRule type="cellIs" dxfId="102" priority="8" operator="between">
      <formula>0.51</formula>
      <formula>0.69</formula>
    </cfRule>
    <cfRule type="cellIs" dxfId="101" priority="9" operator="lessThan">
      <formula>0.5</formula>
    </cfRule>
    <cfRule type="cellIs" dxfId="100" priority="10" operator="greaterThan">
      <formula>0.7</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482B"/>
  </sheetPr>
  <dimension ref="A1:EB834"/>
  <sheetViews>
    <sheetView showGridLines="0" topLeftCell="E1" zoomScale="80" zoomScaleNormal="80" workbookViewId="0">
      <selection activeCell="U10" sqref="U10"/>
    </sheetView>
  </sheetViews>
  <sheetFormatPr baseColWidth="10" defaultColWidth="0" defaultRowHeight="0" customHeight="1" zeroHeight="1" x14ac:dyDescent="0.25"/>
  <cols>
    <col min="1" max="1" width="11.42578125" style="188" customWidth="1"/>
    <col min="2" max="2" width="45.7109375" style="188" customWidth="1"/>
    <col min="3" max="3" width="17.28515625" style="188" customWidth="1"/>
    <col min="4" max="4" width="14.7109375" style="188" customWidth="1"/>
    <col min="5" max="5" width="42.85546875" style="188" customWidth="1"/>
    <col min="6" max="6" width="21.140625" style="1" hidden="1" customWidth="1"/>
    <col min="7" max="7" width="19.85546875" style="188" hidden="1" customWidth="1"/>
    <col min="8" max="8" width="11.42578125" style="188" hidden="1" customWidth="1"/>
    <col min="9" max="9" width="12.7109375" style="188" hidden="1" customWidth="1"/>
    <col min="10" max="10" width="15.140625" style="188" hidden="1" customWidth="1"/>
    <col min="11" max="11" width="15" style="188" hidden="1" customWidth="1"/>
    <col min="12" max="12" width="18.7109375" style="188" bestFit="1" customWidth="1"/>
    <col min="13" max="13" width="29.28515625" style="188" customWidth="1"/>
    <col min="14" max="14" width="15.7109375" style="188" customWidth="1"/>
    <col min="15" max="15" width="11.42578125" style="188" customWidth="1"/>
    <col min="16" max="16" width="15.42578125" style="188" bestFit="1" customWidth="1"/>
    <col min="17" max="17" width="17.85546875" style="188" bestFit="1" customWidth="1"/>
    <col min="18" max="18" width="11.5703125" style="3" bestFit="1" customWidth="1"/>
    <col min="19" max="19" width="11.42578125" style="188" customWidth="1"/>
    <col min="20" max="20" width="16.7109375" style="35" bestFit="1" customWidth="1"/>
    <col min="21" max="21" width="18.28515625" style="188" bestFit="1" customWidth="1"/>
    <col min="22" max="22" width="11.42578125" style="188" customWidth="1"/>
    <col min="23" max="23" width="14.5703125" style="35" customWidth="1"/>
    <col min="24" max="24" width="19" style="188" bestFit="1" customWidth="1"/>
    <col min="25" max="129" width="11.5703125" style="189" hidden="1" customWidth="1"/>
    <col min="130" max="132" width="11.5703125" style="188" hidden="1" customWidth="1"/>
    <col min="133" max="16384" width="11.42578125" style="188" hidden="1"/>
  </cols>
  <sheetData>
    <row r="1" spans="1:131" ht="15" x14ac:dyDescent="0.25">
      <c r="A1" s="24"/>
      <c r="B1" s="25"/>
      <c r="C1" s="25"/>
      <c r="D1" s="26"/>
      <c r="E1" s="26"/>
      <c r="F1" s="27"/>
      <c r="G1" s="28"/>
      <c r="H1" s="28"/>
      <c r="I1" s="28"/>
      <c r="J1" s="28"/>
      <c r="K1" s="29"/>
      <c r="L1" s="24"/>
      <c r="M1" s="24"/>
      <c r="N1" s="24"/>
      <c r="O1" s="24"/>
      <c r="P1" s="24"/>
      <c r="Q1" s="24"/>
      <c r="R1" s="24"/>
      <c r="S1" s="24"/>
      <c r="T1" s="36"/>
      <c r="U1" s="24"/>
      <c r="V1" s="24"/>
      <c r="W1" s="36"/>
    </row>
    <row r="2" spans="1:131"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31"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31"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31"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31" ht="15" x14ac:dyDescent="0.25">
      <c r="A6" s="24"/>
      <c r="B6" s="24"/>
      <c r="C6" s="24"/>
      <c r="D6" s="24"/>
      <c r="E6" s="24"/>
      <c r="F6" s="24"/>
      <c r="G6" s="24"/>
      <c r="H6" s="24"/>
      <c r="I6" s="24"/>
      <c r="J6" s="24"/>
      <c r="K6" s="24"/>
      <c r="L6" s="24"/>
      <c r="M6" s="24"/>
      <c r="N6" s="24"/>
      <c r="O6" s="24"/>
      <c r="P6" s="24"/>
      <c r="Q6" s="24"/>
      <c r="R6" s="24"/>
      <c r="S6" s="24"/>
      <c r="T6" s="36"/>
      <c r="U6" s="24"/>
      <c r="V6" s="24"/>
      <c r="W6" s="36"/>
    </row>
    <row r="7" spans="1:131" s="34" customFormat="1" ht="63.75" x14ac:dyDescent="0.25">
      <c r="A7" s="41" t="s">
        <v>0</v>
      </c>
      <c r="B7" s="41" t="s">
        <v>1</v>
      </c>
      <c r="C7" s="41" t="s">
        <v>2</v>
      </c>
      <c r="D7" s="41" t="s">
        <v>103</v>
      </c>
      <c r="E7" s="41" t="s">
        <v>30</v>
      </c>
      <c r="F7" s="41" t="s">
        <v>96</v>
      </c>
      <c r="G7" s="41" t="s">
        <v>1134</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31" s="50" customFormat="1" ht="81" x14ac:dyDescent="0.25">
      <c r="A8" s="692" t="s">
        <v>1127</v>
      </c>
      <c r="B8" s="689" t="s">
        <v>1126</v>
      </c>
      <c r="C8" s="833" t="s">
        <v>1130</v>
      </c>
      <c r="D8" s="129" t="s">
        <v>1207</v>
      </c>
      <c r="E8" s="8" t="s">
        <v>1204</v>
      </c>
      <c r="F8" s="66"/>
      <c r="G8" s="289">
        <v>2340000</v>
      </c>
      <c r="H8" s="200"/>
      <c r="I8" s="200"/>
      <c r="J8" s="200"/>
      <c r="K8" s="200"/>
      <c r="L8" s="65">
        <f>+F8+G8+H8+J8-K8</f>
        <v>2340000</v>
      </c>
      <c r="M8" s="742">
        <v>42744000</v>
      </c>
      <c r="N8" s="78" t="s">
        <v>2619</v>
      </c>
      <c r="O8" s="457" t="s">
        <v>2620</v>
      </c>
      <c r="P8" s="78" t="s">
        <v>2621</v>
      </c>
      <c r="Q8" s="274">
        <v>2339928</v>
      </c>
      <c r="R8" s="46"/>
      <c r="S8" s="568">
        <v>18</v>
      </c>
      <c r="T8" s="122" t="s">
        <v>2787</v>
      </c>
      <c r="U8" s="66">
        <v>2339928</v>
      </c>
      <c r="V8" s="38">
        <v>41</v>
      </c>
      <c r="W8" s="122" t="s">
        <v>2782</v>
      </c>
      <c r="X8" s="274">
        <v>2339928</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31" s="50" customFormat="1" ht="81" x14ac:dyDescent="0.25">
      <c r="A9" s="694"/>
      <c r="B9" s="691"/>
      <c r="C9" s="833"/>
      <c r="D9" s="129" t="s">
        <v>1209</v>
      </c>
      <c r="E9" s="8" t="s">
        <v>1205</v>
      </c>
      <c r="F9" s="66"/>
      <c r="G9" s="291">
        <v>40404000</v>
      </c>
      <c r="H9" s="196"/>
      <c r="I9" s="48"/>
      <c r="J9" s="196"/>
      <c r="K9" s="196"/>
      <c r="L9" s="65">
        <f>+F9+G9+H9+J9-K9</f>
        <v>40404000</v>
      </c>
      <c r="M9" s="744"/>
      <c r="N9" s="78" t="s">
        <v>1629</v>
      </c>
      <c r="O9" s="457">
        <v>424</v>
      </c>
      <c r="P9" s="78" t="s">
        <v>1630</v>
      </c>
      <c r="Q9" s="274">
        <v>34171800</v>
      </c>
      <c r="R9" s="46"/>
      <c r="S9" s="568">
        <v>8</v>
      </c>
      <c r="T9" s="122">
        <v>44764</v>
      </c>
      <c r="U9" s="274">
        <v>34171800</v>
      </c>
      <c r="V9" s="38">
        <v>24</v>
      </c>
      <c r="W9" s="122">
        <v>44781</v>
      </c>
      <c r="X9" s="274">
        <v>34171800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31" s="107" customFormat="1" ht="15" x14ac:dyDescent="0.25">
      <c r="A10" s="92"/>
      <c r="B10" s="92"/>
      <c r="C10" s="92"/>
      <c r="D10" s="92"/>
      <c r="E10" s="104"/>
      <c r="F10" s="101"/>
      <c r="G10" s="101"/>
      <c r="H10" s="92"/>
      <c r="I10" s="93"/>
      <c r="J10" s="92"/>
      <c r="K10" s="92"/>
      <c r="L10" s="102">
        <f>SUM(L8:L9)</f>
        <v>42744000</v>
      </c>
      <c r="M10" s="101"/>
      <c r="N10" s="105"/>
      <c r="O10" s="86"/>
      <c r="P10" s="95"/>
      <c r="Q10" s="103">
        <f>SUM(Q8:Q9)</f>
        <v>36511728</v>
      </c>
      <c r="R10" s="89"/>
      <c r="S10" s="86"/>
      <c r="T10" s="95"/>
      <c r="U10" s="103">
        <f>SUM(U8:U9)</f>
        <v>36511728</v>
      </c>
      <c r="V10" s="86"/>
      <c r="W10" s="95"/>
      <c r="X10" s="103">
        <f>SUM(X8:X9)</f>
        <v>36511728</v>
      </c>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row>
    <row r="11" spans="1:131" s="112" customFormat="1" ht="90" customHeight="1" x14ac:dyDescent="0.25">
      <c r="A11" s="183" t="s">
        <v>1129</v>
      </c>
      <c r="B11" s="525" t="s">
        <v>1128</v>
      </c>
      <c r="C11" s="38" t="s">
        <v>1130</v>
      </c>
      <c r="D11" s="183" t="s">
        <v>1208</v>
      </c>
      <c r="E11" s="192" t="s">
        <v>1206</v>
      </c>
      <c r="F11" s="181"/>
      <c r="G11" s="292">
        <v>6103977</v>
      </c>
      <c r="H11" s="183"/>
      <c r="I11" s="200"/>
      <c r="J11" s="200"/>
      <c r="K11" s="200"/>
      <c r="L11" s="65">
        <f>+F11+G11+H11+J11-K11</f>
        <v>6103977</v>
      </c>
      <c r="M11" s="296">
        <v>6103977</v>
      </c>
      <c r="N11" s="261" t="s">
        <v>2753</v>
      </c>
      <c r="O11" s="461" t="s">
        <v>2754</v>
      </c>
      <c r="P11" s="464" t="s">
        <v>2755</v>
      </c>
      <c r="Q11" s="560">
        <v>6103944</v>
      </c>
      <c r="R11" s="46"/>
      <c r="S11" s="554">
        <v>17</v>
      </c>
      <c r="T11" s="265" t="s">
        <v>2777</v>
      </c>
      <c r="U11" s="560">
        <v>6103944</v>
      </c>
      <c r="V11" s="554">
        <v>42</v>
      </c>
      <c r="W11" s="265" t="s">
        <v>2782</v>
      </c>
      <c r="X11" s="560">
        <v>6103944</v>
      </c>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row>
    <row r="12" spans="1:131" s="107" customFormat="1" ht="15.75" thickBot="1" x14ac:dyDescent="0.3">
      <c r="A12" s="92"/>
      <c r="B12" s="92"/>
      <c r="C12" s="92"/>
      <c r="D12" s="92"/>
      <c r="E12" s="104"/>
      <c r="F12" s="101"/>
      <c r="G12" s="101"/>
      <c r="H12" s="92"/>
      <c r="I12" s="93"/>
      <c r="J12" s="92"/>
      <c r="K12" s="92"/>
      <c r="L12" s="102">
        <f>+L11</f>
        <v>6103977</v>
      </c>
      <c r="M12" s="101"/>
      <c r="N12" s="105"/>
      <c r="O12" s="86"/>
      <c r="P12" s="95"/>
      <c r="Q12" s="103">
        <f>+Q11</f>
        <v>6103944</v>
      </c>
      <c r="R12" s="89"/>
      <c r="S12" s="86"/>
      <c r="T12" s="95"/>
      <c r="U12" s="103">
        <f>+U11</f>
        <v>6103944</v>
      </c>
      <c r="V12" s="86"/>
      <c r="W12" s="95"/>
      <c r="X12" s="103">
        <f>+X11</f>
        <v>6103944</v>
      </c>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row>
    <row r="13" spans="1:131" s="63" customFormat="1" ht="17.25" thickBot="1" x14ac:dyDescent="0.35">
      <c r="A13" s="51"/>
      <c r="B13" s="51"/>
      <c r="C13" s="42"/>
      <c r="D13" s="42"/>
      <c r="E13" s="42"/>
      <c r="F13" s="52"/>
      <c r="G13" s="42"/>
      <c r="H13" s="42"/>
      <c r="I13" s="217"/>
      <c r="J13" s="53" t="s">
        <v>29</v>
      </c>
      <c r="K13" s="54"/>
      <c r="L13" s="55">
        <f>+L10+L12</f>
        <v>48847977</v>
      </c>
      <c r="M13" s="190"/>
      <c r="N13" s="190"/>
      <c r="O13" s="190"/>
      <c r="P13" s="190"/>
      <c r="Q13" s="130">
        <f>+Q10+Q12</f>
        <v>42615672</v>
      </c>
      <c r="R13" s="57">
        <f>(Q13*1)/L13</f>
        <v>0.87241426599918359</v>
      </c>
      <c r="S13" s="58"/>
      <c r="T13" s="59"/>
      <c r="U13" s="60">
        <f>+U10+U12</f>
        <v>42615672</v>
      </c>
      <c r="V13" s="58"/>
      <c r="W13" s="59"/>
      <c r="X13" s="61">
        <f>+X10+X12</f>
        <v>42615672</v>
      </c>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row>
    <row r="14" spans="1:131" ht="15" x14ac:dyDescent="0.25">
      <c r="R14" s="4"/>
    </row>
    <row r="15" spans="1:131" s="35" customFormat="1" ht="15" x14ac:dyDescent="0.25">
      <c r="A15" s="188"/>
      <c r="B15" s="188"/>
      <c r="C15" s="188"/>
      <c r="D15" s="188"/>
      <c r="E15" s="188"/>
      <c r="F15" s="1"/>
      <c r="G15" s="188"/>
      <c r="H15" s="188"/>
      <c r="I15" s="188"/>
      <c r="J15" s="188"/>
      <c r="K15" s="188"/>
      <c r="L15" s="188"/>
      <c r="M15" s="188"/>
      <c r="N15" s="188"/>
      <c r="O15" s="188"/>
      <c r="P15" s="188"/>
      <c r="Q15" s="189"/>
      <c r="R15" s="6"/>
      <c r="S15" s="189"/>
      <c r="U15" s="188"/>
      <c r="V15" s="188"/>
      <c r="X15" s="188"/>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8"/>
      <c r="EA15" s="188"/>
    </row>
    <row r="16" spans="1:131" s="35" customFormat="1" ht="15" x14ac:dyDescent="0.25">
      <c r="A16" s="188"/>
      <c r="B16" s="188"/>
      <c r="C16" s="188"/>
      <c r="D16" s="188"/>
      <c r="E16" s="188"/>
      <c r="F16" s="1"/>
      <c r="G16" s="188"/>
      <c r="H16" s="188"/>
      <c r="I16" s="188"/>
      <c r="J16" s="188"/>
      <c r="K16" s="188"/>
      <c r="L16" s="188"/>
      <c r="M16" s="188"/>
      <c r="N16" s="188"/>
      <c r="O16" s="188"/>
      <c r="P16" s="188"/>
      <c r="Q16" s="189"/>
      <c r="R16" s="6"/>
      <c r="S16" s="189"/>
      <c r="U16" s="188"/>
      <c r="V16" s="188"/>
      <c r="X16" s="188"/>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c r="DK16" s="189"/>
      <c r="DL16" s="189"/>
      <c r="DM16" s="189"/>
      <c r="DN16" s="189"/>
      <c r="DO16" s="189"/>
      <c r="DP16" s="189"/>
      <c r="DQ16" s="189"/>
      <c r="DR16" s="189"/>
      <c r="DS16" s="189"/>
      <c r="DT16" s="189"/>
      <c r="DU16" s="189"/>
      <c r="DV16" s="189"/>
      <c r="DW16" s="189"/>
      <c r="DX16" s="189"/>
      <c r="DY16" s="189"/>
      <c r="DZ16" s="188"/>
      <c r="EA16" s="188"/>
    </row>
    <row r="17" spans="1:131" s="35" customFormat="1" ht="15" x14ac:dyDescent="0.25">
      <c r="A17" s="188"/>
      <c r="B17" s="188"/>
      <c r="C17" s="188"/>
      <c r="D17" s="188"/>
      <c r="E17" s="188"/>
      <c r="F17" s="1"/>
      <c r="G17" s="188"/>
      <c r="H17" s="188"/>
      <c r="I17" s="188"/>
      <c r="J17" s="188"/>
      <c r="K17" s="188"/>
      <c r="L17" s="188"/>
      <c r="M17" s="188"/>
      <c r="N17" s="188"/>
      <c r="O17" s="188"/>
      <c r="P17" s="188"/>
      <c r="Q17" s="189"/>
      <c r="R17" s="6"/>
      <c r="S17" s="189"/>
      <c r="U17" s="188"/>
      <c r="V17" s="188"/>
      <c r="X17" s="188"/>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89"/>
      <c r="DL17" s="189"/>
      <c r="DM17" s="189"/>
      <c r="DN17" s="189"/>
      <c r="DO17" s="189"/>
      <c r="DP17" s="189"/>
      <c r="DQ17" s="189"/>
      <c r="DR17" s="189"/>
      <c r="DS17" s="189"/>
      <c r="DT17" s="189"/>
      <c r="DU17" s="189"/>
      <c r="DV17" s="189"/>
      <c r="DW17" s="189"/>
      <c r="DX17" s="189"/>
      <c r="DY17" s="189"/>
      <c r="DZ17" s="188"/>
      <c r="EA17" s="188"/>
    </row>
    <row r="18" spans="1:131" s="35" customFormat="1" ht="15" x14ac:dyDescent="0.25">
      <c r="A18" s="188"/>
      <c r="B18" s="188"/>
      <c r="C18" s="188"/>
      <c r="D18" s="188"/>
      <c r="E18" s="188"/>
      <c r="F18" s="1"/>
      <c r="G18" s="188"/>
      <c r="H18" s="188"/>
      <c r="I18" s="188"/>
      <c r="J18" s="188"/>
      <c r="K18" s="188"/>
      <c r="L18" s="188"/>
      <c r="M18" s="188"/>
      <c r="N18" s="188"/>
      <c r="O18" s="188"/>
      <c r="P18" s="188"/>
      <c r="Q18" s="189"/>
      <c r="R18" s="6"/>
      <c r="S18" s="189"/>
      <c r="U18" s="188"/>
      <c r="V18" s="188"/>
      <c r="X18" s="188"/>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8"/>
      <c r="EA18" s="188"/>
    </row>
    <row r="19" spans="1:131" s="35" customFormat="1" ht="15" x14ac:dyDescent="0.25">
      <c r="A19" s="188"/>
      <c r="B19" s="188"/>
      <c r="C19" s="188"/>
      <c r="D19" s="188"/>
      <c r="E19" s="188"/>
      <c r="F19" s="1"/>
      <c r="G19" s="188"/>
      <c r="H19" s="188"/>
      <c r="I19" s="188"/>
      <c r="J19" s="188"/>
      <c r="K19" s="188"/>
      <c r="L19" s="188"/>
      <c r="M19" s="188"/>
      <c r="N19" s="188"/>
      <c r="O19" s="188"/>
      <c r="P19" s="188"/>
      <c r="Q19" s="189"/>
      <c r="R19" s="6"/>
      <c r="S19" s="189"/>
      <c r="U19" s="188"/>
      <c r="V19" s="188"/>
      <c r="X19" s="188"/>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8"/>
      <c r="EA19" s="188"/>
    </row>
    <row r="20" spans="1:131" s="35" customFormat="1" ht="15" x14ac:dyDescent="0.25">
      <c r="A20" s="188"/>
      <c r="B20" s="188"/>
      <c r="C20" s="188"/>
      <c r="D20" s="188"/>
      <c r="E20" s="188"/>
      <c r="F20" s="1"/>
      <c r="G20" s="188"/>
      <c r="H20" s="188"/>
      <c r="I20" s="188"/>
      <c r="J20" s="188"/>
      <c r="K20" s="188"/>
      <c r="L20" s="188"/>
      <c r="M20" s="188"/>
      <c r="N20" s="188"/>
      <c r="O20" s="188"/>
      <c r="P20" s="188"/>
      <c r="Q20" s="189"/>
      <c r="R20" s="6"/>
      <c r="S20" s="189"/>
      <c r="U20" s="188"/>
      <c r="V20" s="188"/>
      <c r="X20" s="188"/>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8"/>
      <c r="EA20" s="188"/>
    </row>
    <row r="21" spans="1:131" s="35" customFormat="1" ht="15" x14ac:dyDescent="0.25">
      <c r="A21" s="188"/>
      <c r="B21" s="188"/>
      <c r="C21" s="188"/>
      <c r="D21" s="188"/>
      <c r="E21" s="188"/>
      <c r="F21" s="1"/>
      <c r="G21" s="188"/>
      <c r="H21" s="188"/>
      <c r="I21" s="188"/>
      <c r="J21" s="188"/>
      <c r="K21" s="188"/>
      <c r="L21" s="188"/>
      <c r="M21" s="188"/>
      <c r="N21" s="188"/>
      <c r="O21" s="188"/>
      <c r="P21" s="188"/>
      <c r="Q21" s="189"/>
      <c r="R21" s="6"/>
      <c r="S21" s="189"/>
      <c r="U21" s="188"/>
      <c r="V21" s="188"/>
      <c r="X21" s="188"/>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8"/>
      <c r="EA21" s="188"/>
    </row>
    <row r="22" spans="1:131" s="35" customFormat="1" ht="15" x14ac:dyDescent="0.25">
      <c r="A22" s="188"/>
      <c r="B22" s="188"/>
      <c r="C22" s="188"/>
      <c r="D22" s="188"/>
      <c r="E22" s="188"/>
      <c r="F22" s="1"/>
      <c r="G22" s="188"/>
      <c r="H22" s="188"/>
      <c r="I22" s="188"/>
      <c r="J22" s="188"/>
      <c r="K22" s="188"/>
      <c r="L22" s="188"/>
      <c r="M22" s="188"/>
      <c r="N22" s="188"/>
      <c r="O22" s="188"/>
      <c r="P22" s="188"/>
      <c r="Q22" s="189"/>
      <c r="R22" s="6"/>
      <c r="S22" s="189"/>
      <c r="U22" s="188"/>
      <c r="V22" s="188"/>
      <c r="X22" s="188"/>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89"/>
      <c r="DE22" s="189"/>
      <c r="DF22" s="189"/>
      <c r="DG22" s="189"/>
      <c r="DH22" s="189"/>
      <c r="DI22" s="189"/>
      <c r="DJ22" s="189"/>
      <c r="DK22" s="189"/>
      <c r="DL22" s="189"/>
      <c r="DM22" s="189"/>
      <c r="DN22" s="189"/>
      <c r="DO22" s="189"/>
      <c r="DP22" s="189"/>
      <c r="DQ22" s="189"/>
      <c r="DR22" s="189"/>
      <c r="DS22" s="189"/>
      <c r="DT22" s="189"/>
      <c r="DU22" s="189"/>
      <c r="DV22" s="189"/>
      <c r="DW22" s="189"/>
      <c r="DX22" s="189"/>
      <c r="DY22" s="189"/>
      <c r="DZ22" s="188"/>
      <c r="EA22" s="188"/>
    </row>
    <row r="23" spans="1:131" s="35" customFormat="1" ht="15" x14ac:dyDescent="0.25">
      <c r="A23" s="188"/>
      <c r="B23" s="188"/>
      <c r="C23" s="188"/>
      <c r="D23" s="188"/>
      <c r="E23" s="188"/>
      <c r="F23" s="1"/>
      <c r="G23" s="188"/>
      <c r="H23" s="188"/>
      <c r="I23" s="188"/>
      <c r="J23" s="188"/>
      <c r="K23" s="188"/>
      <c r="L23" s="188"/>
      <c r="M23" s="188"/>
      <c r="N23" s="188"/>
      <c r="O23" s="188"/>
      <c r="P23" s="188"/>
      <c r="Q23" s="189"/>
      <c r="R23" s="7"/>
      <c r="S23" s="189"/>
      <c r="U23" s="188"/>
      <c r="V23" s="188"/>
      <c r="X23" s="188"/>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89"/>
      <c r="DI23" s="189"/>
      <c r="DJ23" s="189"/>
      <c r="DK23" s="189"/>
      <c r="DL23" s="189"/>
      <c r="DM23" s="189"/>
      <c r="DN23" s="189"/>
      <c r="DO23" s="189"/>
      <c r="DP23" s="189"/>
      <c r="DQ23" s="189"/>
      <c r="DR23" s="189"/>
      <c r="DS23" s="189"/>
      <c r="DT23" s="189"/>
      <c r="DU23" s="189"/>
      <c r="DV23" s="189"/>
      <c r="DW23" s="189"/>
      <c r="DX23" s="189"/>
      <c r="DY23" s="189"/>
      <c r="DZ23" s="188"/>
      <c r="EA23" s="188"/>
    </row>
    <row r="24" spans="1:131" s="35" customFormat="1" ht="15" x14ac:dyDescent="0.25">
      <c r="A24" s="188"/>
      <c r="B24" s="188"/>
      <c r="C24" s="188"/>
      <c r="D24" s="188"/>
      <c r="E24" s="188"/>
      <c r="F24" s="1"/>
      <c r="G24" s="188"/>
      <c r="H24" s="188"/>
      <c r="I24" s="188"/>
      <c r="J24" s="188"/>
      <c r="K24" s="188"/>
      <c r="L24" s="188"/>
      <c r="M24" s="188"/>
      <c r="N24" s="188"/>
      <c r="O24" s="188"/>
      <c r="P24" s="188"/>
      <c r="Q24" s="188"/>
      <c r="R24" s="3"/>
      <c r="S24" s="188"/>
      <c r="U24" s="188"/>
      <c r="V24" s="188"/>
      <c r="X24" s="188"/>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89"/>
      <c r="DI24" s="189"/>
      <c r="DJ24" s="189"/>
      <c r="DK24" s="189"/>
      <c r="DL24" s="189"/>
      <c r="DM24" s="189"/>
      <c r="DN24" s="189"/>
      <c r="DO24" s="189"/>
      <c r="DP24" s="189"/>
      <c r="DQ24" s="189"/>
      <c r="DR24" s="189"/>
      <c r="DS24" s="189"/>
      <c r="DT24" s="189"/>
      <c r="DU24" s="189"/>
      <c r="DV24" s="189"/>
      <c r="DW24" s="189"/>
      <c r="DX24" s="189"/>
      <c r="DY24" s="189"/>
      <c r="DZ24" s="188"/>
      <c r="EA24" s="188"/>
    </row>
    <row r="25" spans="1:131" s="35" customFormat="1" ht="15" x14ac:dyDescent="0.25">
      <c r="A25" s="188"/>
      <c r="B25" s="188"/>
      <c r="C25" s="188"/>
      <c r="D25" s="188"/>
      <c r="E25" s="188"/>
      <c r="F25" s="1"/>
      <c r="G25" s="188"/>
      <c r="H25" s="188"/>
      <c r="I25" s="188"/>
      <c r="J25" s="188"/>
      <c r="K25" s="188"/>
      <c r="L25" s="188"/>
      <c r="M25" s="188"/>
      <c r="N25" s="188"/>
      <c r="O25" s="188"/>
      <c r="P25" s="188"/>
      <c r="Q25" s="188"/>
      <c r="R25" s="3"/>
      <c r="S25" s="188"/>
      <c r="U25" s="188"/>
      <c r="V25" s="188"/>
      <c r="X25" s="188"/>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89"/>
      <c r="DZ25" s="188"/>
      <c r="EA25" s="188"/>
    </row>
    <row r="26" spans="1:131" s="35" customFormat="1" ht="15" x14ac:dyDescent="0.25">
      <c r="A26" s="188"/>
      <c r="B26" s="188"/>
      <c r="C26" s="188"/>
      <c r="D26" s="188"/>
      <c r="E26" s="188"/>
      <c r="F26" s="1"/>
      <c r="G26" s="188"/>
      <c r="H26" s="188"/>
      <c r="I26" s="188"/>
      <c r="J26" s="188"/>
      <c r="K26" s="188"/>
      <c r="L26" s="188"/>
      <c r="M26" s="188"/>
      <c r="N26" s="188"/>
      <c r="O26" s="188"/>
      <c r="P26" s="188"/>
      <c r="Q26" s="188"/>
      <c r="R26" s="3"/>
      <c r="S26" s="188"/>
      <c r="U26" s="188"/>
      <c r="V26" s="188"/>
      <c r="X26" s="188"/>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8"/>
      <c r="EA26" s="188"/>
    </row>
    <row r="27" spans="1:131" s="35" customFormat="1" ht="15" x14ac:dyDescent="0.25">
      <c r="A27" s="188"/>
      <c r="B27" s="188"/>
      <c r="C27" s="188"/>
      <c r="D27" s="188"/>
      <c r="E27" s="188"/>
      <c r="F27" s="1"/>
      <c r="G27" s="188"/>
      <c r="H27" s="188"/>
      <c r="I27" s="188"/>
      <c r="J27" s="188"/>
      <c r="K27" s="188"/>
      <c r="L27" s="188"/>
      <c r="M27" s="188"/>
      <c r="N27" s="188"/>
      <c r="O27" s="188"/>
      <c r="P27" s="188"/>
      <c r="Q27" s="188"/>
      <c r="R27" s="3"/>
      <c r="S27" s="188"/>
      <c r="U27" s="188"/>
      <c r="V27" s="188"/>
      <c r="X27" s="188"/>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8"/>
      <c r="EA27" s="188"/>
    </row>
    <row r="28" spans="1:131" s="35" customFormat="1" ht="15" x14ac:dyDescent="0.25">
      <c r="A28" s="188"/>
      <c r="B28" s="188"/>
      <c r="C28" s="188"/>
      <c r="D28" s="188"/>
      <c r="E28" s="188"/>
      <c r="F28" s="1"/>
      <c r="G28" s="188"/>
      <c r="H28" s="188"/>
      <c r="I28" s="188"/>
      <c r="J28" s="188"/>
      <c r="K28" s="188"/>
      <c r="L28" s="188"/>
      <c r="M28" s="188"/>
      <c r="N28" s="188"/>
      <c r="O28" s="188"/>
      <c r="P28" s="188"/>
      <c r="Q28" s="188"/>
      <c r="R28" s="3"/>
      <c r="S28" s="188"/>
      <c r="U28" s="188"/>
      <c r="V28" s="188"/>
      <c r="X28" s="188"/>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8"/>
      <c r="EA28" s="188"/>
    </row>
    <row r="29" spans="1:131" s="35" customFormat="1" ht="15" x14ac:dyDescent="0.25">
      <c r="A29" s="188"/>
      <c r="B29" s="188"/>
      <c r="C29" s="188"/>
      <c r="D29" s="188"/>
      <c r="E29" s="188"/>
      <c r="F29" s="1"/>
      <c r="G29" s="188"/>
      <c r="H29" s="188"/>
      <c r="I29" s="188"/>
      <c r="J29" s="188"/>
      <c r="K29" s="188"/>
      <c r="L29" s="188"/>
      <c r="M29" s="188"/>
      <c r="N29" s="188"/>
      <c r="O29" s="188"/>
      <c r="P29" s="188"/>
      <c r="Q29" s="188"/>
      <c r="R29" s="3"/>
      <c r="S29" s="188"/>
      <c r="U29" s="188"/>
      <c r="V29" s="188"/>
      <c r="X29" s="188"/>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8"/>
      <c r="EA29" s="188"/>
    </row>
    <row r="30" spans="1:131" s="35" customFormat="1" ht="15" x14ac:dyDescent="0.25">
      <c r="A30" s="188"/>
      <c r="B30" s="188"/>
      <c r="C30" s="188"/>
      <c r="D30" s="188"/>
      <c r="E30" s="188"/>
      <c r="F30" s="1"/>
      <c r="G30" s="188"/>
      <c r="H30" s="188"/>
      <c r="I30" s="188"/>
      <c r="J30" s="188"/>
      <c r="K30" s="188"/>
      <c r="L30" s="188"/>
      <c r="M30" s="188"/>
      <c r="N30" s="188"/>
      <c r="O30" s="188"/>
      <c r="P30" s="188"/>
      <c r="Q30" s="188"/>
      <c r="R30" s="3"/>
      <c r="S30" s="188"/>
      <c r="U30" s="188"/>
      <c r="V30" s="188"/>
      <c r="X30" s="188"/>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8"/>
      <c r="EA30" s="188"/>
    </row>
    <row r="31" spans="1:131" ht="15" x14ac:dyDescent="0.25"/>
    <row r="32" spans="1:131"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customHeight="1" x14ac:dyDescent="0.25"/>
    <row r="67" ht="15"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sheetData>
  <sheetProtection algorithmName="SHA-512" hashValue="sZQ3G428YbpXSEqeRcfBVNSv1r514NNu9bkMdmO8eJO2vwXYuAnEizEqhNYO4lcRf7qNajr7GS0iiQSkbgbHwg==" saltValue="M7qdofLmIcTXmp2q/3l9WA==" spinCount="100000" sheet="1" objects="1" scenarios="1" selectLockedCells="1" selectUnlockedCells="1"/>
  <mergeCells count="12">
    <mergeCell ref="W2:X2"/>
    <mergeCell ref="B3:V3"/>
    <mergeCell ref="W3:X3"/>
    <mergeCell ref="B4:V5"/>
    <mergeCell ref="W4:X4"/>
    <mergeCell ref="W5:X5"/>
    <mergeCell ref="M8:M9"/>
    <mergeCell ref="A8:A9"/>
    <mergeCell ref="B8:B9"/>
    <mergeCell ref="C8:C9"/>
    <mergeCell ref="A2:A5"/>
    <mergeCell ref="B2:V2"/>
  </mergeCells>
  <conditionalFormatting sqref="R23:R1048576 R7:R9 R13">
    <cfRule type="cellIs" dxfId="99" priority="21" operator="between">
      <formula>0.51</formula>
      <formula>0.69</formula>
    </cfRule>
    <cfRule type="cellIs" dxfId="98" priority="22" operator="between">
      <formula>0.51</formula>
      <formula>0.69</formula>
    </cfRule>
    <cfRule type="cellIs" dxfId="97" priority="23" operator="lessThan">
      <formula>0.5</formula>
    </cfRule>
    <cfRule type="cellIs" dxfId="96" priority="24" operator="greaterThan">
      <formula>0.7</formula>
    </cfRule>
    <cfRule type="cellIs" dxfId="95" priority="25" operator="between">
      <formula>0.51</formula>
      <formula>0.69</formula>
    </cfRule>
    <cfRule type="cellIs" dxfId="94" priority="26" operator="lessThan">
      <formula>50</formula>
    </cfRule>
    <cfRule type="cellIs" dxfId="93" priority="27" operator="greaterThan">
      <formula>0.7</formula>
    </cfRule>
    <cfRule type="cellIs" dxfId="92" priority="28" operator="between">
      <formula>0.51</formula>
      <formula>0.69</formula>
    </cfRule>
    <cfRule type="cellIs" dxfId="91" priority="29" operator="lessThan">
      <formula>0.5</formula>
    </cfRule>
    <cfRule type="cellIs" dxfId="90" priority="30" operator="greaterThan">
      <formula>0.7</formula>
    </cfRule>
  </conditionalFormatting>
  <conditionalFormatting sqref="R10:R11">
    <cfRule type="cellIs" dxfId="89" priority="11" operator="between">
      <formula>0.51</formula>
      <formula>0.69</formula>
    </cfRule>
    <cfRule type="cellIs" dxfId="88" priority="12" operator="between">
      <formula>0.51</formula>
      <formula>0.69</formula>
    </cfRule>
    <cfRule type="cellIs" dxfId="87" priority="13" operator="lessThan">
      <formula>0.5</formula>
    </cfRule>
    <cfRule type="cellIs" dxfId="86" priority="14" operator="greaterThan">
      <formula>0.7</formula>
    </cfRule>
    <cfRule type="cellIs" dxfId="85" priority="15" operator="between">
      <formula>0.51</formula>
      <formula>0.69</formula>
    </cfRule>
    <cfRule type="cellIs" dxfId="84" priority="16" operator="lessThan">
      <formula>50</formula>
    </cfRule>
    <cfRule type="cellIs" dxfId="83" priority="17" operator="greaterThan">
      <formula>0.7</formula>
    </cfRule>
    <cfRule type="cellIs" dxfId="82" priority="18" operator="between">
      <formula>0.51</formula>
      <formula>0.69</formula>
    </cfRule>
    <cfRule type="cellIs" dxfId="81" priority="19" operator="lessThan">
      <formula>0.5</formula>
    </cfRule>
    <cfRule type="cellIs" dxfId="80" priority="20" operator="greaterThan">
      <formula>0.7</formula>
    </cfRule>
  </conditionalFormatting>
  <conditionalFormatting sqref="R12">
    <cfRule type="cellIs" dxfId="79" priority="1" operator="between">
      <formula>0.51</formula>
      <formula>0.69</formula>
    </cfRule>
    <cfRule type="cellIs" dxfId="78" priority="2" operator="between">
      <formula>0.51</formula>
      <formula>0.69</formula>
    </cfRule>
    <cfRule type="cellIs" dxfId="77" priority="3" operator="lessThan">
      <formula>0.5</formula>
    </cfRule>
    <cfRule type="cellIs" dxfId="76" priority="4" operator="greaterThan">
      <formula>0.7</formula>
    </cfRule>
    <cfRule type="cellIs" dxfId="75" priority="5" operator="between">
      <formula>0.51</formula>
      <formula>0.69</formula>
    </cfRule>
    <cfRule type="cellIs" dxfId="74" priority="6" operator="lessThan">
      <formula>50</formula>
    </cfRule>
    <cfRule type="cellIs" dxfId="73" priority="7" operator="greaterThan">
      <formula>0.7</formula>
    </cfRule>
    <cfRule type="cellIs" dxfId="72" priority="8" operator="between">
      <formula>0.51</formula>
      <formula>0.69</formula>
    </cfRule>
    <cfRule type="cellIs" dxfId="71" priority="9" operator="lessThan">
      <formula>0.5</formula>
    </cfRule>
    <cfRule type="cellIs" dxfId="70" priority="10" operator="greaterThan">
      <formula>0.7</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482B"/>
  </sheetPr>
  <dimension ref="A1:EB835"/>
  <sheetViews>
    <sheetView showGridLines="0" topLeftCell="E1" zoomScale="80" zoomScaleNormal="80" workbookViewId="0">
      <selection activeCell="N12" sqref="N12"/>
    </sheetView>
  </sheetViews>
  <sheetFormatPr baseColWidth="10" defaultColWidth="0" defaultRowHeight="0" customHeight="1" zeroHeight="1" x14ac:dyDescent="0.25"/>
  <cols>
    <col min="1" max="1" width="11.42578125" style="188" customWidth="1"/>
    <col min="2" max="2" width="45.7109375" style="188" customWidth="1"/>
    <col min="3" max="3" width="17.28515625" style="188" customWidth="1"/>
    <col min="4" max="4" width="14.7109375" style="188" customWidth="1"/>
    <col min="5" max="5" width="42.85546875" style="188" customWidth="1"/>
    <col min="6" max="6" width="21.140625" style="1" hidden="1" customWidth="1"/>
    <col min="7" max="7" width="19.85546875" style="188" hidden="1" customWidth="1"/>
    <col min="8" max="8" width="11.42578125" style="188" hidden="1" customWidth="1"/>
    <col min="9" max="9" width="12.7109375" style="188" hidden="1" customWidth="1"/>
    <col min="10" max="10" width="15.140625" style="188" hidden="1" customWidth="1"/>
    <col min="11" max="11" width="15" style="188" hidden="1" customWidth="1"/>
    <col min="12" max="12" width="18.7109375" style="188" bestFit="1" customWidth="1"/>
    <col min="13" max="13" width="29.28515625" style="188" customWidth="1"/>
    <col min="14" max="14" width="15.7109375" style="188" customWidth="1"/>
    <col min="15" max="15" width="11.42578125" style="188" customWidth="1"/>
    <col min="16" max="16" width="15.42578125" style="188" bestFit="1" customWidth="1"/>
    <col min="17" max="17" width="17.85546875" style="188" bestFit="1" customWidth="1"/>
    <col min="18" max="18" width="11.5703125" style="3" bestFit="1" customWidth="1"/>
    <col min="19" max="19" width="11.42578125" style="188" customWidth="1"/>
    <col min="20" max="20" width="16.7109375" style="35" bestFit="1" customWidth="1"/>
    <col min="21" max="21" width="18.28515625" style="188" bestFit="1" customWidth="1"/>
    <col min="22" max="22" width="11.42578125" style="188" customWidth="1"/>
    <col min="23" max="23" width="14.5703125" style="35" customWidth="1"/>
    <col min="24" max="24" width="19" style="188" bestFit="1" customWidth="1"/>
    <col min="25" max="129" width="11.5703125" style="189" hidden="1" customWidth="1"/>
    <col min="130" max="132" width="11.5703125" style="188" hidden="1" customWidth="1"/>
    <col min="133" max="16384" width="11.42578125" style="188" hidden="1"/>
  </cols>
  <sheetData>
    <row r="1" spans="1:131" ht="15" x14ac:dyDescent="0.25">
      <c r="A1" s="24"/>
      <c r="B1" s="25"/>
      <c r="C1" s="25"/>
      <c r="D1" s="26"/>
      <c r="E1" s="26"/>
      <c r="F1" s="27"/>
      <c r="G1" s="28"/>
      <c r="H1" s="28"/>
      <c r="I1" s="28"/>
      <c r="J1" s="28"/>
      <c r="K1" s="29"/>
      <c r="L1" s="24"/>
      <c r="M1" s="24"/>
      <c r="N1" s="24"/>
      <c r="O1" s="24"/>
      <c r="P1" s="24"/>
      <c r="Q1" s="24"/>
      <c r="R1" s="24"/>
      <c r="S1" s="24"/>
      <c r="T1" s="36"/>
      <c r="U1" s="24"/>
      <c r="V1" s="24"/>
      <c r="W1" s="36"/>
    </row>
    <row r="2" spans="1:131"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31"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31"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31"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31" ht="15" x14ac:dyDescent="0.25">
      <c r="A6" s="24"/>
      <c r="B6" s="24"/>
      <c r="C6" s="24"/>
      <c r="D6" s="24"/>
      <c r="E6" s="24"/>
      <c r="F6" s="24"/>
      <c r="G6" s="24"/>
      <c r="H6" s="24"/>
      <c r="I6" s="24"/>
      <c r="J6" s="24"/>
      <c r="K6" s="24"/>
      <c r="L6" s="24"/>
      <c r="M6" s="24"/>
      <c r="N6" s="24"/>
      <c r="O6" s="24"/>
      <c r="P6" s="24"/>
      <c r="Q6" s="24"/>
      <c r="R6" s="24"/>
      <c r="S6" s="24"/>
      <c r="T6" s="36"/>
      <c r="U6" s="24"/>
      <c r="V6" s="24"/>
      <c r="W6" s="36"/>
    </row>
    <row r="7" spans="1:131" s="34" customFormat="1" ht="63.75" x14ac:dyDescent="0.25">
      <c r="A7" s="41" t="s">
        <v>0</v>
      </c>
      <c r="B7" s="41" t="s">
        <v>1</v>
      </c>
      <c r="C7" s="41" t="s">
        <v>2</v>
      </c>
      <c r="D7" s="41" t="s">
        <v>103</v>
      </c>
      <c r="E7" s="41" t="s">
        <v>30</v>
      </c>
      <c r="F7" s="41" t="s">
        <v>96</v>
      </c>
      <c r="G7" s="41" t="s">
        <v>1134</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31" s="50" customFormat="1" ht="81" x14ac:dyDescent="0.25">
      <c r="A8" s="692" t="s">
        <v>1127</v>
      </c>
      <c r="B8" s="705" t="s">
        <v>1126</v>
      </c>
      <c r="C8" s="689" t="s">
        <v>1131</v>
      </c>
      <c r="D8" s="129" t="s">
        <v>1213</v>
      </c>
      <c r="E8" s="8" t="s">
        <v>1204</v>
      </c>
      <c r="F8" s="66"/>
      <c r="G8" s="289">
        <v>3100000</v>
      </c>
      <c r="H8" s="200"/>
      <c r="I8" s="200"/>
      <c r="J8" s="200"/>
      <c r="K8" s="200"/>
      <c r="L8" s="65">
        <f>+F8+G8+H8+J8-K8</f>
        <v>3100000</v>
      </c>
      <c r="M8" s="742">
        <v>76404400</v>
      </c>
      <c r="N8" s="78" t="s">
        <v>1561</v>
      </c>
      <c r="O8" s="457">
        <v>527</v>
      </c>
      <c r="P8" s="78" t="s">
        <v>1562</v>
      </c>
      <c r="Q8" s="274">
        <v>3094977</v>
      </c>
      <c r="R8" s="46"/>
      <c r="S8" s="568">
        <v>12</v>
      </c>
      <c r="T8" s="122">
        <v>44782</v>
      </c>
      <c r="U8" s="274">
        <v>3094977</v>
      </c>
      <c r="V8" s="38">
        <v>29</v>
      </c>
      <c r="W8" s="122">
        <v>44806</v>
      </c>
      <c r="X8" s="66">
        <v>3094977</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31" s="50" customFormat="1" ht="81" x14ac:dyDescent="0.25">
      <c r="A9" s="694"/>
      <c r="B9" s="706"/>
      <c r="C9" s="691"/>
      <c r="D9" s="129" t="s">
        <v>1215</v>
      </c>
      <c r="E9" s="8" t="s">
        <v>1205</v>
      </c>
      <c r="F9" s="66"/>
      <c r="G9" s="289">
        <v>73304400</v>
      </c>
      <c r="H9" s="200"/>
      <c r="I9" s="200"/>
      <c r="J9" s="200"/>
      <c r="K9" s="200"/>
      <c r="L9" s="65">
        <f>+F9+G9+H9+J9-K9</f>
        <v>73304400</v>
      </c>
      <c r="M9" s="743"/>
      <c r="N9" s="78" t="s">
        <v>1625</v>
      </c>
      <c r="O9" s="457">
        <v>409</v>
      </c>
      <c r="P9" s="78" t="s">
        <v>1626</v>
      </c>
      <c r="Q9" s="274">
        <v>30544800</v>
      </c>
      <c r="R9" s="46"/>
      <c r="S9" s="568">
        <v>7</v>
      </c>
      <c r="T9" s="122">
        <v>44757</v>
      </c>
      <c r="U9" s="274">
        <v>30544800</v>
      </c>
      <c r="V9" s="38">
        <v>23</v>
      </c>
      <c r="W9" s="122">
        <v>44778</v>
      </c>
      <c r="X9" s="274">
        <v>30544800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31" s="50" customFormat="1" ht="15" x14ac:dyDescent="0.25">
      <c r="A10" s="303"/>
      <c r="B10" s="707"/>
      <c r="C10" s="306"/>
      <c r="D10" s="307"/>
      <c r="E10" s="314"/>
      <c r="F10" s="317"/>
      <c r="G10" s="313"/>
      <c r="H10" s="303"/>
      <c r="I10" s="85"/>
      <c r="J10" s="303"/>
      <c r="K10" s="303"/>
      <c r="L10" s="304"/>
      <c r="M10" s="308"/>
      <c r="N10" s="78" t="s">
        <v>1628</v>
      </c>
      <c r="O10" s="457">
        <v>410</v>
      </c>
      <c r="P10" s="78" t="s">
        <v>1627</v>
      </c>
      <c r="Q10" s="274">
        <v>36250632</v>
      </c>
      <c r="R10" s="46"/>
      <c r="S10" s="568">
        <v>8</v>
      </c>
      <c r="T10" s="273">
        <v>44757</v>
      </c>
      <c r="U10" s="274">
        <v>36250632</v>
      </c>
      <c r="V10" s="329">
        <v>24</v>
      </c>
      <c r="W10" s="273">
        <v>44778</v>
      </c>
      <c r="X10" s="274">
        <v>36250632</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31" s="107" customFormat="1" ht="15" x14ac:dyDescent="0.25">
      <c r="A11" s="92"/>
      <c r="B11" s="92"/>
      <c r="C11" s="92"/>
      <c r="D11" s="92"/>
      <c r="E11" s="104"/>
      <c r="F11" s="101"/>
      <c r="G11" s="101"/>
      <c r="H11" s="92"/>
      <c r="I11" s="93"/>
      <c r="J11" s="92"/>
      <c r="K11" s="92"/>
      <c r="L11" s="102">
        <f>SUM(L8:L10)</f>
        <v>76404400</v>
      </c>
      <c r="M11" s="101"/>
      <c r="N11" s="105"/>
      <c r="O11" s="86"/>
      <c r="P11" s="95"/>
      <c r="Q11" s="103">
        <f>SUM(Q8:Q10)</f>
        <v>69890409</v>
      </c>
      <c r="R11" s="89"/>
      <c r="S11" s="86"/>
      <c r="T11" s="95"/>
      <c r="U11" s="103">
        <f>SUM(U8:U10)</f>
        <v>69890409</v>
      </c>
      <c r="V11" s="86"/>
      <c r="W11" s="95"/>
      <c r="X11" s="103">
        <f>SUM(X8:X10)</f>
        <v>69890409</v>
      </c>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row>
    <row r="12" spans="1:131" s="112" customFormat="1" ht="92.25" customHeight="1" x14ac:dyDescent="0.25">
      <c r="A12" s="183" t="s">
        <v>1129</v>
      </c>
      <c r="B12" s="525" t="s">
        <v>1128</v>
      </c>
      <c r="C12" s="184" t="s">
        <v>1131</v>
      </c>
      <c r="D12" s="183" t="s">
        <v>1214</v>
      </c>
      <c r="E12" s="192" t="s">
        <v>1206</v>
      </c>
      <c r="F12" s="191"/>
      <c r="G12" s="289">
        <v>7989509</v>
      </c>
      <c r="H12" s="187"/>
      <c r="I12" s="187"/>
      <c r="J12" s="187"/>
      <c r="K12" s="187"/>
      <c r="L12" s="65">
        <f>+F12+G12+H12+J12-K12</f>
        <v>7989509</v>
      </c>
      <c r="M12" s="296">
        <v>7989509</v>
      </c>
      <c r="N12" s="78" t="s">
        <v>1561</v>
      </c>
      <c r="O12" s="457">
        <v>528</v>
      </c>
      <c r="P12" s="464" t="s">
        <v>1571</v>
      </c>
      <c r="Q12" s="347">
        <v>7954375</v>
      </c>
      <c r="R12" s="46"/>
      <c r="S12" s="554">
        <v>12</v>
      </c>
      <c r="T12" s="265">
        <v>44782</v>
      </c>
      <c r="U12" s="560">
        <v>7954374.8700000001</v>
      </c>
      <c r="V12" s="554">
        <v>29</v>
      </c>
      <c r="W12" s="265">
        <v>44806</v>
      </c>
      <c r="X12" s="560">
        <v>7954374.8700000001</v>
      </c>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row>
    <row r="13" spans="1:131" s="107" customFormat="1" ht="15.75" thickBot="1" x14ac:dyDescent="0.3">
      <c r="A13" s="92"/>
      <c r="B13" s="92"/>
      <c r="C13" s="92"/>
      <c r="D13" s="92"/>
      <c r="E13" s="104"/>
      <c r="F13" s="101"/>
      <c r="G13" s="101"/>
      <c r="H13" s="92"/>
      <c r="I13" s="93"/>
      <c r="J13" s="92"/>
      <c r="K13" s="92"/>
      <c r="L13" s="102">
        <f>+L12</f>
        <v>7989509</v>
      </c>
      <c r="M13" s="101"/>
      <c r="N13" s="105"/>
      <c r="O13" s="86"/>
      <c r="P13" s="95"/>
      <c r="Q13" s="103">
        <f>+Q12</f>
        <v>7954375</v>
      </c>
      <c r="R13" s="89"/>
      <c r="S13" s="86"/>
      <c r="T13" s="95"/>
      <c r="U13" s="103">
        <f>+U12</f>
        <v>7954374.8700000001</v>
      </c>
      <c r="V13" s="86"/>
      <c r="W13" s="95"/>
      <c r="X13" s="103">
        <f>+X12</f>
        <v>7954374.8700000001</v>
      </c>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row>
    <row r="14" spans="1:131" s="63" customFormat="1" ht="17.25" thickBot="1" x14ac:dyDescent="0.35">
      <c r="A14" s="51"/>
      <c r="B14" s="51"/>
      <c r="C14" s="42"/>
      <c r="D14" s="42"/>
      <c r="E14" s="42"/>
      <c r="F14" s="221"/>
      <c r="G14" s="220"/>
      <c r="H14" s="220"/>
      <c r="I14" s="217"/>
      <c r="J14" s="53" t="s">
        <v>29</v>
      </c>
      <c r="K14" s="54"/>
      <c r="L14" s="55">
        <f>+L11+L13</f>
        <v>84393909</v>
      </c>
      <c r="M14" s="190"/>
      <c r="N14" s="190"/>
      <c r="O14" s="190"/>
      <c r="P14" s="190"/>
      <c r="Q14" s="130">
        <f>+Q11+Q13</f>
        <v>77844784</v>
      </c>
      <c r="R14" s="57">
        <f>(Q14*1)/L14</f>
        <v>0.92239813183674191</v>
      </c>
      <c r="S14" s="58"/>
      <c r="T14" s="59"/>
      <c r="U14" s="60">
        <f>+U11+U13</f>
        <v>77844783.870000005</v>
      </c>
      <c r="V14" s="58"/>
      <c r="W14" s="59"/>
      <c r="X14" s="61">
        <f>+X11+X13</f>
        <v>77844783.870000005</v>
      </c>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row>
    <row r="15" spans="1:131" ht="15" x14ac:dyDescent="0.25">
      <c r="R15" s="4"/>
    </row>
    <row r="16" spans="1:131" s="35" customFormat="1" ht="15" x14ac:dyDescent="0.25">
      <c r="A16" s="188"/>
      <c r="B16" s="188"/>
      <c r="C16" s="188"/>
      <c r="D16" s="188"/>
      <c r="E16" s="188"/>
      <c r="F16" s="1"/>
      <c r="G16" s="188"/>
      <c r="H16" s="188"/>
      <c r="I16" s="188"/>
      <c r="J16" s="188"/>
      <c r="K16" s="188"/>
      <c r="L16" s="188"/>
      <c r="M16" s="188"/>
      <c r="N16" s="188"/>
      <c r="O16" s="188"/>
      <c r="P16" s="188"/>
      <c r="Q16" s="189"/>
      <c r="R16" s="6"/>
      <c r="S16" s="189"/>
      <c r="U16" s="188"/>
      <c r="V16" s="188"/>
      <c r="X16" s="188"/>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c r="DK16" s="189"/>
      <c r="DL16" s="189"/>
      <c r="DM16" s="189"/>
      <c r="DN16" s="189"/>
      <c r="DO16" s="189"/>
      <c r="DP16" s="189"/>
      <c r="DQ16" s="189"/>
      <c r="DR16" s="189"/>
      <c r="DS16" s="189"/>
      <c r="DT16" s="189"/>
      <c r="DU16" s="189"/>
      <c r="DV16" s="189"/>
      <c r="DW16" s="189"/>
      <c r="DX16" s="189"/>
      <c r="DY16" s="189"/>
      <c r="DZ16" s="188"/>
      <c r="EA16" s="188"/>
    </row>
    <row r="17" spans="1:131" s="35" customFormat="1" ht="15" x14ac:dyDescent="0.25">
      <c r="A17" s="188"/>
      <c r="B17" s="188"/>
      <c r="C17" s="188"/>
      <c r="D17" s="188"/>
      <c r="E17" s="188"/>
      <c r="F17" s="1"/>
      <c r="G17" s="188"/>
      <c r="H17" s="188"/>
      <c r="I17" s="188"/>
      <c r="J17" s="188"/>
      <c r="K17" s="188"/>
      <c r="L17" s="188"/>
      <c r="M17" s="188"/>
      <c r="N17" s="188"/>
      <c r="O17" s="188"/>
      <c r="P17" s="188"/>
      <c r="Q17" s="189"/>
      <c r="R17" s="6"/>
      <c r="S17" s="189"/>
      <c r="U17" s="188"/>
      <c r="V17" s="188"/>
      <c r="X17" s="188"/>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89"/>
      <c r="DL17" s="189"/>
      <c r="DM17" s="189"/>
      <c r="DN17" s="189"/>
      <c r="DO17" s="189"/>
      <c r="DP17" s="189"/>
      <c r="DQ17" s="189"/>
      <c r="DR17" s="189"/>
      <c r="DS17" s="189"/>
      <c r="DT17" s="189"/>
      <c r="DU17" s="189"/>
      <c r="DV17" s="189"/>
      <c r="DW17" s="189"/>
      <c r="DX17" s="189"/>
      <c r="DY17" s="189"/>
      <c r="DZ17" s="188"/>
      <c r="EA17" s="188"/>
    </row>
    <row r="18" spans="1:131" s="35" customFormat="1" ht="15" x14ac:dyDescent="0.25">
      <c r="A18" s="188"/>
      <c r="B18" s="188"/>
      <c r="C18" s="188"/>
      <c r="D18" s="188"/>
      <c r="E18" s="188"/>
      <c r="F18" s="1"/>
      <c r="G18" s="188"/>
      <c r="H18" s="188"/>
      <c r="I18" s="188"/>
      <c r="J18" s="188"/>
      <c r="K18" s="188"/>
      <c r="L18" s="188"/>
      <c r="M18" s="188"/>
      <c r="N18" s="188"/>
      <c r="O18" s="188"/>
      <c r="P18" s="188"/>
      <c r="Q18" s="189"/>
      <c r="R18" s="6"/>
      <c r="S18" s="189"/>
      <c r="U18" s="188"/>
      <c r="V18" s="188"/>
      <c r="X18" s="188"/>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8"/>
      <c r="EA18" s="188"/>
    </row>
    <row r="19" spans="1:131" s="35" customFormat="1" ht="15" x14ac:dyDescent="0.25">
      <c r="A19" s="188"/>
      <c r="B19" s="188"/>
      <c r="C19" s="188"/>
      <c r="D19" s="188"/>
      <c r="E19" s="188"/>
      <c r="F19" s="1"/>
      <c r="G19" s="188"/>
      <c r="H19" s="188"/>
      <c r="I19" s="188"/>
      <c r="J19" s="188"/>
      <c r="K19" s="188"/>
      <c r="L19" s="188"/>
      <c r="M19" s="188"/>
      <c r="N19" s="188"/>
      <c r="O19" s="188"/>
      <c r="P19" s="188"/>
      <c r="Q19" s="189"/>
      <c r="R19" s="6"/>
      <c r="S19" s="189"/>
      <c r="U19" s="188"/>
      <c r="V19" s="188"/>
      <c r="X19" s="188"/>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8"/>
      <c r="EA19" s="188"/>
    </row>
    <row r="20" spans="1:131" s="35" customFormat="1" ht="15" x14ac:dyDescent="0.25">
      <c r="A20" s="188"/>
      <c r="B20" s="188"/>
      <c r="C20" s="188"/>
      <c r="D20" s="188"/>
      <c r="E20" s="188"/>
      <c r="F20" s="1"/>
      <c r="G20" s="188"/>
      <c r="H20" s="188"/>
      <c r="I20" s="188"/>
      <c r="J20" s="188"/>
      <c r="K20" s="188"/>
      <c r="L20" s="188"/>
      <c r="M20" s="188"/>
      <c r="N20" s="188"/>
      <c r="O20" s="188"/>
      <c r="P20" s="188"/>
      <c r="Q20" s="189"/>
      <c r="R20" s="6"/>
      <c r="S20" s="189"/>
      <c r="U20" s="188"/>
      <c r="V20" s="188"/>
      <c r="X20" s="188"/>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8"/>
      <c r="EA20" s="188"/>
    </row>
    <row r="21" spans="1:131" s="35" customFormat="1" ht="15" x14ac:dyDescent="0.25">
      <c r="A21" s="188"/>
      <c r="B21" s="188"/>
      <c r="C21" s="188"/>
      <c r="D21" s="188"/>
      <c r="E21" s="188"/>
      <c r="F21" s="1"/>
      <c r="G21" s="188"/>
      <c r="H21" s="188"/>
      <c r="I21" s="188"/>
      <c r="J21" s="188"/>
      <c r="K21" s="188"/>
      <c r="L21" s="188"/>
      <c r="M21" s="188"/>
      <c r="N21" s="188"/>
      <c r="O21" s="188"/>
      <c r="P21" s="188"/>
      <c r="Q21" s="189"/>
      <c r="R21" s="6"/>
      <c r="S21" s="189"/>
      <c r="U21" s="188"/>
      <c r="V21" s="188"/>
      <c r="X21" s="188"/>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8"/>
      <c r="EA21" s="188"/>
    </row>
    <row r="22" spans="1:131" s="35" customFormat="1" ht="15" x14ac:dyDescent="0.25">
      <c r="A22" s="188"/>
      <c r="B22" s="188"/>
      <c r="C22" s="188"/>
      <c r="D22" s="188"/>
      <c r="E22" s="188"/>
      <c r="F22" s="1"/>
      <c r="G22" s="188"/>
      <c r="H22" s="188"/>
      <c r="I22" s="188"/>
      <c r="J22" s="188"/>
      <c r="K22" s="188"/>
      <c r="L22" s="188"/>
      <c r="M22" s="188"/>
      <c r="N22" s="188"/>
      <c r="O22" s="188"/>
      <c r="P22" s="188"/>
      <c r="Q22" s="189"/>
      <c r="R22" s="6"/>
      <c r="S22" s="189"/>
      <c r="U22" s="188"/>
      <c r="V22" s="188"/>
      <c r="X22" s="188"/>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89"/>
      <c r="DE22" s="189"/>
      <c r="DF22" s="189"/>
      <c r="DG22" s="189"/>
      <c r="DH22" s="189"/>
      <c r="DI22" s="189"/>
      <c r="DJ22" s="189"/>
      <c r="DK22" s="189"/>
      <c r="DL22" s="189"/>
      <c r="DM22" s="189"/>
      <c r="DN22" s="189"/>
      <c r="DO22" s="189"/>
      <c r="DP22" s="189"/>
      <c r="DQ22" s="189"/>
      <c r="DR22" s="189"/>
      <c r="DS22" s="189"/>
      <c r="DT22" s="189"/>
      <c r="DU22" s="189"/>
      <c r="DV22" s="189"/>
      <c r="DW22" s="189"/>
      <c r="DX22" s="189"/>
      <c r="DY22" s="189"/>
      <c r="DZ22" s="188"/>
      <c r="EA22" s="188"/>
    </row>
    <row r="23" spans="1:131" s="35" customFormat="1" ht="15" x14ac:dyDescent="0.25">
      <c r="A23" s="188"/>
      <c r="B23" s="188"/>
      <c r="C23" s="188"/>
      <c r="D23" s="188"/>
      <c r="E23" s="188"/>
      <c r="F23" s="1"/>
      <c r="G23" s="188"/>
      <c r="H23" s="188"/>
      <c r="I23" s="188"/>
      <c r="J23" s="188"/>
      <c r="K23" s="188"/>
      <c r="L23" s="188"/>
      <c r="M23" s="188"/>
      <c r="N23" s="188"/>
      <c r="O23" s="188"/>
      <c r="P23" s="188"/>
      <c r="Q23" s="189"/>
      <c r="R23" s="6"/>
      <c r="S23" s="189"/>
      <c r="U23" s="188"/>
      <c r="V23" s="188"/>
      <c r="X23" s="188"/>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89"/>
      <c r="DI23" s="189"/>
      <c r="DJ23" s="189"/>
      <c r="DK23" s="189"/>
      <c r="DL23" s="189"/>
      <c r="DM23" s="189"/>
      <c r="DN23" s="189"/>
      <c r="DO23" s="189"/>
      <c r="DP23" s="189"/>
      <c r="DQ23" s="189"/>
      <c r="DR23" s="189"/>
      <c r="DS23" s="189"/>
      <c r="DT23" s="189"/>
      <c r="DU23" s="189"/>
      <c r="DV23" s="189"/>
      <c r="DW23" s="189"/>
      <c r="DX23" s="189"/>
      <c r="DY23" s="189"/>
      <c r="DZ23" s="188"/>
      <c r="EA23" s="188"/>
    </row>
    <row r="24" spans="1:131" s="35" customFormat="1" ht="15" x14ac:dyDescent="0.25">
      <c r="A24" s="188"/>
      <c r="B24" s="188"/>
      <c r="C24" s="188"/>
      <c r="D24" s="188"/>
      <c r="E24" s="188"/>
      <c r="F24" s="1"/>
      <c r="G24" s="188"/>
      <c r="H24" s="188"/>
      <c r="I24" s="188"/>
      <c r="J24" s="188"/>
      <c r="K24" s="188"/>
      <c r="L24" s="188"/>
      <c r="M24" s="188"/>
      <c r="N24" s="188"/>
      <c r="O24" s="188"/>
      <c r="P24" s="188"/>
      <c r="Q24" s="189"/>
      <c r="R24" s="7"/>
      <c r="S24" s="189"/>
      <c r="U24" s="188"/>
      <c r="V24" s="188"/>
      <c r="X24" s="188"/>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89"/>
      <c r="DI24" s="189"/>
      <c r="DJ24" s="189"/>
      <c r="DK24" s="189"/>
      <c r="DL24" s="189"/>
      <c r="DM24" s="189"/>
      <c r="DN24" s="189"/>
      <c r="DO24" s="189"/>
      <c r="DP24" s="189"/>
      <c r="DQ24" s="189"/>
      <c r="DR24" s="189"/>
      <c r="DS24" s="189"/>
      <c r="DT24" s="189"/>
      <c r="DU24" s="189"/>
      <c r="DV24" s="189"/>
      <c r="DW24" s="189"/>
      <c r="DX24" s="189"/>
      <c r="DY24" s="189"/>
      <c r="DZ24" s="188"/>
      <c r="EA24" s="188"/>
    </row>
    <row r="25" spans="1:131" s="35" customFormat="1" ht="15" x14ac:dyDescent="0.25">
      <c r="A25" s="188"/>
      <c r="B25" s="188"/>
      <c r="C25" s="188"/>
      <c r="D25" s="188"/>
      <c r="E25" s="188"/>
      <c r="F25" s="1"/>
      <c r="G25" s="188"/>
      <c r="H25" s="188"/>
      <c r="I25" s="188"/>
      <c r="J25" s="188"/>
      <c r="K25" s="188"/>
      <c r="L25" s="188"/>
      <c r="M25" s="188"/>
      <c r="N25" s="188"/>
      <c r="O25" s="188"/>
      <c r="P25" s="188"/>
      <c r="Q25" s="188"/>
      <c r="R25" s="3"/>
      <c r="S25" s="188"/>
      <c r="U25" s="188"/>
      <c r="V25" s="188"/>
      <c r="X25" s="188"/>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89"/>
      <c r="DZ25" s="188"/>
      <c r="EA25" s="188"/>
    </row>
    <row r="26" spans="1:131" s="35" customFormat="1" ht="15" x14ac:dyDescent="0.25">
      <c r="A26" s="188"/>
      <c r="B26" s="188"/>
      <c r="C26" s="188"/>
      <c r="D26" s="188"/>
      <c r="E26" s="188"/>
      <c r="F26" s="1"/>
      <c r="G26" s="188"/>
      <c r="H26" s="188"/>
      <c r="I26" s="188"/>
      <c r="J26" s="188"/>
      <c r="K26" s="188"/>
      <c r="L26" s="188"/>
      <c r="M26" s="188"/>
      <c r="N26" s="188"/>
      <c r="O26" s="188"/>
      <c r="P26" s="188"/>
      <c r="Q26" s="188"/>
      <c r="R26" s="3"/>
      <c r="S26" s="188"/>
      <c r="U26" s="188"/>
      <c r="V26" s="188"/>
      <c r="X26" s="188"/>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8"/>
      <c r="EA26" s="188"/>
    </row>
    <row r="27" spans="1:131" s="35" customFormat="1" ht="15" x14ac:dyDescent="0.25">
      <c r="A27" s="188"/>
      <c r="B27" s="188"/>
      <c r="C27" s="188"/>
      <c r="D27" s="188"/>
      <c r="E27" s="188"/>
      <c r="F27" s="1"/>
      <c r="G27" s="188"/>
      <c r="H27" s="188"/>
      <c r="I27" s="188"/>
      <c r="J27" s="188"/>
      <c r="K27" s="188"/>
      <c r="L27" s="188"/>
      <c r="M27" s="188"/>
      <c r="N27" s="188"/>
      <c r="O27" s="188"/>
      <c r="P27" s="188"/>
      <c r="Q27" s="188"/>
      <c r="R27" s="3"/>
      <c r="S27" s="188"/>
      <c r="U27" s="188"/>
      <c r="V27" s="188"/>
      <c r="X27" s="188"/>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8"/>
      <c r="EA27" s="188"/>
    </row>
    <row r="28" spans="1:131" s="35" customFormat="1" ht="15" x14ac:dyDescent="0.25">
      <c r="A28" s="188"/>
      <c r="B28" s="188"/>
      <c r="C28" s="188"/>
      <c r="D28" s="188"/>
      <c r="E28" s="188"/>
      <c r="F28" s="1"/>
      <c r="G28" s="188"/>
      <c r="H28" s="188"/>
      <c r="I28" s="188"/>
      <c r="J28" s="188"/>
      <c r="K28" s="188"/>
      <c r="L28" s="188"/>
      <c r="M28" s="188"/>
      <c r="N28" s="188"/>
      <c r="O28" s="188"/>
      <c r="P28" s="188"/>
      <c r="Q28" s="188"/>
      <c r="R28" s="3"/>
      <c r="S28" s="188"/>
      <c r="U28" s="188"/>
      <c r="V28" s="188"/>
      <c r="X28" s="188"/>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8"/>
      <c r="EA28" s="188"/>
    </row>
    <row r="29" spans="1:131" s="35" customFormat="1" ht="15" x14ac:dyDescent="0.25">
      <c r="A29" s="188"/>
      <c r="B29" s="188"/>
      <c r="C29" s="188"/>
      <c r="D29" s="188"/>
      <c r="E29" s="188"/>
      <c r="F29" s="1"/>
      <c r="G29" s="188"/>
      <c r="H29" s="188"/>
      <c r="I29" s="188"/>
      <c r="J29" s="188"/>
      <c r="K29" s="188"/>
      <c r="L29" s="188"/>
      <c r="M29" s="188"/>
      <c r="N29" s="188"/>
      <c r="O29" s="188"/>
      <c r="P29" s="188"/>
      <c r="Q29" s="188"/>
      <c r="R29" s="3"/>
      <c r="S29" s="188"/>
      <c r="U29" s="188"/>
      <c r="V29" s="188"/>
      <c r="X29" s="188"/>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8"/>
      <c r="EA29" s="188"/>
    </row>
    <row r="30" spans="1:131" s="35" customFormat="1" ht="15" x14ac:dyDescent="0.25">
      <c r="A30" s="188"/>
      <c r="B30" s="188"/>
      <c r="C30" s="188"/>
      <c r="D30" s="188"/>
      <c r="E30" s="188"/>
      <c r="F30" s="1"/>
      <c r="G30" s="188"/>
      <c r="H30" s="188"/>
      <c r="I30" s="188"/>
      <c r="J30" s="188"/>
      <c r="K30" s="188"/>
      <c r="L30" s="188"/>
      <c r="M30" s="188"/>
      <c r="N30" s="188"/>
      <c r="O30" s="188"/>
      <c r="P30" s="188"/>
      <c r="Q30" s="188"/>
      <c r="R30" s="3"/>
      <c r="S30" s="188"/>
      <c r="U30" s="188"/>
      <c r="V30" s="188"/>
      <c r="X30" s="188"/>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8"/>
      <c r="EA30" s="188"/>
    </row>
    <row r="31" spans="1:131" s="35" customFormat="1" ht="15" x14ac:dyDescent="0.25">
      <c r="A31" s="188"/>
      <c r="B31" s="188"/>
      <c r="C31" s="188"/>
      <c r="D31" s="188"/>
      <c r="E31" s="188"/>
      <c r="F31" s="1"/>
      <c r="G31" s="188"/>
      <c r="H31" s="188"/>
      <c r="I31" s="188"/>
      <c r="J31" s="188"/>
      <c r="K31" s="188"/>
      <c r="L31" s="188"/>
      <c r="M31" s="188"/>
      <c r="N31" s="188"/>
      <c r="O31" s="188"/>
      <c r="P31" s="188"/>
      <c r="Q31" s="188"/>
      <c r="R31" s="3"/>
      <c r="S31" s="188"/>
      <c r="U31" s="188"/>
      <c r="V31" s="188"/>
      <c r="X31" s="188"/>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8"/>
      <c r="EA31" s="188"/>
    </row>
    <row r="32" spans="1:131"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customHeight="1" x14ac:dyDescent="0.25"/>
    <row r="68" ht="15"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sheetData>
  <sheetProtection algorithmName="SHA-512" hashValue="tby/0vB5Jngcc3hxjxRUCecP9HSteH46jbTmjOdEydKHPG2kB+5ErA41TAFT7lduq9mBBiIki+rVAQFo4h5SDw==" saltValue="GUlWFvcPcsdUhY+bI6gYbw==" spinCount="100000" sheet="1" objects="1" scenarios="1" selectLockedCells="1" selectUnlockedCells="1"/>
  <mergeCells count="12">
    <mergeCell ref="W2:X2"/>
    <mergeCell ref="B3:V3"/>
    <mergeCell ref="W3:X3"/>
    <mergeCell ref="B4:V5"/>
    <mergeCell ref="W4:X4"/>
    <mergeCell ref="W5:X5"/>
    <mergeCell ref="A8:A9"/>
    <mergeCell ref="C8:C9"/>
    <mergeCell ref="M8:M9"/>
    <mergeCell ref="A2:A5"/>
    <mergeCell ref="B2:V2"/>
    <mergeCell ref="B8:B10"/>
  </mergeCells>
  <conditionalFormatting sqref="R24:R1048576 R7:R10 R14">
    <cfRule type="cellIs" dxfId="69" priority="21" operator="between">
      <formula>0.51</formula>
      <formula>0.69</formula>
    </cfRule>
    <cfRule type="cellIs" dxfId="68" priority="22" operator="between">
      <formula>0.51</formula>
      <formula>0.69</formula>
    </cfRule>
    <cfRule type="cellIs" dxfId="67" priority="23" operator="lessThan">
      <formula>0.5</formula>
    </cfRule>
    <cfRule type="cellIs" dxfId="66" priority="24" operator="greaterThan">
      <formula>0.7</formula>
    </cfRule>
    <cfRule type="cellIs" dxfId="65" priority="25" operator="between">
      <formula>0.51</formula>
      <formula>0.69</formula>
    </cfRule>
    <cfRule type="cellIs" dxfId="64" priority="26" operator="lessThan">
      <formula>50</formula>
    </cfRule>
    <cfRule type="cellIs" dxfId="63" priority="27" operator="greaterThan">
      <formula>0.7</formula>
    </cfRule>
    <cfRule type="cellIs" dxfId="62" priority="28" operator="between">
      <formula>0.51</formula>
      <formula>0.69</formula>
    </cfRule>
    <cfRule type="cellIs" dxfId="61" priority="29" operator="lessThan">
      <formula>0.5</formula>
    </cfRule>
    <cfRule type="cellIs" dxfId="60" priority="30" operator="greaterThan">
      <formula>0.7</formula>
    </cfRule>
  </conditionalFormatting>
  <conditionalFormatting sqref="R11:R12">
    <cfRule type="cellIs" dxfId="59" priority="11" operator="between">
      <formula>0.51</formula>
      <formula>0.69</formula>
    </cfRule>
    <cfRule type="cellIs" dxfId="58" priority="12" operator="between">
      <formula>0.51</formula>
      <formula>0.69</formula>
    </cfRule>
    <cfRule type="cellIs" dxfId="57" priority="13" operator="lessThan">
      <formula>0.5</formula>
    </cfRule>
    <cfRule type="cellIs" dxfId="56" priority="14" operator="greaterThan">
      <formula>0.7</formula>
    </cfRule>
    <cfRule type="cellIs" dxfId="55" priority="15" operator="between">
      <formula>0.51</formula>
      <formula>0.69</formula>
    </cfRule>
    <cfRule type="cellIs" dxfId="54" priority="16" operator="lessThan">
      <formula>50</formula>
    </cfRule>
    <cfRule type="cellIs" dxfId="53" priority="17" operator="greaterThan">
      <formula>0.7</formula>
    </cfRule>
    <cfRule type="cellIs" dxfId="52" priority="18" operator="between">
      <formula>0.51</formula>
      <formula>0.69</formula>
    </cfRule>
    <cfRule type="cellIs" dxfId="51" priority="19" operator="lessThan">
      <formula>0.5</formula>
    </cfRule>
    <cfRule type="cellIs" dxfId="50" priority="20" operator="greaterThan">
      <formula>0.7</formula>
    </cfRule>
  </conditionalFormatting>
  <conditionalFormatting sqref="R13">
    <cfRule type="cellIs" dxfId="49" priority="1" operator="between">
      <formula>0.51</formula>
      <formula>0.69</formula>
    </cfRule>
    <cfRule type="cellIs" dxfId="48" priority="2" operator="between">
      <formula>0.51</formula>
      <formula>0.69</formula>
    </cfRule>
    <cfRule type="cellIs" dxfId="47" priority="3" operator="lessThan">
      <formula>0.5</formula>
    </cfRule>
    <cfRule type="cellIs" dxfId="46" priority="4" operator="greaterThan">
      <formula>0.7</formula>
    </cfRule>
    <cfRule type="cellIs" dxfId="45" priority="5" operator="between">
      <formula>0.51</formula>
      <formula>0.69</formula>
    </cfRule>
    <cfRule type="cellIs" dxfId="44" priority="6" operator="lessThan">
      <formula>50</formula>
    </cfRule>
    <cfRule type="cellIs" dxfId="43" priority="7" operator="greaterThan">
      <formula>0.7</formula>
    </cfRule>
    <cfRule type="cellIs" dxfId="42" priority="8" operator="between">
      <formula>0.51</formula>
      <formula>0.69</formula>
    </cfRule>
    <cfRule type="cellIs" dxfId="41" priority="9" operator="lessThan">
      <formula>0.5</formula>
    </cfRule>
    <cfRule type="cellIs" dxfId="40" priority="10" operator="greaterThan">
      <formula>0.7</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482B"/>
  </sheetPr>
  <dimension ref="A1:EB836"/>
  <sheetViews>
    <sheetView showGridLines="0" zoomScale="80" zoomScaleNormal="80" workbookViewId="0">
      <selection activeCell="U12" sqref="U12"/>
    </sheetView>
  </sheetViews>
  <sheetFormatPr baseColWidth="10" defaultColWidth="0" defaultRowHeight="0" customHeight="1" zeroHeight="1" x14ac:dyDescent="0.25"/>
  <cols>
    <col min="1" max="1" width="11.42578125" style="188" customWidth="1"/>
    <col min="2" max="2" width="45.7109375" style="188" customWidth="1"/>
    <col min="3" max="3" width="17.28515625" style="188" customWidth="1"/>
    <col min="4" max="4" width="14.7109375" style="188" customWidth="1"/>
    <col min="5" max="5" width="42.85546875" style="188" customWidth="1"/>
    <col min="6" max="6" width="21.140625" style="1" hidden="1" customWidth="1"/>
    <col min="7" max="7" width="19.85546875" style="188" hidden="1" customWidth="1"/>
    <col min="8" max="8" width="11.42578125" style="188" hidden="1" customWidth="1"/>
    <col min="9" max="9" width="12.7109375" style="188" hidden="1" customWidth="1"/>
    <col min="10" max="10" width="15.140625" style="188" hidden="1" customWidth="1"/>
    <col min="11" max="11" width="15" style="188" hidden="1" customWidth="1"/>
    <col min="12" max="12" width="18.7109375" style="188" bestFit="1" customWidth="1"/>
    <col min="13" max="13" width="17.7109375" style="188" bestFit="1" customWidth="1"/>
    <col min="14" max="14" width="15.7109375" style="188" customWidth="1"/>
    <col min="15" max="15" width="11.42578125" style="188" customWidth="1"/>
    <col min="16" max="16" width="15.42578125" style="188" bestFit="1" customWidth="1"/>
    <col min="17" max="17" width="17.85546875" style="188" bestFit="1" customWidth="1"/>
    <col min="18" max="18" width="11.5703125" style="3" bestFit="1" customWidth="1"/>
    <col min="19" max="19" width="11.42578125" style="188" customWidth="1"/>
    <col min="20" max="20" width="16.7109375" style="35" bestFit="1" customWidth="1"/>
    <col min="21" max="21" width="18.28515625" style="188" bestFit="1" customWidth="1"/>
    <col min="22" max="22" width="11.42578125" style="188" customWidth="1"/>
    <col min="23" max="23" width="14.5703125" style="35" customWidth="1"/>
    <col min="24" max="24" width="19" style="188" bestFit="1" customWidth="1"/>
    <col min="25" max="129" width="11.5703125" style="189" hidden="1" customWidth="1"/>
    <col min="130" max="132" width="11.5703125" style="188" hidden="1" customWidth="1"/>
    <col min="133" max="16384" width="11.42578125" style="188" hidden="1"/>
  </cols>
  <sheetData>
    <row r="1" spans="1:129" ht="15" x14ac:dyDescent="0.25">
      <c r="A1" s="24"/>
      <c r="B1" s="25"/>
      <c r="C1" s="25"/>
      <c r="D1" s="26"/>
      <c r="E1" s="26"/>
      <c r="F1" s="27"/>
      <c r="G1" s="28"/>
      <c r="H1" s="28"/>
      <c r="I1" s="28"/>
      <c r="J1" s="28"/>
      <c r="K1" s="29"/>
      <c r="L1" s="24"/>
      <c r="M1" s="24"/>
      <c r="N1" s="24"/>
      <c r="O1" s="24"/>
      <c r="P1" s="24"/>
      <c r="Q1" s="24"/>
      <c r="R1" s="24"/>
      <c r="S1" s="24"/>
      <c r="T1" s="36"/>
      <c r="U1" s="24"/>
      <c r="V1" s="24"/>
      <c r="W1" s="36"/>
    </row>
    <row r="2" spans="1:129" ht="15" x14ac:dyDescent="0.25">
      <c r="A2" s="708"/>
      <c r="B2" s="709"/>
      <c r="C2" s="709"/>
      <c r="D2" s="709"/>
      <c r="E2" s="709"/>
      <c r="F2" s="709"/>
      <c r="G2" s="709"/>
      <c r="H2" s="709"/>
      <c r="I2" s="709"/>
      <c r="J2" s="709"/>
      <c r="K2" s="709"/>
      <c r="L2" s="709"/>
      <c r="M2" s="709"/>
      <c r="N2" s="709"/>
      <c r="O2" s="709"/>
      <c r="P2" s="709"/>
      <c r="Q2" s="709"/>
      <c r="R2" s="709"/>
      <c r="S2" s="709"/>
      <c r="T2" s="709"/>
      <c r="U2" s="709"/>
      <c r="V2" s="709"/>
      <c r="W2" s="730" t="s">
        <v>86</v>
      </c>
      <c r="X2" s="730"/>
    </row>
    <row r="3" spans="1:129" ht="15" customHeight="1" x14ac:dyDescent="0.25">
      <c r="A3" s="708"/>
      <c r="B3" s="731"/>
      <c r="C3" s="731"/>
      <c r="D3" s="731"/>
      <c r="E3" s="731"/>
      <c r="F3" s="731"/>
      <c r="G3" s="731"/>
      <c r="H3" s="731"/>
      <c r="I3" s="731"/>
      <c r="J3" s="731"/>
      <c r="K3" s="731"/>
      <c r="L3" s="731"/>
      <c r="M3" s="731"/>
      <c r="N3" s="731"/>
      <c r="O3" s="731"/>
      <c r="P3" s="731"/>
      <c r="Q3" s="731"/>
      <c r="R3" s="731"/>
      <c r="S3" s="731"/>
      <c r="T3" s="731"/>
      <c r="U3" s="731"/>
      <c r="V3" s="731"/>
      <c r="W3" s="730" t="s">
        <v>88</v>
      </c>
      <c r="X3" s="730"/>
    </row>
    <row r="4" spans="1:129" ht="15" customHeight="1" x14ac:dyDescent="0.25">
      <c r="A4" s="708"/>
      <c r="B4" s="731"/>
      <c r="C4" s="731"/>
      <c r="D4" s="731"/>
      <c r="E4" s="731"/>
      <c r="F4" s="731"/>
      <c r="G4" s="731"/>
      <c r="H4" s="731"/>
      <c r="I4" s="731"/>
      <c r="J4" s="731"/>
      <c r="K4" s="731"/>
      <c r="L4" s="731"/>
      <c r="M4" s="731"/>
      <c r="N4" s="731"/>
      <c r="O4" s="731"/>
      <c r="P4" s="731"/>
      <c r="Q4" s="731"/>
      <c r="R4" s="731"/>
      <c r="S4" s="731"/>
      <c r="T4" s="731"/>
      <c r="U4" s="731"/>
      <c r="V4" s="731"/>
      <c r="W4" s="730" t="s">
        <v>90</v>
      </c>
      <c r="X4" s="730"/>
    </row>
    <row r="5" spans="1:129" ht="15" x14ac:dyDescent="0.25">
      <c r="A5" s="708"/>
      <c r="B5" s="731"/>
      <c r="C5" s="731"/>
      <c r="D5" s="731"/>
      <c r="E5" s="731"/>
      <c r="F5" s="731"/>
      <c r="G5" s="731"/>
      <c r="H5" s="731"/>
      <c r="I5" s="731"/>
      <c r="J5" s="731"/>
      <c r="K5" s="731"/>
      <c r="L5" s="731"/>
      <c r="M5" s="731"/>
      <c r="N5" s="731"/>
      <c r="O5" s="731"/>
      <c r="P5" s="731"/>
      <c r="Q5" s="731"/>
      <c r="R5" s="731"/>
      <c r="S5" s="731"/>
      <c r="T5" s="731"/>
      <c r="U5" s="731"/>
      <c r="V5" s="731"/>
      <c r="W5" s="730" t="s">
        <v>91</v>
      </c>
      <c r="X5" s="730"/>
    </row>
    <row r="6" spans="1:129" ht="15" x14ac:dyDescent="0.25">
      <c r="A6" s="24"/>
      <c r="B6" s="24"/>
      <c r="C6" s="24"/>
      <c r="D6" s="24"/>
      <c r="E6" s="24"/>
      <c r="F6" s="24"/>
      <c r="G6" s="24"/>
      <c r="H6" s="24"/>
      <c r="I6" s="24"/>
      <c r="J6" s="24"/>
      <c r="K6" s="24"/>
      <c r="L6" s="24"/>
      <c r="M6" s="24"/>
      <c r="N6" s="24"/>
      <c r="O6" s="24"/>
      <c r="P6" s="24"/>
      <c r="Q6" s="24"/>
      <c r="R6" s="24"/>
      <c r="S6" s="24"/>
      <c r="T6" s="36"/>
      <c r="U6" s="24"/>
      <c r="V6" s="24"/>
      <c r="W6" s="36"/>
    </row>
    <row r="7" spans="1:129" s="34" customFormat="1" ht="63.75" x14ac:dyDescent="0.25">
      <c r="A7" s="41" t="s">
        <v>0</v>
      </c>
      <c r="B7" s="41" t="s">
        <v>1</v>
      </c>
      <c r="C7" s="41" t="s">
        <v>2</v>
      </c>
      <c r="D7" s="41" t="s">
        <v>103</v>
      </c>
      <c r="E7" s="41" t="s">
        <v>30</v>
      </c>
      <c r="F7" s="41" t="s">
        <v>96</v>
      </c>
      <c r="G7" s="41" t="s">
        <v>1134</v>
      </c>
      <c r="H7" s="41"/>
      <c r="I7" s="41"/>
      <c r="J7" s="41" t="s">
        <v>98</v>
      </c>
      <c r="K7" s="41" t="s">
        <v>99</v>
      </c>
      <c r="L7" s="41" t="s">
        <v>3</v>
      </c>
      <c r="M7" s="41" t="s">
        <v>4</v>
      </c>
      <c r="N7" s="41" t="s">
        <v>28</v>
      </c>
      <c r="O7" s="41" t="s">
        <v>21</v>
      </c>
      <c r="P7" s="41" t="s">
        <v>65</v>
      </c>
      <c r="Q7" s="41" t="s">
        <v>31</v>
      </c>
      <c r="R7" s="32" t="s">
        <v>62</v>
      </c>
      <c r="S7" s="41" t="s">
        <v>22</v>
      </c>
      <c r="T7" s="37" t="s">
        <v>23</v>
      </c>
      <c r="U7" s="41" t="s">
        <v>24</v>
      </c>
      <c r="V7" s="41" t="s">
        <v>25</v>
      </c>
      <c r="W7" s="37" t="s">
        <v>26</v>
      </c>
      <c r="X7" s="41" t="s">
        <v>27</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row>
    <row r="8" spans="1:129" s="50" customFormat="1" ht="90" customHeight="1" x14ac:dyDescent="0.25">
      <c r="A8" s="692" t="s">
        <v>1127</v>
      </c>
      <c r="B8" s="705" t="s">
        <v>1126</v>
      </c>
      <c r="C8" s="689" t="s">
        <v>1132</v>
      </c>
      <c r="D8" s="129" t="s">
        <v>1210</v>
      </c>
      <c r="E8" s="8" t="s">
        <v>1204</v>
      </c>
      <c r="F8" s="66"/>
      <c r="G8" s="289">
        <v>1620000</v>
      </c>
      <c r="H8" s="200"/>
      <c r="I8" s="200"/>
      <c r="J8" s="200"/>
      <c r="K8" s="200"/>
      <c r="L8" s="65">
        <f>+F8+G8+H8+J8-K8</f>
        <v>1620000</v>
      </c>
      <c r="M8" s="742">
        <v>130974760</v>
      </c>
      <c r="N8" s="78" t="s">
        <v>2616</v>
      </c>
      <c r="O8" s="457" t="s">
        <v>2617</v>
      </c>
      <c r="P8" s="78" t="s">
        <v>2618</v>
      </c>
      <c r="Q8" s="274">
        <v>1450000</v>
      </c>
      <c r="R8" s="46"/>
      <c r="S8" s="568">
        <v>48</v>
      </c>
      <c r="T8" s="122" t="s">
        <v>2801</v>
      </c>
      <c r="U8" s="66">
        <v>1450000</v>
      </c>
      <c r="V8" s="38">
        <v>272</v>
      </c>
      <c r="W8" s="122" t="s">
        <v>2786</v>
      </c>
      <c r="X8" s="274">
        <v>1450000</v>
      </c>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row>
    <row r="9" spans="1:129" s="50" customFormat="1" ht="78" customHeight="1" x14ac:dyDescent="0.25">
      <c r="A9" s="694"/>
      <c r="B9" s="706"/>
      <c r="C9" s="691"/>
      <c r="D9" s="202" t="s">
        <v>1212</v>
      </c>
      <c r="E9" s="192" t="s">
        <v>1205</v>
      </c>
      <c r="F9" s="198"/>
      <c r="G9" s="292">
        <v>129354760</v>
      </c>
      <c r="H9" s="197"/>
      <c r="I9" s="85"/>
      <c r="J9" s="197"/>
      <c r="K9" s="197"/>
      <c r="L9" s="65">
        <f>+F9+G9+H9+J9-K9</f>
        <v>129354760</v>
      </c>
      <c r="M9" s="744"/>
      <c r="N9" s="78" t="s">
        <v>1640</v>
      </c>
      <c r="O9" s="457" t="s">
        <v>1646</v>
      </c>
      <c r="P9" s="78" t="s">
        <v>1643</v>
      </c>
      <c r="Q9" s="274">
        <v>43033760</v>
      </c>
      <c r="R9" s="46"/>
      <c r="S9" s="568">
        <v>30</v>
      </c>
      <c r="T9" s="122">
        <v>44761</v>
      </c>
      <c r="U9" s="274">
        <v>43033760</v>
      </c>
      <c r="V9" s="38">
        <v>188</v>
      </c>
      <c r="W9" s="122">
        <v>44774</v>
      </c>
      <c r="X9" s="274">
        <v>43033760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row>
    <row r="10" spans="1:129" s="50" customFormat="1" ht="15" x14ac:dyDescent="0.25">
      <c r="A10" s="303"/>
      <c r="B10" s="706"/>
      <c r="C10" s="306"/>
      <c r="D10" s="307"/>
      <c r="E10" s="314"/>
      <c r="F10" s="317"/>
      <c r="G10" s="313"/>
      <c r="H10" s="303"/>
      <c r="I10" s="85"/>
      <c r="J10" s="303"/>
      <c r="K10" s="303"/>
      <c r="L10" s="304"/>
      <c r="M10" s="305"/>
      <c r="N10" s="78" t="s">
        <v>1641</v>
      </c>
      <c r="O10" s="457" t="s">
        <v>1647</v>
      </c>
      <c r="P10" s="78" t="s">
        <v>1644</v>
      </c>
      <c r="Q10" s="274">
        <v>8152254</v>
      </c>
      <c r="R10" s="46"/>
      <c r="S10" s="568">
        <v>31</v>
      </c>
      <c r="T10" s="273">
        <v>44761</v>
      </c>
      <c r="U10" s="274">
        <v>8152254</v>
      </c>
      <c r="V10" s="329">
        <v>203</v>
      </c>
      <c r="W10" s="273" t="s">
        <v>2862</v>
      </c>
      <c r="X10" s="274">
        <v>8152254</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row>
    <row r="11" spans="1:129" s="50" customFormat="1" ht="15" x14ac:dyDescent="0.25">
      <c r="A11" s="303"/>
      <c r="B11" s="707"/>
      <c r="C11" s="306"/>
      <c r="D11" s="307"/>
      <c r="E11" s="314"/>
      <c r="F11" s="317"/>
      <c r="G11" s="313"/>
      <c r="H11" s="303"/>
      <c r="I11" s="85"/>
      <c r="J11" s="303"/>
      <c r="K11" s="303"/>
      <c r="L11" s="304"/>
      <c r="M11" s="305"/>
      <c r="N11" s="78" t="s">
        <v>1642</v>
      </c>
      <c r="O11" s="457" t="s">
        <v>1648</v>
      </c>
      <c r="P11" s="78" t="s">
        <v>1645</v>
      </c>
      <c r="Q11" s="274">
        <v>53983800</v>
      </c>
      <c r="R11" s="46"/>
      <c r="S11" s="568">
        <v>32</v>
      </c>
      <c r="T11" s="273">
        <v>44761</v>
      </c>
      <c r="U11" s="274">
        <v>53983800</v>
      </c>
      <c r="V11" s="329">
        <v>190</v>
      </c>
      <c r="W11" s="273" t="s">
        <v>2859</v>
      </c>
      <c r="X11" s="274">
        <v>53983800</v>
      </c>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row>
    <row r="12" spans="1:129" s="107" customFormat="1" ht="15" x14ac:dyDescent="0.25">
      <c r="A12" s="92"/>
      <c r="B12" s="92"/>
      <c r="C12" s="92"/>
      <c r="D12" s="92"/>
      <c r="E12" s="104"/>
      <c r="F12" s="101"/>
      <c r="G12" s="101"/>
      <c r="H12" s="92"/>
      <c r="I12" s="93"/>
      <c r="J12" s="92"/>
      <c r="K12" s="92"/>
      <c r="L12" s="102">
        <f>SUM(L8:L9)</f>
        <v>130974760</v>
      </c>
      <c r="M12" s="101"/>
      <c r="N12" s="105"/>
      <c r="O12" s="86"/>
      <c r="P12" s="95"/>
      <c r="Q12" s="103">
        <f>SUM(Q8:Q11)</f>
        <v>106619814</v>
      </c>
      <c r="R12" s="89"/>
      <c r="S12" s="86"/>
      <c r="T12" s="95"/>
      <c r="U12" s="103">
        <f>SUM(U8:U11)</f>
        <v>106619814</v>
      </c>
      <c r="V12" s="86"/>
      <c r="W12" s="95"/>
      <c r="X12" s="103">
        <f>SUM(X8:X11)</f>
        <v>106619814</v>
      </c>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row>
    <row r="13" spans="1:129" s="112" customFormat="1" ht="90" customHeight="1" x14ac:dyDescent="0.25">
      <c r="A13" s="183" t="s">
        <v>1129</v>
      </c>
      <c r="B13" s="525" t="s">
        <v>1128</v>
      </c>
      <c r="C13" s="38" t="s">
        <v>1132</v>
      </c>
      <c r="D13" s="183" t="s">
        <v>1211</v>
      </c>
      <c r="E13" s="192" t="s">
        <v>1206</v>
      </c>
      <c r="F13" s="181"/>
      <c r="G13" s="292">
        <v>4456599</v>
      </c>
      <c r="H13" s="200"/>
      <c r="I13" s="200"/>
      <c r="J13" s="200"/>
      <c r="K13" s="200"/>
      <c r="L13" s="65">
        <f>+F13+G13+H13+J13-K13</f>
        <v>4456599</v>
      </c>
      <c r="M13" s="296">
        <v>4456599</v>
      </c>
      <c r="N13" s="261" t="s">
        <v>2756</v>
      </c>
      <c r="O13" s="461" t="s">
        <v>2757</v>
      </c>
      <c r="P13" s="464" t="s">
        <v>2758</v>
      </c>
      <c r="Q13" s="560">
        <v>4015000</v>
      </c>
      <c r="R13" s="46"/>
      <c r="S13" s="554">
        <v>48</v>
      </c>
      <c r="T13" s="265" t="s">
        <v>2801</v>
      </c>
      <c r="U13" s="560">
        <v>4015000</v>
      </c>
      <c r="V13" s="554">
        <v>272</v>
      </c>
      <c r="W13" s="265" t="s">
        <v>2786</v>
      </c>
      <c r="X13" s="560">
        <v>4015000</v>
      </c>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row>
    <row r="14" spans="1:129" s="107" customFormat="1" ht="15.75" thickBot="1" x14ac:dyDescent="0.3">
      <c r="A14" s="92"/>
      <c r="B14" s="92"/>
      <c r="C14" s="92"/>
      <c r="D14" s="92"/>
      <c r="E14" s="104"/>
      <c r="F14" s="101"/>
      <c r="G14" s="101"/>
      <c r="H14" s="92"/>
      <c r="I14" s="93"/>
      <c r="J14" s="92"/>
      <c r="K14" s="92"/>
      <c r="L14" s="102">
        <f>+L13</f>
        <v>4456599</v>
      </c>
      <c r="M14" s="101"/>
      <c r="N14" s="105"/>
      <c r="O14" s="86"/>
      <c r="P14" s="95"/>
      <c r="Q14" s="103">
        <f>+Q13</f>
        <v>4015000</v>
      </c>
      <c r="R14" s="89"/>
      <c r="S14" s="86"/>
      <c r="T14" s="95"/>
      <c r="U14" s="103">
        <f>+U13</f>
        <v>4015000</v>
      </c>
      <c r="V14" s="86"/>
      <c r="W14" s="95"/>
      <c r="X14" s="103">
        <f>+X13</f>
        <v>4015000</v>
      </c>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row>
    <row r="15" spans="1:129" s="63" customFormat="1" ht="17.25" thickBot="1" x14ac:dyDescent="0.35">
      <c r="A15" s="51"/>
      <c r="B15" s="51"/>
      <c r="C15" s="42"/>
      <c r="D15" s="42"/>
      <c r="E15" s="42"/>
      <c r="F15" s="52"/>
      <c r="G15" s="42"/>
      <c r="H15" s="220"/>
      <c r="I15" s="217"/>
      <c r="J15" s="53" t="s">
        <v>29</v>
      </c>
      <c r="K15" s="54"/>
      <c r="L15" s="55">
        <f>+L12+L14</f>
        <v>135431359</v>
      </c>
      <c r="M15" s="190"/>
      <c r="N15" s="190"/>
      <c r="O15" s="190"/>
      <c r="P15" s="190"/>
      <c r="Q15" s="130">
        <f>+Q12+Q14</f>
        <v>110634814</v>
      </c>
      <c r="R15" s="57">
        <f>(Q15*1)/L15</f>
        <v>0.81690691740012744</v>
      </c>
      <c r="S15" s="58"/>
      <c r="T15" s="59"/>
      <c r="U15" s="60">
        <f>+U12+U14</f>
        <v>110634814</v>
      </c>
      <c r="V15" s="58"/>
      <c r="W15" s="59"/>
      <c r="X15" s="61">
        <f>+X12+X14</f>
        <v>110634814</v>
      </c>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row>
    <row r="16" spans="1:129" ht="15" x14ac:dyDescent="0.25">
      <c r="R16" s="4"/>
    </row>
    <row r="17" spans="1:131" s="35" customFormat="1" ht="15" x14ac:dyDescent="0.25">
      <c r="A17" s="188"/>
      <c r="B17" s="188"/>
      <c r="C17" s="188"/>
      <c r="D17" s="188"/>
      <c r="E17" s="188"/>
      <c r="F17" s="1"/>
      <c r="G17" s="188"/>
      <c r="H17" s="188"/>
      <c r="I17" s="188"/>
      <c r="J17" s="188"/>
      <c r="K17" s="188"/>
      <c r="L17" s="188"/>
      <c r="M17" s="188"/>
      <c r="N17" s="188"/>
      <c r="O17" s="188"/>
      <c r="P17" s="188"/>
      <c r="Q17" s="189"/>
      <c r="R17" s="6"/>
      <c r="S17" s="189"/>
      <c r="U17" s="188"/>
      <c r="V17" s="188"/>
      <c r="X17" s="188"/>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89"/>
      <c r="DL17" s="189"/>
      <c r="DM17" s="189"/>
      <c r="DN17" s="189"/>
      <c r="DO17" s="189"/>
      <c r="DP17" s="189"/>
      <c r="DQ17" s="189"/>
      <c r="DR17" s="189"/>
      <c r="DS17" s="189"/>
      <c r="DT17" s="189"/>
      <c r="DU17" s="189"/>
      <c r="DV17" s="189"/>
      <c r="DW17" s="189"/>
      <c r="DX17" s="189"/>
      <c r="DY17" s="189"/>
      <c r="DZ17" s="188"/>
      <c r="EA17" s="188"/>
    </row>
    <row r="18" spans="1:131" s="35" customFormat="1" ht="15" x14ac:dyDescent="0.25">
      <c r="A18" s="188"/>
      <c r="B18" s="188"/>
      <c r="C18" s="188"/>
      <c r="D18" s="188"/>
      <c r="E18" s="188"/>
      <c r="F18" s="1"/>
      <c r="G18" s="188"/>
      <c r="H18" s="188"/>
      <c r="I18" s="188"/>
      <c r="J18" s="188"/>
      <c r="K18" s="188"/>
      <c r="L18" s="188"/>
      <c r="M18" s="188"/>
      <c r="N18" s="188"/>
      <c r="O18" s="188"/>
      <c r="P18" s="188"/>
      <c r="Q18" s="189"/>
      <c r="R18" s="6"/>
      <c r="S18" s="189"/>
      <c r="U18" s="188"/>
      <c r="V18" s="188"/>
      <c r="X18" s="188"/>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8"/>
      <c r="EA18" s="188"/>
    </row>
    <row r="19" spans="1:131" s="35" customFormat="1" ht="15" x14ac:dyDescent="0.25">
      <c r="A19" s="188"/>
      <c r="B19" s="188"/>
      <c r="C19" s="188"/>
      <c r="D19" s="188"/>
      <c r="E19" s="188"/>
      <c r="F19" s="1"/>
      <c r="G19" s="188"/>
      <c r="H19" s="188"/>
      <c r="I19" s="188"/>
      <c r="J19" s="188"/>
      <c r="K19" s="188"/>
      <c r="L19" s="188"/>
      <c r="M19" s="188"/>
      <c r="N19" s="188"/>
      <c r="O19" s="188"/>
      <c r="P19" s="188"/>
      <c r="Q19" s="189"/>
      <c r="R19" s="6"/>
      <c r="S19" s="189"/>
      <c r="U19" s="188"/>
      <c r="V19" s="188"/>
      <c r="X19" s="188"/>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8"/>
      <c r="EA19" s="188"/>
    </row>
    <row r="20" spans="1:131" s="35" customFormat="1" ht="15" x14ac:dyDescent="0.25">
      <c r="A20" s="188"/>
      <c r="B20" s="188"/>
      <c r="C20" s="188"/>
      <c r="D20" s="188"/>
      <c r="E20" s="188"/>
      <c r="F20" s="1"/>
      <c r="G20" s="188"/>
      <c r="H20" s="188"/>
      <c r="I20" s="188"/>
      <c r="J20" s="188"/>
      <c r="K20" s="188"/>
      <c r="L20" s="188"/>
      <c r="M20" s="188"/>
      <c r="N20" s="188"/>
      <c r="O20" s="188"/>
      <c r="P20" s="188"/>
      <c r="Q20" s="189"/>
      <c r="R20" s="6"/>
      <c r="S20" s="189"/>
      <c r="U20" s="188"/>
      <c r="V20" s="188"/>
      <c r="X20" s="188"/>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8"/>
      <c r="EA20" s="188"/>
    </row>
    <row r="21" spans="1:131" s="35" customFormat="1" ht="15" x14ac:dyDescent="0.25">
      <c r="A21" s="188"/>
      <c r="B21" s="188"/>
      <c r="C21" s="188"/>
      <c r="D21" s="188"/>
      <c r="E21" s="188"/>
      <c r="F21" s="1"/>
      <c r="G21" s="188"/>
      <c r="H21" s="188"/>
      <c r="I21" s="188"/>
      <c r="J21" s="188"/>
      <c r="K21" s="188"/>
      <c r="L21" s="188"/>
      <c r="M21" s="188"/>
      <c r="N21" s="188"/>
      <c r="O21" s="188"/>
      <c r="P21" s="188"/>
      <c r="Q21" s="189"/>
      <c r="R21" s="6"/>
      <c r="S21" s="189"/>
      <c r="U21" s="188"/>
      <c r="V21" s="188"/>
      <c r="X21" s="188"/>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8"/>
      <c r="EA21" s="188"/>
    </row>
    <row r="22" spans="1:131" s="35" customFormat="1" ht="15" x14ac:dyDescent="0.25">
      <c r="A22" s="188"/>
      <c r="B22" s="188"/>
      <c r="C22" s="188"/>
      <c r="D22" s="188"/>
      <c r="E22" s="188"/>
      <c r="F22" s="1"/>
      <c r="G22" s="188"/>
      <c r="H22" s="188"/>
      <c r="I22" s="188"/>
      <c r="J22" s="188"/>
      <c r="K22" s="188"/>
      <c r="L22" s="188"/>
      <c r="M22" s="188"/>
      <c r="N22" s="188"/>
      <c r="O22" s="188"/>
      <c r="P22" s="188"/>
      <c r="Q22" s="189"/>
      <c r="R22" s="6"/>
      <c r="S22" s="189"/>
      <c r="U22" s="188"/>
      <c r="V22" s="188"/>
      <c r="X22" s="188"/>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89"/>
      <c r="DE22" s="189"/>
      <c r="DF22" s="189"/>
      <c r="DG22" s="189"/>
      <c r="DH22" s="189"/>
      <c r="DI22" s="189"/>
      <c r="DJ22" s="189"/>
      <c r="DK22" s="189"/>
      <c r="DL22" s="189"/>
      <c r="DM22" s="189"/>
      <c r="DN22" s="189"/>
      <c r="DO22" s="189"/>
      <c r="DP22" s="189"/>
      <c r="DQ22" s="189"/>
      <c r="DR22" s="189"/>
      <c r="DS22" s="189"/>
      <c r="DT22" s="189"/>
      <c r="DU22" s="189"/>
      <c r="DV22" s="189"/>
      <c r="DW22" s="189"/>
      <c r="DX22" s="189"/>
      <c r="DY22" s="189"/>
      <c r="DZ22" s="188"/>
      <c r="EA22" s="188"/>
    </row>
    <row r="23" spans="1:131" s="35" customFormat="1" ht="15" x14ac:dyDescent="0.25">
      <c r="A23" s="188"/>
      <c r="B23" s="188"/>
      <c r="C23" s="188"/>
      <c r="D23" s="188"/>
      <c r="E23" s="188"/>
      <c r="F23" s="1"/>
      <c r="G23" s="188"/>
      <c r="H23" s="188"/>
      <c r="I23" s="188"/>
      <c r="J23" s="188"/>
      <c r="K23" s="188"/>
      <c r="L23" s="188"/>
      <c r="M23" s="188"/>
      <c r="N23" s="188"/>
      <c r="O23" s="188"/>
      <c r="P23" s="188"/>
      <c r="Q23" s="189"/>
      <c r="R23" s="6"/>
      <c r="S23" s="189"/>
      <c r="U23" s="188"/>
      <c r="V23" s="188"/>
      <c r="X23" s="188"/>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89"/>
      <c r="DI23" s="189"/>
      <c r="DJ23" s="189"/>
      <c r="DK23" s="189"/>
      <c r="DL23" s="189"/>
      <c r="DM23" s="189"/>
      <c r="DN23" s="189"/>
      <c r="DO23" s="189"/>
      <c r="DP23" s="189"/>
      <c r="DQ23" s="189"/>
      <c r="DR23" s="189"/>
      <c r="DS23" s="189"/>
      <c r="DT23" s="189"/>
      <c r="DU23" s="189"/>
      <c r="DV23" s="189"/>
      <c r="DW23" s="189"/>
      <c r="DX23" s="189"/>
      <c r="DY23" s="189"/>
      <c r="DZ23" s="188"/>
      <c r="EA23" s="188"/>
    </row>
    <row r="24" spans="1:131" s="35" customFormat="1" ht="15" x14ac:dyDescent="0.25">
      <c r="A24" s="188"/>
      <c r="B24" s="188"/>
      <c r="C24" s="188"/>
      <c r="D24" s="188"/>
      <c r="E24" s="188"/>
      <c r="F24" s="1"/>
      <c r="G24" s="188"/>
      <c r="H24" s="188"/>
      <c r="I24" s="188"/>
      <c r="J24" s="188"/>
      <c r="K24" s="188"/>
      <c r="L24" s="188"/>
      <c r="M24" s="188"/>
      <c r="N24" s="188"/>
      <c r="O24" s="188"/>
      <c r="P24" s="188"/>
      <c r="Q24" s="189"/>
      <c r="R24" s="6"/>
      <c r="S24" s="189"/>
      <c r="U24" s="188"/>
      <c r="V24" s="188"/>
      <c r="X24" s="188"/>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189"/>
      <c r="DF24" s="189"/>
      <c r="DG24" s="189"/>
      <c r="DH24" s="189"/>
      <c r="DI24" s="189"/>
      <c r="DJ24" s="189"/>
      <c r="DK24" s="189"/>
      <c r="DL24" s="189"/>
      <c r="DM24" s="189"/>
      <c r="DN24" s="189"/>
      <c r="DO24" s="189"/>
      <c r="DP24" s="189"/>
      <c r="DQ24" s="189"/>
      <c r="DR24" s="189"/>
      <c r="DS24" s="189"/>
      <c r="DT24" s="189"/>
      <c r="DU24" s="189"/>
      <c r="DV24" s="189"/>
      <c r="DW24" s="189"/>
      <c r="DX24" s="189"/>
      <c r="DY24" s="189"/>
      <c r="DZ24" s="188"/>
      <c r="EA24" s="188"/>
    </row>
    <row r="25" spans="1:131" s="35" customFormat="1" ht="15" x14ac:dyDescent="0.25">
      <c r="A25" s="188"/>
      <c r="B25" s="188"/>
      <c r="C25" s="188"/>
      <c r="D25" s="188"/>
      <c r="E25" s="188"/>
      <c r="F25" s="1"/>
      <c r="G25" s="188"/>
      <c r="H25" s="188"/>
      <c r="I25" s="188"/>
      <c r="J25" s="188"/>
      <c r="K25" s="188"/>
      <c r="L25" s="188"/>
      <c r="M25" s="188"/>
      <c r="N25" s="188"/>
      <c r="O25" s="188"/>
      <c r="P25" s="188"/>
      <c r="Q25" s="189"/>
      <c r="R25" s="7"/>
      <c r="S25" s="189"/>
      <c r="U25" s="188"/>
      <c r="V25" s="188"/>
      <c r="X25" s="188"/>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89"/>
      <c r="DZ25" s="188"/>
      <c r="EA25" s="188"/>
    </row>
    <row r="26" spans="1:131" s="35" customFormat="1" ht="15" x14ac:dyDescent="0.25">
      <c r="A26" s="188"/>
      <c r="B26" s="188"/>
      <c r="C26" s="188"/>
      <c r="D26" s="188"/>
      <c r="E26" s="188"/>
      <c r="F26" s="1"/>
      <c r="G26" s="188"/>
      <c r="H26" s="188"/>
      <c r="I26" s="188"/>
      <c r="J26" s="188"/>
      <c r="K26" s="188"/>
      <c r="L26" s="188"/>
      <c r="M26" s="188"/>
      <c r="N26" s="188"/>
      <c r="O26" s="188"/>
      <c r="P26" s="188"/>
      <c r="Q26" s="188"/>
      <c r="R26" s="3"/>
      <c r="S26" s="188"/>
      <c r="U26" s="188"/>
      <c r="V26" s="188"/>
      <c r="X26" s="188"/>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8"/>
      <c r="EA26" s="188"/>
    </row>
    <row r="27" spans="1:131" s="35" customFormat="1" ht="15" x14ac:dyDescent="0.25">
      <c r="A27" s="188"/>
      <c r="B27" s="188"/>
      <c r="C27" s="188"/>
      <c r="D27" s="188"/>
      <c r="E27" s="188"/>
      <c r="F27" s="1"/>
      <c r="G27" s="188"/>
      <c r="H27" s="188"/>
      <c r="I27" s="188"/>
      <c r="J27" s="188"/>
      <c r="K27" s="188"/>
      <c r="L27" s="188"/>
      <c r="M27" s="188"/>
      <c r="N27" s="188"/>
      <c r="O27" s="188"/>
      <c r="P27" s="188"/>
      <c r="Q27" s="188"/>
      <c r="R27" s="3"/>
      <c r="S27" s="188"/>
      <c r="U27" s="188"/>
      <c r="V27" s="188"/>
      <c r="X27" s="188"/>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8"/>
      <c r="EA27" s="188"/>
    </row>
    <row r="28" spans="1:131" s="35" customFormat="1" ht="15" x14ac:dyDescent="0.25">
      <c r="A28" s="188"/>
      <c r="B28" s="188"/>
      <c r="C28" s="188"/>
      <c r="D28" s="188"/>
      <c r="E28" s="188"/>
      <c r="F28" s="1"/>
      <c r="G28" s="188"/>
      <c r="H28" s="188"/>
      <c r="I28" s="188"/>
      <c r="J28" s="188"/>
      <c r="K28" s="188"/>
      <c r="L28" s="188"/>
      <c r="M28" s="188"/>
      <c r="N28" s="188"/>
      <c r="O28" s="188"/>
      <c r="P28" s="188"/>
      <c r="Q28" s="188"/>
      <c r="R28" s="3"/>
      <c r="S28" s="188"/>
      <c r="U28" s="188"/>
      <c r="V28" s="188"/>
      <c r="X28" s="188"/>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8"/>
      <c r="EA28" s="188"/>
    </row>
    <row r="29" spans="1:131" s="35" customFormat="1" ht="15" x14ac:dyDescent="0.25">
      <c r="A29" s="188"/>
      <c r="B29" s="188"/>
      <c r="C29" s="188"/>
      <c r="D29" s="188"/>
      <c r="E29" s="188"/>
      <c r="F29" s="1"/>
      <c r="G29" s="188"/>
      <c r="H29" s="188"/>
      <c r="I29" s="188"/>
      <c r="J29" s="188"/>
      <c r="K29" s="188"/>
      <c r="L29" s="188"/>
      <c r="M29" s="188"/>
      <c r="N29" s="188"/>
      <c r="O29" s="188"/>
      <c r="P29" s="188"/>
      <c r="Q29" s="188"/>
      <c r="R29" s="3"/>
      <c r="S29" s="188"/>
      <c r="U29" s="188"/>
      <c r="V29" s="188"/>
      <c r="X29" s="188"/>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8"/>
      <c r="EA29" s="188"/>
    </row>
    <row r="30" spans="1:131" s="35" customFormat="1" ht="15" x14ac:dyDescent="0.25">
      <c r="A30" s="188"/>
      <c r="B30" s="188"/>
      <c r="C30" s="188"/>
      <c r="D30" s="188"/>
      <c r="E30" s="188"/>
      <c r="F30" s="1"/>
      <c r="G30" s="188"/>
      <c r="H30" s="188"/>
      <c r="I30" s="188"/>
      <c r="J30" s="188"/>
      <c r="K30" s="188"/>
      <c r="L30" s="188"/>
      <c r="M30" s="188"/>
      <c r="N30" s="188"/>
      <c r="O30" s="188"/>
      <c r="P30" s="188"/>
      <c r="Q30" s="188"/>
      <c r="R30" s="3"/>
      <c r="S30" s="188"/>
      <c r="U30" s="188"/>
      <c r="V30" s="188"/>
      <c r="X30" s="188"/>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8"/>
      <c r="EA30" s="188"/>
    </row>
    <row r="31" spans="1:131" s="35" customFormat="1" ht="15" x14ac:dyDescent="0.25">
      <c r="A31" s="188"/>
      <c r="B31" s="188"/>
      <c r="C31" s="188"/>
      <c r="D31" s="188"/>
      <c r="E31" s="188"/>
      <c r="F31" s="1"/>
      <c r="G31" s="188"/>
      <c r="H31" s="188"/>
      <c r="I31" s="188"/>
      <c r="J31" s="188"/>
      <c r="K31" s="188"/>
      <c r="L31" s="188"/>
      <c r="M31" s="188"/>
      <c r="N31" s="188"/>
      <c r="O31" s="188"/>
      <c r="P31" s="188"/>
      <c r="Q31" s="188"/>
      <c r="R31" s="3"/>
      <c r="S31" s="188"/>
      <c r="U31" s="188"/>
      <c r="V31" s="188"/>
      <c r="X31" s="188"/>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8"/>
      <c r="EA31" s="188"/>
    </row>
    <row r="32" spans="1:131" s="35" customFormat="1" ht="15" x14ac:dyDescent="0.25">
      <c r="A32" s="188"/>
      <c r="B32" s="188"/>
      <c r="C32" s="188"/>
      <c r="D32" s="188"/>
      <c r="E32" s="188"/>
      <c r="F32" s="1"/>
      <c r="G32" s="188"/>
      <c r="H32" s="188"/>
      <c r="I32" s="188"/>
      <c r="J32" s="188"/>
      <c r="K32" s="188"/>
      <c r="L32" s="188"/>
      <c r="M32" s="188"/>
      <c r="N32" s="188"/>
      <c r="O32" s="188"/>
      <c r="P32" s="188"/>
      <c r="Q32" s="188"/>
      <c r="R32" s="3"/>
      <c r="S32" s="188"/>
      <c r="U32" s="188"/>
      <c r="V32" s="188"/>
      <c r="X32" s="188"/>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8"/>
      <c r="EA32" s="188"/>
    </row>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customHeight="1" x14ac:dyDescent="0.25"/>
    <row r="69" ht="15"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sheetData>
  <sheetProtection algorithmName="SHA-512" hashValue="1hZQdMmYr0BRwdHNmBAeqrXwAygrLITM7tYjYdW+3mjzYNlInZ9FNN3RAoT2ygg0/zN+WnuKlpNKZce8E7kjcg==" saltValue="G/d3jTqHeUr2vRmiZ/T7kQ==" spinCount="100000" sheet="1" objects="1" scenarios="1" selectLockedCells="1" selectUnlockedCells="1"/>
  <mergeCells count="12">
    <mergeCell ref="W2:X2"/>
    <mergeCell ref="B3:V3"/>
    <mergeCell ref="W3:X3"/>
    <mergeCell ref="B4:V5"/>
    <mergeCell ref="W4:X4"/>
    <mergeCell ref="W5:X5"/>
    <mergeCell ref="A8:A9"/>
    <mergeCell ref="C8:C9"/>
    <mergeCell ref="M8:M9"/>
    <mergeCell ref="A2:A5"/>
    <mergeCell ref="B2:V2"/>
    <mergeCell ref="B8:B11"/>
  </mergeCells>
  <conditionalFormatting sqref="R25:R1048576 R7:R11 R15">
    <cfRule type="cellIs" dxfId="39" priority="31" operator="between">
      <formula>0.51</formula>
      <formula>0.69</formula>
    </cfRule>
    <cfRule type="cellIs" dxfId="38" priority="32" operator="between">
      <formula>0.51</formula>
      <formula>0.69</formula>
    </cfRule>
    <cfRule type="cellIs" dxfId="37" priority="33" operator="lessThan">
      <formula>0.5</formula>
    </cfRule>
    <cfRule type="cellIs" dxfId="36" priority="34" operator="greaterThan">
      <formula>0.7</formula>
    </cfRule>
    <cfRule type="cellIs" dxfId="35" priority="35" operator="between">
      <formula>0.51</formula>
      <formula>0.69</formula>
    </cfRule>
    <cfRule type="cellIs" dxfId="34" priority="36" operator="lessThan">
      <formula>50</formula>
    </cfRule>
    <cfRule type="cellIs" dxfId="33" priority="37" operator="greaterThan">
      <formula>0.7</formula>
    </cfRule>
    <cfRule type="cellIs" dxfId="32" priority="38" operator="between">
      <formula>0.51</formula>
      <formula>0.69</formula>
    </cfRule>
    <cfRule type="cellIs" dxfId="31" priority="39" operator="lessThan">
      <formula>0.5</formula>
    </cfRule>
    <cfRule type="cellIs" dxfId="30" priority="40" operator="greaterThan">
      <formula>0.7</formula>
    </cfRule>
  </conditionalFormatting>
  <conditionalFormatting sqref="R13">
    <cfRule type="cellIs" dxfId="29" priority="21" operator="between">
      <formula>0.51</formula>
      <formula>0.69</formula>
    </cfRule>
    <cfRule type="cellIs" dxfId="28" priority="22" operator="between">
      <formula>0.51</formula>
      <formula>0.69</formula>
    </cfRule>
    <cfRule type="cellIs" dxfId="27" priority="23" operator="lessThan">
      <formula>0.5</formula>
    </cfRule>
    <cfRule type="cellIs" dxfId="26" priority="24" operator="greaterThan">
      <formula>0.7</formula>
    </cfRule>
    <cfRule type="cellIs" dxfId="25" priority="25" operator="between">
      <formula>0.51</formula>
      <formula>0.69</formula>
    </cfRule>
    <cfRule type="cellIs" dxfId="24" priority="26" operator="lessThan">
      <formula>50</formula>
    </cfRule>
    <cfRule type="cellIs" dxfId="23" priority="27" operator="greaterThan">
      <formula>0.7</formula>
    </cfRule>
    <cfRule type="cellIs" dxfId="22" priority="28" operator="between">
      <formula>0.51</formula>
      <formula>0.69</formula>
    </cfRule>
    <cfRule type="cellIs" dxfId="21" priority="29" operator="lessThan">
      <formula>0.5</formula>
    </cfRule>
    <cfRule type="cellIs" dxfId="20" priority="30" operator="greaterThan">
      <formula>0.7</formula>
    </cfRule>
  </conditionalFormatting>
  <conditionalFormatting sqref="R12">
    <cfRule type="cellIs" dxfId="19" priority="11" operator="between">
      <formula>0.51</formula>
      <formula>0.69</formula>
    </cfRule>
    <cfRule type="cellIs" dxfId="18" priority="12" operator="between">
      <formula>0.51</formula>
      <formula>0.69</formula>
    </cfRule>
    <cfRule type="cellIs" dxfId="17" priority="13" operator="lessThan">
      <formula>0.5</formula>
    </cfRule>
    <cfRule type="cellIs" dxfId="16" priority="14" operator="greaterThan">
      <formula>0.7</formula>
    </cfRule>
    <cfRule type="cellIs" dxfId="15" priority="15" operator="between">
      <formula>0.51</formula>
      <formula>0.69</formula>
    </cfRule>
    <cfRule type="cellIs" dxfId="14" priority="16" operator="lessThan">
      <formula>50</formula>
    </cfRule>
    <cfRule type="cellIs" dxfId="13" priority="17" operator="greaterThan">
      <formula>0.7</formula>
    </cfRule>
    <cfRule type="cellIs" dxfId="12" priority="18" operator="between">
      <formula>0.51</formula>
      <formula>0.69</formula>
    </cfRule>
    <cfRule type="cellIs" dxfId="11" priority="19" operator="lessThan">
      <formula>0.5</formula>
    </cfRule>
    <cfRule type="cellIs" dxfId="10" priority="20" operator="greaterThan">
      <formula>0.7</formula>
    </cfRule>
  </conditionalFormatting>
  <conditionalFormatting sqref="R14">
    <cfRule type="cellIs" dxfId="9" priority="1" operator="between">
      <formula>0.51</formula>
      <formula>0.69</formula>
    </cfRule>
    <cfRule type="cellIs" dxfId="8" priority="2" operator="between">
      <formula>0.51</formula>
      <formula>0.69</formula>
    </cfRule>
    <cfRule type="cellIs" dxfId="7" priority="3" operator="lessThan">
      <formula>0.5</formula>
    </cfRule>
    <cfRule type="cellIs" dxfId="6" priority="4" operator="greaterThan">
      <formula>0.7</formula>
    </cfRule>
    <cfRule type="cellIs" dxfId="5" priority="5" operator="between">
      <formula>0.51</formula>
      <formula>0.69</formula>
    </cfRule>
    <cfRule type="cellIs" dxfId="4" priority="6" operator="lessThan">
      <formula>50</formula>
    </cfRule>
    <cfRule type="cellIs" dxfId="3" priority="7" operator="greaterThan">
      <formula>0.7</formula>
    </cfRule>
    <cfRule type="cellIs" dxfId="2" priority="8" operator="between">
      <formula>0.51</formula>
      <formula>0.69</formula>
    </cfRule>
    <cfRule type="cellIs" dxfId="1" priority="9" operator="lessThan">
      <formula>0.5</formula>
    </cfRule>
    <cfRule type="cellIs" dxfId="0" priority="10" operator="greaterThan">
      <formula>0.7</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TOTALES</vt:lpstr>
      <vt:lpstr>Apoyo Académico</vt:lpstr>
      <vt:lpstr>Autoevaluación y acreditación</vt:lpstr>
      <vt:lpstr>EFAD</vt:lpstr>
      <vt:lpstr>centro de E agroambientales</vt:lpstr>
      <vt:lpstr>desarrollo académico</vt:lpstr>
      <vt:lpstr>Educación Virtual y a distancia</vt:lpstr>
      <vt:lpstr>ambiental</vt:lpstr>
      <vt:lpstr>Archivo</vt:lpstr>
      <vt:lpstr>bienes y servicios</vt:lpstr>
      <vt:lpstr>calidad</vt:lpstr>
      <vt:lpstr>comunicaciones</vt:lpstr>
      <vt:lpstr>planeación</vt:lpstr>
      <vt:lpstr>Graduados</vt:lpstr>
      <vt:lpstr>interac. social</vt:lpstr>
      <vt:lpstr>Internacionalización</vt:lpstr>
      <vt:lpstr>Inclusión</vt:lpstr>
      <vt:lpstr>POSGRADOS</vt:lpstr>
      <vt:lpstr>Talento Humano</vt:lpstr>
      <vt:lpstr>FONDO GIRARDOT</vt:lpstr>
      <vt:lpstr>FONDO FACATATIVA</vt:lpstr>
      <vt:lpstr>FONDO CTEI </vt:lpstr>
      <vt:lpstr>FONDO POSGRADOS</vt:lpstr>
      <vt:lpstr>bienestar U.</vt:lpstr>
      <vt:lpstr>Sistemas y T</vt:lpstr>
      <vt:lpstr>comunicaciones ubaté</vt:lpstr>
      <vt:lpstr>FONDO SOACHA</vt:lpstr>
      <vt:lpstr>FONDO CHIA-ZIPA</vt:lpstr>
      <vt:lpstr>FONDO UBATE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Hogar</dc:creator>
  <cp:lastModifiedBy>Manuel Gomez</cp:lastModifiedBy>
  <cp:lastPrinted>2023-02-03T19:36:00Z</cp:lastPrinted>
  <dcterms:created xsi:type="dcterms:W3CDTF">2021-07-02T15:45:35Z</dcterms:created>
  <dcterms:modified xsi:type="dcterms:W3CDTF">2023-03-22T23:32:59Z</dcterms:modified>
</cp:coreProperties>
</file>