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https://mailunicundiedu-my.sharepoint.com/personal/planestrategico_ucundinamarca_edu_co/Documents/BANCO DE PROYECTOS/PRESUPUESTO 2020/Bancodeproyectos/"/>
    </mc:Choice>
  </mc:AlternateContent>
  <xr:revisionPtr revIDLastSave="48" documentId="114_{62DA3C24-7FE0-479E-A9F2-9942BC8E12FD}" xr6:coauthVersionLast="45" xr6:coauthVersionMax="45" xr10:uidLastSave="{7D11CF76-444D-4C87-BB5D-1047118F64A5}"/>
  <bookViews>
    <workbookView xWindow="-108" yWindow="-108" windowWidth="23256" windowHeight="12576" tabRatio="463" firstSheet="1" activeTab="2" xr2:uid="{00000000-000D-0000-FFFF-FFFF00000000}"/>
  </bookViews>
  <sheets>
    <sheet name="Portada" sheetId="41" state="hidden" r:id="rId1"/>
    <sheet name="POAI GENERAL " sheetId="1" r:id="rId2"/>
    <sheet name="POAI GENERAL" sheetId="52" r:id="rId3"/>
    <sheet name="POAI GIRARDOT" sheetId="53" r:id="rId4"/>
    <sheet name="POAI FACATATIVÁ" sheetId="54" r:id="rId5"/>
    <sheet name="Hoja2" sheetId="59" state="hidden" r:id="rId6"/>
    <sheet name="Hoja1" sheetId="58" state="hidden" r:id="rId7"/>
    <sheet name="POAI FCTeI" sheetId="56" state="hidden" r:id="rId8"/>
    <sheet name="POAI FCTeI - Inversión " sheetId="57" state="hidden" r:id="rId9"/>
    <sheet name="REPORT EJECUT" sheetId="46" state="hidden" r:id="rId10"/>
    <sheet name="SEGUIMIENTO PROESTATALES" sheetId="49" state="hidden" r:id="rId11"/>
    <sheet name="Presupuesto (2)" sheetId="50" state="hidden" r:id="rId12"/>
  </sheets>
  <definedNames>
    <definedName name="_xlnm._FilterDatabase" localSheetId="4" hidden="1">'POAI FACATATIVÁ'!$A$1:$FZ$27</definedName>
    <definedName name="_xlnm._FilterDatabase" localSheetId="7" hidden="1">'POAI FCTeI'!$B$1:$FP$17</definedName>
    <definedName name="_xlnm._FilterDatabase" localSheetId="8" hidden="1">'POAI FCTeI - Inversión '!$A$1:$FW$13</definedName>
    <definedName name="_xlnm._FilterDatabase" localSheetId="2" hidden="1">'POAI GENERAL'!$A$1:$GC$113</definedName>
    <definedName name="_xlnm._FilterDatabase" localSheetId="1" hidden="1">'POAI GENERAL '!$B$1:$GK$45</definedName>
    <definedName name="_xlnm._FilterDatabase" localSheetId="3" hidden="1">'POAI GIRARDOT'!$A$1:$FZ$32</definedName>
    <definedName name="_xlnm._FilterDatabase" localSheetId="11" hidden="1">'Presupuesto (2)'!$A$1:$GD$63</definedName>
    <definedName name="_xlnm._FilterDatabase" localSheetId="10" hidden="1">'SEGUIMIENTO PROESTATALES'!$A$1:$GH$23</definedName>
    <definedName name="_xlnm.Print_Area" localSheetId="4">'POAI FACATATIVÁ'!$A$1:$L$26</definedName>
    <definedName name="_xlnm.Print_Area" localSheetId="7">'POAI FCTeI'!$A$1:$H$17</definedName>
    <definedName name="_xlnm.Print_Area" localSheetId="8">'POAI FCTeI - Inversión '!$A$1:$H$12</definedName>
    <definedName name="_xlnm.Print_Area" localSheetId="2">'POAI GENERAL'!$B$1:$N$114</definedName>
    <definedName name="_xlnm.Print_Area" localSheetId="1">'POAI GENERAL '!$A$1:$AC$61</definedName>
    <definedName name="_xlnm.Print_Area" localSheetId="3">'POAI GIRARDOT'!$A$1:$L$29</definedName>
    <definedName name="_xlnm.Print_Area" localSheetId="0">Portada!$A$1:$G$47</definedName>
    <definedName name="_xlnm.Print_Area" localSheetId="11">'Presupuesto (2)'!$A$1:$J$60</definedName>
    <definedName name="_xlnm.Print_Area" localSheetId="9">'REPORT EJECUT'!$A$1:$J$104</definedName>
    <definedName name="_xlnm.Print_Area" localSheetId="10">'SEGUIMIENTO PROESTATALES'!$A$1:$M$20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4" i="53" l="1"/>
  <c r="K21" i="53" l="1"/>
  <c r="AB21" i="1" l="1"/>
  <c r="L75" i="52" l="1"/>
  <c r="I60" i="1"/>
  <c r="I30" i="1" l="1"/>
  <c r="AA41" i="1"/>
  <c r="I17" i="1"/>
  <c r="I15" i="1"/>
  <c r="AA53" i="1" l="1"/>
  <c r="AB53" i="1"/>
  <c r="AA54" i="1"/>
  <c r="AB54" i="1" s="1"/>
  <c r="AA55" i="1"/>
  <c r="AB55" i="1" s="1"/>
  <c r="AA56" i="1"/>
  <c r="AB56" i="1"/>
  <c r="AA57" i="1"/>
  <c r="AB57" i="1"/>
  <c r="AA58" i="1"/>
  <c r="AB58" i="1" s="1"/>
  <c r="AA52" i="1"/>
  <c r="AB52" i="1" s="1"/>
  <c r="AB41" i="1"/>
  <c r="J10" i="53" s="1"/>
  <c r="AB42" i="1"/>
  <c r="AB43" i="1"/>
  <c r="AB44" i="1"/>
  <c r="AB45" i="1"/>
  <c r="AB46" i="1"/>
  <c r="AA42" i="1"/>
  <c r="AA43" i="1"/>
  <c r="AA44" i="1"/>
  <c r="AA45" i="1"/>
  <c r="AA46" i="1"/>
  <c r="AB40" i="1"/>
  <c r="AA40" i="1"/>
  <c r="AB13" i="1"/>
  <c r="AB14" i="1"/>
  <c r="AB15" i="1"/>
  <c r="AB16" i="1"/>
  <c r="AB17" i="1"/>
  <c r="AB18" i="1"/>
  <c r="AB19" i="1"/>
  <c r="AB20" i="1"/>
  <c r="AB22" i="1"/>
  <c r="AB23" i="1"/>
  <c r="AB24" i="1"/>
  <c r="AB25" i="1"/>
  <c r="AB26" i="1"/>
  <c r="AB27" i="1"/>
  <c r="AB28" i="1"/>
  <c r="AB29" i="1"/>
  <c r="AB30" i="1"/>
  <c r="AB31" i="1"/>
  <c r="AB32" i="1"/>
  <c r="AB33" i="1"/>
  <c r="AB34" i="1"/>
  <c r="AB12" i="1"/>
  <c r="AA13" i="1"/>
  <c r="AA14" i="1"/>
  <c r="AA15" i="1"/>
  <c r="AA16" i="1"/>
  <c r="AA17" i="1"/>
  <c r="AA18" i="1"/>
  <c r="AA19" i="1"/>
  <c r="AA20" i="1"/>
  <c r="AA21" i="1"/>
  <c r="AA22" i="1"/>
  <c r="AA23" i="1"/>
  <c r="AA24" i="1"/>
  <c r="AA25" i="1"/>
  <c r="AA26" i="1"/>
  <c r="AA27" i="1"/>
  <c r="AA28" i="1"/>
  <c r="AA29" i="1"/>
  <c r="AA30" i="1"/>
  <c r="AA31" i="1"/>
  <c r="AA32" i="1"/>
  <c r="AA33" i="1"/>
  <c r="AA34" i="1"/>
  <c r="AA12" i="1"/>
  <c r="I53" i="1"/>
  <c r="I54" i="1"/>
  <c r="I55" i="1"/>
  <c r="I56" i="1"/>
  <c r="I57" i="1"/>
  <c r="I58" i="1"/>
  <c r="I52" i="1"/>
  <c r="I41" i="1"/>
  <c r="I42" i="1"/>
  <c r="I43" i="1"/>
  <c r="I44" i="1"/>
  <c r="I45" i="1"/>
  <c r="I46" i="1"/>
  <c r="I40" i="1"/>
  <c r="I13" i="1"/>
  <c r="I14" i="1"/>
  <c r="I16" i="1"/>
  <c r="I18" i="1"/>
  <c r="I19" i="1"/>
  <c r="I20" i="1"/>
  <c r="I21" i="1"/>
  <c r="I22" i="1"/>
  <c r="I23" i="1"/>
  <c r="I24" i="1"/>
  <c r="I25" i="1"/>
  <c r="I26" i="1"/>
  <c r="I27" i="1"/>
  <c r="I28" i="1"/>
  <c r="I29" i="1"/>
  <c r="I31" i="1"/>
  <c r="I32" i="1"/>
  <c r="I33" i="1"/>
  <c r="I34" i="1"/>
  <c r="I12" i="1"/>
  <c r="G108" i="52" l="1"/>
  <c r="G105" i="52"/>
  <c r="G101" i="52"/>
  <c r="G98" i="52"/>
  <c r="G95" i="52"/>
  <c r="G92" i="52"/>
  <c r="G89" i="52"/>
  <c r="G86" i="52"/>
  <c r="G58" i="52"/>
  <c r="G65" i="52"/>
  <c r="G69" i="52"/>
  <c r="G72" i="52"/>
  <c r="G75" i="52"/>
  <c r="G78" i="52"/>
  <c r="G82" i="52"/>
  <c r="J22" i="54" l="1"/>
  <c r="J24" i="53"/>
  <c r="L58" i="52" l="1"/>
  <c r="M96" i="52"/>
  <c r="G12" i="52"/>
  <c r="G49" i="52" l="1"/>
  <c r="G41" i="52"/>
  <c r="G34" i="52"/>
  <c r="G31" i="52"/>
  <c r="G24" i="52"/>
  <c r="G9" i="52"/>
  <c r="G6" i="52"/>
  <c r="J6" i="53" l="1"/>
  <c r="J21" i="53" l="1"/>
  <c r="L45" i="52" l="1"/>
  <c r="L109" i="52" l="1"/>
  <c r="L35" i="52" l="1"/>
  <c r="L108" i="52" l="1"/>
  <c r="L12" i="52"/>
  <c r="L34" i="52"/>
  <c r="L79" i="52"/>
  <c r="L78" i="52"/>
  <c r="L54" i="52" l="1"/>
  <c r="Z60" i="1"/>
  <c r="L36" i="52" l="1"/>
  <c r="L32" i="52"/>
  <c r="L15" i="52" l="1"/>
  <c r="F20" i="1" l="1"/>
  <c r="G6" i="57" l="1"/>
  <c r="G15" i="56"/>
  <c r="G16" i="56"/>
  <c r="G14" i="56"/>
  <c r="V60" i="1" l="1"/>
  <c r="W60" i="1"/>
  <c r="X60" i="1"/>
  <c r="Y60" i="1"/>
  <c r="U60" i="1" l="1"/>
  <c r="T60" i="1"/>
  <c r="L66" i="52" l="1"/>
  <c r="L14" i="52"/>
  <c r="C32" i="1"/>
  <c r="F32" i="1"/>
  <c r="F17" i="1"/>
  <c r="F15" i="1"/>
  <c r="L24" i="52" s="1"/>
  <c r="S60" i="1" l="1"/>
  <c r="J26" i="53"/>
  <c r="J8" i="53"/>
  <c r="M60" i="1"/>
  <c r="L6" i="52"/>
  <c r="J60" i="1"/>
  <c r="D60" i="1"/>
  <c r="E60" i="1"/>
  <c r="F60" i="1"/>
  <c r="G60" i="1"/>
  <c r="H60" i="1"/>
  <c r="K60" i="1"/>
  <c r="L60" i="1"/>
  <c r="N60" i="1"/>
  <c r="O60" i="1"/>
  <c r="P60" i="1"/>
  <c r="Q60" i="1"/>
  <c r="R60" i="1"/>
  <c r="C60" i="1"/>
  <c r="AB60" i="1" l="1"/>
  <c r="J24" i="54"/>
  <c r="E10" i="54" l="1"/>
  <c r="E7" i="54" l="1"/>
  <c r="J21" i="54"/>
  <c r="J18" i="54"/>
  <c r="J15" i="54"/>
  <c r="J12" i="54"/>
  <c r="J9" i="54"/>
  <c r="J6" i="54"/>
  <c r="J23" i="53"/>
  <c r="J19" i="53"/>
  <c r="J16" i="53"/>
  <c r="J13" i="53"/>
  <c r="L105" i="52" l="1"/>
  <c r="L101" i="52"/>
  <c r="L98" i="52"/>
  <c r="L92" i="52"/>
  <c r="L95" i="52"/>
  <c r="L89" i="52"/>
  <c r="L86" i="52"/>
  <c r="L82" i="52"/>
  <c r="L84" i="52" s="1"/>
  <c r="L72" i="52"/>
  <c r="L69" i="52"/>
  <c r="L65" i="52"/>
  <c r="L49" i="52"/>
  <c r="L41" i="52"/>
  <c r="L9" i="52"/>
  <c r="F23" i="50"/>
  <c r="G23" i="50"/>
  <c r="H23" i="50"/>
  <c r="I23" i="50"/>
  <c r="E23" i="50"/>
  <c r="F17" i="50"/>
  <c r="G17" i="50"/>
  <c r="H17" i="50"/>
  <c r="I17" i="50"/>
  <c r="E17" i="50"/>
  <c r="F11" i="50"/>
  <c r="G11" i="50"/>
  <c r="H11" i="50"/>
  <c r="I11" i="50"/>
  <c r="E11" i="50"/>
  <c r="D57" i="50"/>
  <c r="D55" i="50"/>
  <c r="D53" i="50"/>
  <c r="D26" i="50"/>
  <c r="D22" i="50"/>
  <c r="D16" i="50"/>
  <c r="D10" i="50"/>
  <c r="P5" i="46"/>
  <c r="P7" i="46"/>
  <c r="P9" i="46"/>
  <c r="P10" i="46"/>
  <c r="P11" i="46"/>
  <c r="P12" i="46"/>
  <c r="P13" i="46"/>
  <c r="P14" i="46"/>
  <c r="P15" i="46"/>
  <c r="P16" i="46"/>
  <c r="P17" i="46"/>
  <c r="P18" i="46"/>
  <c r="P19" i="46"/>
  <c r="P20" i="46"/>
  <c r="P21" i="46"/>
  <c r="P22" i="46"/>
  <c r="P23" i="46"/>
  <c r="P24" i="46"/>
  <c r="P26" i="46"/>
  <c r="P27" i="46"/>
  <c r="P28" i="46"/>
  <c r="P29" i="46"/>
  <c r="P30" i="46"/>
  <c r="P31" i="46"/>
  <c r="P32" i="46"/>
  <c r="P34" i="46"/>
  <c r="P36" i="46"/>
  <c r="P37" i="46"/>
  <c r="P38" i="46"/>
  <c r="P39" i="46"/>
  <c r="P40" i="46"/>
  <c r="P41" i="46"/>
  <c r="P42" i="46"/>
  <c r="P43" i="46"/>
  <c r="P44" i="46"/>
  <c r="P46" i="46"/>
  <c r="P47" i="46"/>
  <c r="P48" i="46"/>
  <c r="P49" i="46"/>
  <c r="P50" i="46"/>
  <c r="P52" i="46"/>
  <c r="P53" i="46"/>
  <c r="P54" i="46"/>
  <c r="P55" i="46"/>
  <c r="P56" i="46"/>
  <c r="P57" i="46"/>
  <c r="P58" i="46"/>
  <c r="P59" i="46"/>
  <c r="P60" i="46"/>
  <c r="P61" i="46"/>
  <c r="P62" i="46"/>
  <c r="P64" i="46"/>
  <c r="P65" i="46"/>
  <c r="P66" i="46"/>
  <c r="P67" i="46"/>
  <c r="P68" i="46"/>
  <c r="P69" i="46"/>
  <c r="P70" i="46"/>
  <c r="P72" i="46"/>
  <c r="P73" i="46"/>
  <c r="P74" i="46"/>
  <c r="P76" i="46"/>
  <c r="P78" i="46"/>
  <c r="P80" i="46"/>
  <c r="P82" i="46"/>
  <c r="P84" i="46"/>
  <c r="P85" i="46"/>
  <c r="P86" i="46"/>
  <c r="P87" i="46"/>
  <c r="P88" i="46"/>
  <c r="P90" i="46"/>
  <c r="P91" i="46"/>
  <c r="P93" i="46"/>
  <c r="P95" i="46"/>
  <c r="P97" i="46"/>
  <c r="P99" i="46"/>
  <c r="P101" i="46"/>
  <c r="J81" i="46"/>
  <c r="D4" i="46"/>
  <c r="H4" i="46" s="1"/>
  <c r="I4" i="46"/>
  <c r="D6" i="46"/>
  <c r="H6" i="46"/>
  <c r="D33" i="46"/>
  <c r="H33" i="46"/>
  <c r="D45" i="46"/>
  <c r="J45" i="46" s="1"/>
  <c r="D71" i="46"/>
  <c r="I71" i="46" s="1"/>
  <c r="J71" i="46"/>
  <c r="D75" i="46"/>
  <c r="I75" i="46"/>
  <c r="D77" i="46"/>
  <c r="H77" i="46"/>
  <c r="D79" i="46"/>
  <c r="J79" i="46" s="1"/>
  <c r="D83" i="46"/>
  <c r="J83" i="46" s="1"/>
  <c r="I83" i="46"/>
  <c r="D89" i="46"/>
  <c r="J89" i="46"/>
  <c r="D92" i="46"/>
  <c r="I92" i="46"/>
  <c r="D94" i="46"/>
  <c r="J94" i="46" s="1"/>
  <c r="D96" i="46"/>
  <c r="J96" i="46" s="1"/>
  <c r="I96" i="46"/>
  <c r="D98" i="46"/>
  <c r="H98" i="46"/>
  <c r="D100" i="46"/>
  <c r="I100" i="46"/>
  <c r="D102" i="46"/>
  <c r="J102" i="46" s="1"/>
  <c r="I81" i="46"/>
  <c r="H81" i="46"/>
  <c r="F68" i="46"/>
  <c r="F67" i="46"/>
  <c r="F65" i="46"/>
  <c r="F57" i="46"/>
  <c r="D51" i="46" s="1"/>
  <c r="F40" i="46"/>
  <c r="D35" i="46" s="1"/>
  <c r="F28" i="46"/>
  <c r="D25" i="46"/>
  <c r="I25" i="46" s="1"/>
  <c r="F20" i="46"/>
  <c r="D8" i="46" s="1"/>
  <c r="J6" i="46"/>
  <c r="J92" i="46"/>
  <c r="J77" i="46"/>
  <c r="J100" i="46"/>
  <c r="J33" i="46"/>
  <c r="I77" i="46"/>
  <c r="I33" i="46"/>
  <c r="I98" i="46"/>
  <c r="H100" i="46"/>
  <c r="H92" i="46"/>
  <c r="H89" i="46"/>
  <c r="H83" i="46"/>
  <c r="J98" i="46"/>
  <c r="D63" i="46"/>
  <c r="I63" i="46" s="1"/>
  <c r="I102" i="46"/>
  <c r="I89" i="46"/>
  <c r="I79" i="46"/>
  <c r="J75" i="46"/>
  <c r="I45" i="46"/>
  <c r="I6" i="46"/>
  <c r="H63" i="46"/>
  <c r="J63" i="46"/>
  <c r="H79" i="46"/>
  <c r="H75" i="46"/>
  <c r="J8" i="46" l="1"/>
  <c r="H8" i="46"/>
  <c r="I8" i="46"/>
  <c r="H71" i="46"/>
  <c r="H94" i="46"/>
  <c r="H102" i="46"/>
  <c r="I94" i="46"/>
  <c r="H45" i="46"/>
  <c r="H25" i="46"/>
  <c r="J4" i="46"/>
  <c r="J25" i="46"/>
  <c r="H96" i="46"/>
  <c r="J35" i="46"/>
  <c r="H35" i="46"/>
  <c r="I35" i="46"/>
  <c r="J51" i="46"/>
  <c r="H51" i="46"/>
  <c r="I51" i="46"/>
</calcChain>
</file>

<file path=xl/sharedStrings.xml><?xml version="1.0" encoding="utf-8"?>
<sst xmlns="http://schemas.openxmlformats.org/spreadsheetml/2006/main" count="1626" uniqueCount="438">
  <si>
    <t xml:space="preserve">PLAN OPERATIVO ANUAL DE INVERSIONES </t>
  </si>
  <si>
    <t xml:space="preserve">FECHA DE PUBLICACIÓN: </t>
  </si>
  <si>
    <t>Agosto de 2020</t>
  </si>
  <si>
    <t xml:space="preserve">VERSIÓN: </t>
  </si>
  <si>
    <t xml:space="preserve"> PLAN OPERATIVO ANUAL DE INVERSIÓN UCUNDINAMARCA</t>
  </si>
  <si>
    <t>Concepto</t>
  </si>
  <si>
    <t xml:space="preserve">Asignación Inicial </t>
  </si>
  <si>
    <t xml:space="preserve">ASIGNACIÓN INICIAL </t>
  </si>
  <si>
    <t xml:space="preserve">Adiciones aprobadas por el Consejo Superior </t>
  </si>
  <si>
    <t xml:space="preserve">ADICIÓN </t>
  </si>
  <si>
    <t>Total Apropiación</t>
  </si>
  <si>
    <t>Acuerdo No. 034</t>
  </si>
  <si>
    <t>Acuerdo No. 004</t>
  </si>
  <si>
    <t>Acuerdo No. 006</t>
  </si>
  <si>
    <t>Acuerdo No. 010</t>
  </si>
  <si>
    <t>Acuerdo No. 011</t>
  </si>
  <si>
    <t xml:space="preserve">Acuerdo No. </t>
  </si>
  <si>
    <t xml:space="preserve"> Nación  </t>
  </si>
  <si>
    <t xml:space="preserve"> Estampilla ProDesarrollo  </t>
  </si>
  <si>
    <t xml:space="preserve"> Estampilla ProEstatales </t>
  </si>
  <si>
    <t xml:space="preserve"> Propios </t>
  </si>
  <si>
    <t>Devoluciones por Concepto de IVA  </t>
  </si>
  <si>
    <t xml:space="preserve"> Recursos de Capital </t>
  </si>
  <si>
    <t xml:space="preserve">Recursos del Balance </t>
  </si>
  <si>
    <t>Recursos del
Balance - Aportes
artículo 142 Ley
1819 de 2016</t>
  </si>
  <si>
    <t>Estampilla
Prodesarrollo
UDEC -
Recursos del
Balance</t>
  </si>
  <si>
    <t xml:space="preserve"> Recursos del Balance – Art 86 Ley 30/1992
</t>
  </si>
  <si>
    <t>Recursos del
Balance 0,00
Impuesto sobre
la equidad 0,00
CREE</t>
  </si>
  <si>
    <t>Recursos del
Balance –
Planes de
Fomento a la
Calidad</t>
  </si>
  <si>
    <t>Recursos del
Balance –
Estampilla Pro
Universidades
Estatales</t>
  </si>
  <si>
    <t>Recursos del
Balance –
Circular No.
026</t>
  </si>
  <si>
    <t>Estampilla
Prodesarrollo
UDEC
Girardot -
Recursos del
Balance</t>
  </si>
  <si>
    <t>Estampilla
Prodesarrollo
UDEC Bojacá
- Recursos
del Balance</t>
  </si>
  <si>
    <t>Ingresos y transferencias por Sentencias Judiciales</t>
  </si>
  <si>
    <t>Aportes art.142 ley 1819 de 2016 Cooperativas</t>
  </si>
  <si>
    <t>Estampilla Pro-Universidades Estatales</t>
  </si>
  <si>
    <t xml:space="preserve">Estampilla ProDesarrollo UDEC Vigencias Anteriores </t>
  </si>
  <si>
    <t>Estampilla ProDesarrollo Girardot Vigencias Anteriores</t>
  </si>
  <si>
    <t>410101 - Autoevaluación y Acreditación</t>
  </si>
  <si>
    <t>410102 - Desarrollo Académico</t>
  </si>
  <si>
    <t>410103 - Dotación Laboratorio General</t>
  </si>
  <si>
    <t>410104 - Dotación Biblioteca General</t>
  </si>
  <si>
    <t>410105 - Archivo Documental General</t>
  </si>
  <si>
    <t>410106 - Investigación General</t>
  </si>
  <si>
    <t>410107 - Centros de Estudios Agroambientales</t>
  </si>
  <si>
    <t>410108 - Planta Física General</t>
  </si>
  <si>
    <t>410109 - Desarrollo Tecnológico General</t>
  </si>
  <si>
    <t>410110 - Bienestar Universitario</t>
  </si>
  <si>
    <t>0,00 </t>
  </si>
  <si>
    <t xml:space="preserve">410111 - Formación y Capacitación Personal Administrativo </t>
  </si>
  <si>
    <t>410112 - Formación, Desarrollo y Capacitación Personal Docente</t>
  </si>
  <si>
    <t>410113 - Desarrollo Administrativo</t>
  </si>
  <si>
    <t xml:space="preserve">410114 - Sistemas Integrados de Gestión </t>
  </si>
  <si>
    <t>410115 - Fortalecimiento Institucional</t>
  </si>
  <si>
    <t xml:space="preserve">410116 - Internacionalización </t>
  </si>
  <si>
    <t>410117 - Programa Seguimiento a Graduados</t>
  </si>
  <si>
    <t xml:space="preserve">410118 - Proyección Social </t>
  </si>
  <si>
    <t xml:space="preserve">410120 - Programa de Becas General  </t>
  </si>
  <si>
    <t>410122 - Escuela de Formación y Aprendizaje</t>
  </si>
  <si>
    <t>410123 - Educación Virtual y a Distancia</t>
  </si>
  <si>
    <t xml:space="preserve">410125 - Inclusión </t>
  </si>
  <si>
    <t xml:space="preserve">410126 - Planes de Fomento de la Calidad </t>
  </si>
  <si>
    <t xml:space="preserve"> PLAN OPERATIVO ANUAL DE INVERSIÓN SECCIONAL GIRARDOT   </t>
  </si>
  <si>
    <t>Recursos del
Balance 0,00 Aportes
artículo 142 Ley
1819 de 2016</t>
  </si>
  <si>
    <t>Estampilla
Prodesarrollo
UDEC 0,00
Recursos del
Balance</t>
  </si>
  <si>
    <t>Estampilla
Prodesarrollo
UDEC Bojacá
0,00 Recursos
del Balance</t>
  </si>
  <si>
    <t>Estampilla Pro0,00Universidades Estatales</t>
  </si>
  <si>
    <t>410103 - Dotación Laboratorio Girardot</t>
  </si>
  <si>
    <t>410104 - Dotación Biblioteca Girardot</t>
  </si>
  <si>
    <t>410105 - Archivo Documental Girardot</t>
  </si>
  <si>
    <t>410106 -  Investigación  Girardot</t>
  </si>
  <si>
    <t>410108 - Planta Física Girardot</t>
  </si>
  <si>
    <t>410109 - Desarrollo Tecnológico Girardot</t>
  </si>
  <si>
    <t>410120 - Programa de Becas Girardot</t>
  </si>
  <si>
    <t xml:space="preserve"> PLAN OPERATIVO ANUAL DE INVERSIÓN EXTENSIÓN FACATATIVÁ   </t>
  </si>
  <si>
    <t>Estampilla
Prodesarrollo
UDEC
Girardot 0,00
Recursos del
Balance</t>
  </si>
  <si>
    <t>410103 - Dotación Laboratorio Facatativá</t>
  </si>
  <si>
    <t>410104 - Dotación Biblioteca Facatativá</t>
  </si>
  <si>
    <t>410105 - Archivo Documental Facatativá</t>
  </si>
  <si>
    <t>410106 -   Investigación Facatativá</t>
  </si>
  <si>
    <t>410108 - Planta Física Facatativá</t>
  </si>
  <si>
    <t>410109 - Desarrollo Tecnológico Facatativá</t>
  </si>
  <si>
    <t>410120 - Programa de Becas Facatativá</t>
  </si>
  <si>
    <t xml:space="preserve"> TOTAL PLAN OPERATIVO ANUAL DE INVERSIÓN  </t>
  </si>
  <si>
    <t xml:space="preserve"> </t>
  </si>
  <si>
    <t xml:space="preserve">Rubro / Descripción </t>
  </si>
  <si>
    <t xml:space="preserve">Articulador Plan de Desarrollo </t>
  </si>
  <si>
    <t>Autoevaluación y Acreditación</t>
  </si>
  <si>
    <t>PAA</t>
  </si>
  <si>
    <t xml:space="preserve">UNIDAD REGIONAL </t>
  </si>
  <si>
    <t xml:space="preserve">Gerente de Proyecto </t>
  </si>
  <si>
    <t>Asesor Banco de Proyectos</t>
  </si>
  <si>
    <t>Valor asignado al rubro</t>
  </si>
  <si>
    <t xml:space="preserve">Observación Seguimiento </t>
  </si>
  <si>
    <t xml:space="preserve">No. Proyecto / Nombre del Proyecto </t>
  </si>
  <si>
    <t xml:space="preserve">Campo Multidimensional de Aprendizaje </t>
  </si>
  <si>
    <t xml:space="preserve">Autoevaluación y Acreditación </t>
  </si>
  <si>
    <t>X</t>
  </si>
  <si>
    <t>Fusagasugá</t>
  </si>
  <si>
    <t>Victor Hugo Londoño</t>
  </si>
  <si>
    <t xml:space="preserve">Pilar Ubaque </t>
  </si>
  <si>
    <t xml:space="preserve">Valor asignado al proyecto </t>
  </si>
  <si>
    <t>ABS 101 PARA CERTIFICACIÓN (2)</t>
  </si>
  <si>
    <t>Desarrollo Académico</t>
  </si>
  <si>
    <t xml:space="preserve">Misión Transcendente </t>
  </si>
  <si>
    <t xml:space="preserve">Aseguramiento de la calidad del aprendizaje </t>
  </si>
  <si>
    <t xml:space="preserve">Cecilia Nelly Carvajal </t>
  </si>
  <si>
    <t>ABS 40
ABS 101 PARA CERTIFICACIÓN (1)</t>
  </si>
  <si>
    <t>Dotación Laboratorios</t>
  </si>
  <si>
    <t>Gobierno Universitario Inteligente con alma y corazón</t>
  </si>
  <si>
    <t>Suscripción de licencias de software académico para la Universidad de Cundinamarca</t>
  </si>
  <si>
    <t xml:space="preserve">David Chavarro </t>
  </si>
  <si>
    <t>Fortalecimiento de los laboratorios de licenciatura presentados a planes de fomento a la calidad de recursos CREE</t>
  </si>
  <si>
    <t>Adquisición de equipos esenciales para la modernización de laboratorios de microbiología, nutrición animal, química y biología, programa de zootecnia, seccional Ubaté.</t>
  </si>
  <si>
    <t>Ubaté</t>
  </si>
  <si>
    <t xml:space="preserve">Alejandro Flechas </t>
  </si>
  <si>
    <t>ABS 47</t>
  </si>
  <si>
    <t>Dotacion de equipos para los laboratrios de fisiologia del ejercicio de las sede fusagasuga y la extension soacha.</t>
  </si>
  <si>
    <t>Soacha</t>
  </si>
  <si>
    <t xml:space="preserve">Pedro Nel Quintero </t>
  </si>
  <si>
    <t>ABS 33 - 52</t>
  </si>
  <si>
    <t>Adquisición de Equipos para Sonido en Vivo y Producción Musical para los Grupos Institucionales del programa de música</t>
  </si>
  <si>
    <t>Zipaquirá</t>
  </si>
  <si>
    <t>Darwin Díaz</t>
  </si>
  <si>
    <t>ABS 49</t>
  </si>
  <si>
    <t xml:space="preserve">Dotación de equipos y mobiliario especializados para laboratorio de electrónica de la universidad de Cundinamarca sede Fusagasugá </t>
  </si>
  <si>
    <t xml:space="preserve">Wilson Joven </t>
  </si>
  <si>
    <t xml:space="preserve">Adecuación locativa y dotación de equipos y suministros para laboratorio de hidráulica, mecánica de fluidos y recurso suelo - aire del programa de Ingeniería Ambiental de la Universidad Cundinamarca, Seccional Girardot </t>
  </si>
  <si>
    <t>Facatativá</t>
  </si>
  <si>
    <t xml:space="preserve">Vilma Moreno </t>
  </si>
  <si>
    <t xml:space="preserve">Pablo Pedreros </t>
  </si>
  <si>
    <t xml:space="preserve">ABS 50 - </t>
  </si>
  <si>
    <t xml:space="preserve">Adecuación locativa y dotación de equipos y suministros para laboratorio de hidráulica, mecánica de fluidos y recurso suelo - aire del programa de Ingeniería Ambiental de la Universidad Cundinamarca, extensión Facatativá   </t>
  </si>
  <si>
    <t>ABS 35</t>
  </si>
  <si>
    <t xml:space="preserve">Adquirir equipos básicos para un laboratorio de biotecnología genética para servicio de la facultad de Ciencias agropecuarias </t>
  </si>
  <si>
    <t xml:space="preserve">Adecuación de los laboratorios de simulación sala de cirugía y cuidados intensivos, sala de mujer y recién nacido, sala de procedimientos y sala de urgencias de la universidad de Cundinamarca seccional Girardot </t>
  </si>
  <si>
    <t>Girardot</t>
  </si>
  <si>
    <t>Maria Eulalia Buenahora</t>
  </si>
  <si>
    <t>Dotación Bibliotecas</t>
  </si>
  <si>
    <t xml:space="preserve">Suscripción a los recursos electrónicos para las bibliotecas </t>
  </si>
  <si>
    <t>sistemas de gestión para las bibliotecas de la universidad de cundinamarca en su sede, seccionales y extensiones.</t>
  </si>
  <si>
    <t>Suscripción a bases de datos multidisciplinares para los programas de oferta la universidad de cundinamarca en su sede, seccionales y extensiones</t>
  </si>
  <si>
    <t>ABS 36 - 37 - 38 - 39</t>
  </si>
  <si>
    <t>Adquisición de equipos de cómputo portátiles para la dotación de las bibliotecas de la universidad de cundinamarca en su sede, seccionales y extensiones.</t>
  </si>
  <si>
    <t>Adquirir publicaciones seriadas de revistas especializadas para todos los programas académicos de la Universidad, con el fin de mejorar la investigación científica y especializada</t>
  </si>
  <si>
    <t>Archivo documental</t>
  </si>
  <si>
    <t>Gestion documental de la universidad de cundinamarca</t>
  </si>
  <si>
    <t xml:space="preserve">Ruth Elisa Cardenas </t>
  </si>
  <si>
    <t xml:space="preserve">Ciencia, Tecnología e Innovación </t>
  </si>
  <si>
    <t xml:space="preserve">Servicios personales y/o tecnologicos para el fortalecimiento de la investigación </t>
  </si>
  <si>
    <t xml:space="preserve">José Zacarias Mayorga </t>
  </si>
  <si>
    <t xml:space="preserve">Transferencia de resultados, fortalecimiento y visibilidad a los procesos de investigación </t>
  </si>
  <si>
    <t>N/A</t>
  </si>
  <si>
    <t>Gestión de proyectos para contrapartida de convocatorias externas</t>
  </si>
  <si>
    <t>Gestion de convocatorias internas, proyectos de investigacion, planes de trabajo semilleros de investigacion y proyectos de interes institucional.</t>
  </si>
  <si>
    <t>Gestion de macroproyectos de convcatoria interna-recursos CREE</t>
  </si>
  <si>
    <t xml:space="preserve">Centros de Estudios Agroambientales </t>
  </si>
  <si>
    <t>Mejoramiento de condiciones para recertificación en buenas practicas ganaderas y acondicionamiento para certificación en buenas practicas agricolas en el CEAA La Esperanza</t>
  </si>
  <si>
    <t xml:space="preserve"> Planta de beneficio con condiciones mínimas </t>
  </si>
  <si>
    <t xml:space="preserve"> Manejo reproductivo del hato BON puro </t>
  </si>
  <si>
    <t>Estudios y diseños para la construcción de la PTAR</t>
  </si>
  <si>
    <t xml:space="preserve">Estudios y diseños para la construcción de la laboratorio de acuicultura </t>
  </si>
  <si>
    <t xml:space="preserve">Estudios y diseños para la construcción del centro de equinoterapia </t>
  </si>
  <si>
    <t>Planta física</t>
  </si>
  <si>
    <t>Consultoría y licenciamiento para actualización y ampliación del Bloque A Extensión Soacha</t>
  </si>
  <si>
    <t>Ricardo Jimenez</t>
  </si>
  <si>
    <t>Consultoría para la elaboración de los estudios tecnicos complementarios y ajustes necesarios de urbanismo y arquitectura para la porteria y zonas de acceso principal de la Universidad de Cundinamarca sede Fusagasugá y elaboración de la cartilla de espacio público y andenes para la Universidad de Cundinamarca.</t>
  </si>
  <si>
    <t>Campus Sostenible (Fase diseños) para la sede Fusagasugá</t>
  </si>
  <si>
    <t>Consultoría para la elaboración de los estudios y diseños arquitectonicos, urbanistico y tecnicos necesarios para construir la alameda en el costado norte de la Universidad de Cundinamarca e intervenciones del kiosko y su entorno inmediato</t>
  </si>
  <si>
    <t>ABS 43</t>
  </si>
  <si>
    <t>Construcción de la primera fase de la nueva sede de la extensión Zipaquirá de la Universidad de Cundinamarca.</t>
  </si>
  <si>
    <t xml:space="preserve">ABS </t>
  </si>
  <si>
    <t>Instalación de sistema de iluminación con energia fotovoltaica (paneles solares) - etapa i - para las aulas especiales de formación en el coliseo de deportes del programa de ciencias del deporte y la educación física - de la universidad de cundinamarca, extensión Soacha</t>
  </si>
  <si>
    <t>Fabio Gil</t>
  </si>
  <si>
    <t>ABS 41</t>
  </si>
  <si>
    <t xml:space="preserve"> Adecuación y dotación de mobiliario en aulas para programas de posgrados de la universidad de Cundinamarca sede Fusagasugá </t>
  </si>
  <si>
    <t>Jose Correa</t>
  </si>
  <si>
    <t xml:space="preserve"> Desarrollo Tecnológico</t>
  </si>
  <si>
    <t>Apoyo profesional especializado para la gestión de servicios de TI y el soporte externo a la plataforma institucional</t>
  </si>
  <si>
    <t>Edilson Martínez</t>
  </si>
  <si>
    <t>Licenciamiento y controles de seguridad</t>
  </si>
  <si>
    <t xml:space="preserve">Servicio de conectividad permanente y mejoramiento de la infraestructura de interconexión </t>
  </si>
  <si>
    <t>Fortalecimiento de recursos informáticos de la universidad de Cundinamarca.</t>
  </si>
  <si>
    <t>ABS 46</t>
  </si>
  <si>
    <t xml:space="preserve">Mejoramiento de la red de internet y cableado de la extensión Facatativá </t>
  </si>
  <si>
    <t>Edilson Martínez/Carlos Gomez</t>
  </si>
  <si>
    <t>Bienestar Universitario</t>
  </si>
  <si>
    <t>Bienestar Universitario constitutivo de la vida y la libertad</t>
  </si>
  <si>
    <t xml:space="preserve">Estrategias de apoyo socio económicos para la optimización de la retención estudiantil en estudiantes de pregrado </t>
  </si>
  <si>
    <t xml:space="preserve">Margarita Moya </t>
  </si>
  <si>
    <t xml:space="preserve">fomento de los habitos, estilos de vida saludables, aprovechamiento del tiempo libre y fortalecimiento de las aptitudes y actitudes de la comunidad universitaria </t>
  </si>
  <si>
    <t>Formación y Capacitación Personal Administrativo</t>
  </si>
  <si>
    <t xml:space="preserve">Luz Etelvina Soto </t>
  </si>
  <si>
    <t>Formación, Desarrollo y  Capacitación Personal Docente</t>
  </si>
  <si>
    <t>Desarrollo Administrativo</t>
  </si>
  <si>
    <t>Implementación de procesos orientados a MIPG y Regalias</t>
  </si>
  <si>
    <t xml:space="preserve">Jose Correa </t>
  </si>
  <si>
    <t xml:space="preserve">Sistemas Integrados de Gestión </t>
  </si>
  <si>
    <t xml:space="preserve">Jaime Acosta </t>
  </si>
  <si>
    <t xml:space="preserve">Proyecto universidad verde - implementación y certificación del sistema de gestión ambiental de la universidad de Cundinamarca 2020 bajo requisitos del NTC ISO 14001:2015 </t>
  </si>
  <si>
    <t xml:space="preserve">Sandra León </t>
  </si>
  <si>
    <t xml:space="preserve">Fortalecimiento Institucional </t>
  </si>
  <si>
    <t>Apertura del Doctorado en Ciencias de la Educación en convenio con RUDECOLOMBIA</t>
  </si>
  <si>
    <t xml:space="preserve">Fortalecimiento  de la imagen institución </t>
  </si>
  <si>
    <t>Internacionalización</t>
  </si>
  <si>
    <t xml:space="preserve">Dialogo Transfronterizo </t>
  </si>
  <si>
    <t>Fomento del frente estrategico: Dialogando con el mundo "Internacionalización"</t>
  </si>
  <si>
    <t xml:space="preserve">Fabian Leal </t>
  </si>
  <si>
    <t>Programa de Seguimiento a Graduados</t>
  </si>
  <si>
    <t xml:space="preserve">Fortalecimiento de las actividades de fidelización, seguimiento y promoción de los graduados </t>
  </si>
  <si>
    <t xml:space="preserve">Yency Beltran </t>
  </si>
  <si>
    <t>Proyección Social</t>
  </si>
  <si>
    <t xml:space="preserve">Proyección social </t>
  </si>
  <si>
    <t>Programa de Becas</t>
  </si>
  <si>
    <t>Programa de becas universidad de Cundinamarca</t>
  </si>
  <si>
    <t>Escuela de formación y Aprendizaje</t>
  </si>
  <si>
    <t>Escuela de Formación y aprendizaje docente EFAD S21</t>
  </si>
  <si>
    <t>Educación Virtual a Distancia</t>
  </si>
  <si>
    <t>Tecnologia Educativa</t>
  </si>
  <si>
    <t xml:space="preserve">Catalina Barragan </t>
  </si>
  <si>
    <t xml:space="preserve">Producción de contenidos educativos digitales </t>
  </si>
  <si>
    <t xml:space="preserve">El día viernes no fue radicado el absr a la Dirección Juiridica, dado a que aún están precisando algunos nombres de los Diplomados (D Auto, D postgrados y Facultades)
Así q el día de hoy el sr Rector nos acompañará en una reunión a las 4:30 para que definan dichos nombres </t>
  </si>
  <si>
    <t xml:space="preserve">Inclusión </t>
  </si>
  <si>
    <t>Acciones Afirmativas de Inclusión</t>
  </si>
  <si>
    <t xml:space="preserve">Maria Eulalia Buenahora </t>
  </si>
  <si>
    <t>Planes de Fomento de la Calidad</t>
  </si>
  <si>
    <t>Fase ii. fomento implementación del centro de investigación orlando fals borda.</t>
  </si>
  <si>
    <t>Laboratorio mapoteca ernesto guhl - segunda fase</t>
  </si>
  <si>
    <t xml:space="preserve">Misión Transcedente </t>
  </si>
  <si>
    <t>Dotación Centro de Innovación (diseño, construcción e implementación de una estrategia de incremento de la productividad de las upas de la región sabana occidente a partir de una alternativa tecnológica sostenible basada en un prototipo de sistema acuapónico automatizado)</t>
  </si>
  <si>
    <t xml:space="preserve">Jaime Parra </t>
  </si>
  <si>
    <t>Dotación del cento de forrmación e innovación del aprendizaje del profesor del siglo 21</t>
  </si>
  <si>
    <t xml:space="preserve">Victor Hugo Londoño </t>
  </si>
  <si>
    <t>Dotación del Laboratorios de Biomecánica Soacha</t>
  </si>
  <si>
    <t xml:space="preserve">Fabio Julio Gil </t>
  </si>
  <si>
    <t>PLAN OPERATIVO ANUAL DE INVERSIONES SECCIONAL GIRARDOT</t>
  </si>
  <si>
    <t>CERT</t>
  </si>
  <si>
    <t>adición a la orden contractual de obra nâ° f-oco-271 de 2019: "compra e instalación de puertas de emergencia tipo cortafuego para los laboratorios de biología y química ucundinamarca seccional girardot"</t>
  </si>
  <si>
    <t xml:space="preserve">Girardot </t>
  </si>
  <si>
    <t>compra de elementos electrónicos para la modernización y el fortalecimiento de la biblioteca de la ucundinamarca seccional Girardot</t>
  </si>
  <si>
    <t>Gestión documental seccional Girardot de la universidad de cundinamarca</t>
  </si>
  <si>
    <t>Fortalecimiento y visibilidad de la investigacion seccional girardot</t>
  </si>
  <si>
    <t>Adquisición e instalación de paneles solares de la universidad cundinamarca, seccional Girardot</t>
  </si>
  <si>
    <t>Mejoramiento de las condiciones ambientales de los espacios de aprendizaje (aulas de clase), pertenecientes a la universidad de Cundinamarca seccional Girardot</t>
  </si>
  <si>
    <t>fortalecimiento de recursos informáticos de la universidad de cundinamarca.</t>
  </si>
  <si>
    <t>PLAN OPERATIVO ANUAL DE INVERSIONES EXTENSIÓN FACATATIVÁ</t>
  </si>
  <si>
    <t>ABS</t>
  </si>
  <si>
    <t>Conservación documental de la extensión Facatativá</t>
  </si>
  <si>
    <t>Fortalecimiento y visibilidad de la investigacion extension Facatativa</t>
  </si>
  <si>
    <t>Construcción de un espacio de actividad fisica y descanso para la extension Facatativá de la universidad de cundinamarca.</t>
  </si>
  <si>
    <t>dotacion de equipos para los laboratrios de fisiologia del ejercicio de las sede fusagasuga y la extension soacha.</t>
  </si>
  <si>
    <t>Gestion documental extensión Facatativá de la universidad de cundinamarca</t>
  </si>
  <si>
    <t xml:space="preserve">Estudios y diseños para la construcción de la PTAR, lab de acuicultura y centro de equinoterapia </t>
  </si>
  <si>
    <t xml:space="preserve">Inclusión educativa </t>
  </si>
  <si>
    <t>10:00:00 a. m. del 20 de agosto de 2020</t>
  </si>
  <si>
    <t>Adquisición parcial de equipos esenciales para la modernización de laboratorios de microbiología, nutrición animal, química y biología, programa de zootecnia, seccional Ubaté.</t>
  </si>
  <si>
    <t>Suscripción de licencias de software académico para la Universidad de Cundinamarca (adquisición de equipos especializados en calidad del aire para el programa de ingeniería ambiental de la universidad cundinamarca, seccional Girardot.)</t>
  </si>
  <si>
    <t xml:space="preserve">Manejo reproductivo del hato BON puro </t>
  </si>
  <si>
    <t>Mejoramiento de la red de internet y cableado de la extensión Chía</t>
  </si>
  <si>
    <t>Planes de Fomento a la Calidad</t>
  </si>
  <si>
    <t>PLAN OPERATIVO ANUAL DE INVERSIONES</t>
  </si>
  <si>
    <t xml:space="preserve">Fondo Ciencia, Tecnologia e Innovación </t>
  </si>
  <si>
    <t xml:space="preserve">Adición Presupuestal </t>
  </si>
  <si>
    <t>Acuerdo No. 034 de 2019</t>
  </si>
  <si>
    <t xml:space="preserve">Acuerdo No. 011 de 2020 </t>
  </si>
  <si>
    <t xml:space="preserve">Recursos de Terceros </t>
  </si>
  <si>
    <t xml:space="preserve">Cofinanciación </t>
  </si>
  <si>
    <t xml:space="preserve">Propios </t>
  </si>
  <si>
    <t xml:space="preserve">Recursos del Balance Cofinancación COLCIENCIAS </t>
  </si>
  <si>
    <t xml:space="preserve">510301 - Ejecución Fondos Especiales UCundinamarca </t>
  </si>
  <si>
    <t xml:space="preserve">51030101 - Ejecución de convenios y contratos académicos </t>
  </si>
  <si>
    <t xml:space="preserve">5103010201 - Ejecución proyectos de investigación COLCIENCIAS </t>
  </si>
  <si>
    <t>5103010202 - Ejecución proyectos de investigación COLCIENCIAS vigencias futuras</t>
  </si>
  <si>
    <t>Ejecución proyectos de investigación COLCIENCIAS vigencias futuras</t>
  </si>
  <si>
    <t xml:space="preserve">Rubro </t>
  </si>
  <si>
    <t xml:space="preserve">Descripción </t>
  </si>
  <si>
    <t xml:space="preserve">Valor asignado a cada proyecto </t>
  </si>
  <si>
    <t>Seguimiento 1° Semestre</t>
  </si>
  <si>
    <t xml:space="preserve">Valor Certificado </t>
  </si>
  <si>
    <t>Valor CDP</t>
  </si>
  <si>
    <t>Valor  RP</t>
  </si>
  <si>
    <t xml:space="preserve">% Certificado a la Fecha </t>
  </si>
  <si>
    <t>% Ejecutado a la Fecha</t>
  </si>
  <si>
    <t>% Por Ejecutar</t>
  </si>
  <si>
    <t xml:space="preserve">Procesos de autoevaluación y acreditación de programas académicos </t>
  </si>
  <si>
    <t xml:space="preserve">Porcentaje de Certificación del proyecto </t>
  </si>
  <si>
    <t xml:space="preserve">Fomento de la formación y aprendizaje </t>
  </si>
  <si>
    <t xml:space="preserve">Dotación del Laboratorio de digitalización musical del programa de musica de la extensión Zipaquirá </t>
  </si>
  <si>
    <t>95, 81%</t>
  </si>
  <si>
    <t>Otro si al contrato F-CTO 205 de 2018 "adecuaciones fisicas de los laboratorios de suelos, laboratorio de nutricion animal y laboratorio de cultivo vegetal y biotecnologia de la universidad de Cundinamarca.</t>
  </si>
  <si>
    <t xml:space="preserve">Dotación de los laboratorios de citgo, reproducción y nutrición animal de la sede Fusagasugá </t>
  </si>
  <si>
    <t>Mejoramiento de los laboratorios de lenguas, matematicas, ciencias basicas y gimnasio de la sede Fusagasugá</t>
  </si>
  <si>
    <t>Proyecto modernización laboratorios Girardot</t>
  </si>
  <si>
    <t>Dotacion del Laboratorio de Quimica de la Extension Facatativa</t>
  </si>
  <si>
    <t>Dotacion del Laboratorio de Suelos  de la Extension Facatativa</t>
  </si>
  <si>
    <t>Dotacion Laboratorio de Fisiología Vegetal de la extensión Facatativa</t>
  </si>
  <si>
    <t>Lab. Especializado de nuevas tecnologias del programa de ingenieria de sistemas extension facatativa</t>
  </si>
  <si>
    <t>Dotacion del Laboratorio Fals Borda en la sede Fusagasugá</t>
  </si>
  <si>
    <t>Dotacion del Laboratorio Mapoteca en la sede Fusagasugá</t>
  </si>
  <si>
    <t>Suscripción de licencias de software academico para la Universidad de Cundinamarca</t>
  </si>
  <si>
    <t>centro de idiomas e-learning languages for life in the 21st century (languages21) de la universidad de cundinamarca fase 1.</t>
  </si>
  <si>
    <t>Dotación de elementos para los laboratorios agropecuarios de la extensión Facatativá</t>
  </si>
  <si>
    <t xml:space="preserve">Implementación de vehiculos no tripulados para promver el fortalecimiento del programa de ingenieria ambiental </t>
  </si>
  <si>
    <t>Adquisición parcial de equipos para el laboratorio de reproducción animal del programa de zootecnia de la seccional Ubaté</t>
  </si>
  <si>
    <t xml:space="preserve">Adquisión de las bases de datos de elsevier </t>
  </si>
  <si>
    <t>sistema de gestión bibliotecaria koha, acceso remoto ezproxy y dspace en la sede, seccionales y extensiones de la universidad de cundinamarca</t>
  </si>
  <si>
    <t>suscripción a los recursos electrónicos para las bibliotecas de la universidad de cundinamarca vigencia 2019</t>
  </si>
  <si>
    <t>Adquisición de equipo de reprografía para la biblioteca de la universidad de Cundinamarca, sede Fusagasugá</t>
  </si>
  <si>
    <t>Adquisicion material bibliografico</t>
  </si>
  <si>
    <t xml:space="preserve">Suscripción de publicaciones seriadas </t>
  </si>
  <si>
    <t>Mejoramiento de la accesibilidad para el ingreso de la biblioteca de Girardot</t>
  </si>
  <si>
    <t xml:space="preserve">Gestión documental de la Universidad de Cundinamarca </t>
  </si>
  <si>
    <t>Servicios Tecnologicos y/o Profesionales para el fortalecimiento de la investigación</t>
  </si>
  <si>
    <t xml:space="preserve">Convenios Interinstitucionales </t>
  </si>
  <si>
    <t>gestion de proyectos para contrapartidas de la universidad a colciencias</t>
  </si>
  <si>
    <t xml:space="preserve">Gestión de proyectos por contrapartida con COLCIENCIAS </t>
  </si>
  <si>
    <t>Gestión de macroproyectos de investigación financiados con recursos CREE</t>
  </si>
  <si>
    <t>Gestión de proyectos jovenes investigadores</t>
  </si>
  <si>
    <t>transferencia de resultados, fortalecimiento y visibilidad a los procesos de investigacion</t>
  </si>
  <si>
    <t>Convocatorias internas y/o proyectos de interes institucional</t>
  </si>
  <si>
    <t>Fomento de la Investigación en la Seccional  Girardot</t>
  </si>
  <si>
    <t>Centros de Estudios Agroambientales</t>
  </si>
  <si>
    <t>Pruebas de brucelosis bovina y tuberculosis bovina en los centros de estudios agroambientales la esperanza y el tíbar perteneciente a la universidad de Cundinamarca.</t>
  </si>
  <si>
    <t>Adquisición de semovientes para la reactivación de la producción avicola en la granja el Tibar de la Seccional Ubaté</t>
  </si>
  <si>
    <t>Renovación del sistema de pesaje de la unidad agroambiental la Esperanza de la Ucundinamarca</t>
  </si>
  <si>
    <t xml:space="preserve">Muestra de ganado blanco orejinegro </t>
  </si>
  <si>
    <t>Dotación de insumos y herramientas unidad agroambiental el Vergel extension Facatativa</t>
  </si>
  <si>
    <t>Diseños Arquitectonicos y estudios técnicos del edificio de aulas y laboratorios de la sede Fusagasugá</t>
  </si>
  <si>
    <t xml:space="preserve">Adecuación de las salas de docentes de la sede Fusagasugá </t>
  </si>
  <si>
    <t>Interventoria a los estudios y diseños tecnicos para la construcción de la nueva sede d Zipaquirá</t>
  </si>
  <si>
    <t>Segunda etapa de la biblioteca de la sede Fusagasuga</t>
  </si>
  <si>
    <t>Instalación de postes con luminarias en luces led y paneles solares para la sede Fusagasugá</t>
  </si>
  <si>
    <t xml:space="preserve">Construcción de la nueva sede la extensión Zipaquirá </t>
  </si>
  <si>
    <t>Construcción de baños en la cafeteria nororiental de la seccional Girardot - Universidad de Cundinamarca</t>
  </si>
  <si>
    <t>Adecuacion y dotacion de mobiliario en aulas del bloque e de la universidad de cundinamarca sede Fusagasugá</t>
  </si>
  <si>
    <t>Adecuación cuarto reactivos para los laboratorios de biología y química de la ucundinamarca seccional girardot</t>
  </si>
  <si>
    <t>Remodelacion de la cubierta y cielo razos bloque c-sector cafeteria, bloque d y bloque e de la universidad de cundinamarca seccional Ubaté.</t>
  </si>
  <si>
    <t>Instalación de postes con luminarias en luces led y paneles solares para la extensión Soacha</t>
  </si>
  <si>
    <t>Apoyo profesional especializado para la gestión de servicios de ti y el soporte externo a la plataforma institucional de la universidad de Cundinamarca</t>
  </si>
  <si>
    <t>Fortalecimiento de los controles de la seguridad informática y licenciamiento en la universidad de Cundinamarca</t>
  </si>
  <si>
    <t xml:space="preserve">Adquisición de equipos para el mejoramiento de los servicios de tecnologías de la información, para la sede, secionales y extensiones de la universidad </t>
  </si>
  <si>
    <t>Adquisición de computadores para los programas académicos para la extensión Facatativá</t>
  </si>
  <si>
    <t>Servicio de conectividad permanente y mejoramiento continuo de la infraestructura de interconexión (WAN, LAN y WiFi) para la Universidad de Cundinamarca</t>
  </si>
  <si>
    <t xml:space="preserve">Fortalecer e implementar una red wireless LAN que permita aumentar el servicio WiFi de la universidad de Cundinamarca, seccional Ubaté </t>
  </si>
  <si>
    <t>Compra de equipos de computo para la modernización y el fortalecimiento de espacios académicos de la Ucundinamarca seccional Girardot</t>
  </si>
  <si>
    <t xml:space="preserve">Vinculación de personal que desarrolla los objetivos propuestos por Bienestar Universitario </t>
  </si>
  <si>
    <t>Programas dirigidos al fomento de habitos y estilos de vida saludable</t>
  </si>
  <si>
    <t xml:space="preserve"> Estrategias de apoyo socio económicos a estudiantes de pregrado para la optimización de la retención estudiantil </t>
  </si>
  <si>
    <t>Formación, Desarrollo y Capacitación Personal Administrativo</t>
  </si>
  <si>
    <t>Desarrollo del Plan Institucional de Capacitación de Personal Administrativo</t>
  </si>
  <si>
    <t xml:space="preserve">Formación y desarrollo personal docente / escuela de formacion y aprendizaje docente de la universidad de cundinamarca generacion siglo 21 </t>
  </si>
  <si>
    <t>Acompañamiento en la implementación del modelo integrado de planeacion y gestion</t>
  </si>
  <si>
    <t>sistema integrado de gestión - universidad de cundinamarca</t>
  </si>
  <si>
    <t xml:space="preserve">Fortalecimiento de la imagen institucional </t>
  </si>
  <si>
    <t xml:space="preserve">socialización del campo de aprendizaje institucionales, culturales y disciplinares del programa de administración de empresas </t>
  </si>
  <si>
    <t>CONVOCATORIA DOCENTES DE PLANTA</t>
  </si>
  <si>
    <t xml:space="preserve">RUDECOLOMBIA </t>
  </si>
  <si>
    <t>I WORKSHOP UCUNDINAMARCA, Dialogando en el mundo del Software</t>
  </si>
  <si>
    <t>Movilidad Académica</t>
  </si>
  <si>
    <t>Contratación Internacional</t>
  </si>
  <si>
    <t>Fortalecimiento de la identidad del graduado de la Ucundinamarca</t>
  </si>
  <si>
    <t xml:space="preserve">Desarrollo de proyectos de proyección social universitaria </t>
  </si>
  <si>
    <t xml:space="preserve">Exoneraciones de matricula a estudiantes de la universidad de Cundinamarca </t>
  </si>
  <si>
    <t xml:space="preserve">Tecnología Educativa </t>
  </si>
  <si>
    <t>CAD</t>
  </si>
  <si>
    <t xml:space="preserve">Gestión de la Escuela de Formación Deportiva </t>
  </si>
  <si>
    <t xml:space="preserve">Contratar el estudio para el diseño de la señalización con enfoque inclusivo de la universidad de Cundinamarca </t>
  </si>
  <si>
    <t xml:space="preserve">Fuente de Financiación </t>
  </si>
  <si>
    <t xml:space="preserve">Asignación Presupuestal </t>
  </si>
  <si>
    <t xml:space="preserve">Concepto </t>
  </si>
  <si>
    <t xml:space="preserve">Apropiación </t>
  </si>
  <si>
    <t>CDP</t>
  </si>
  <si>
    <t>RP</t>
  </si>
  <si>
    <t xml:space="preserve">Contrato </t>
  </si>
  <si>
    <t>Recursos del Balance - Estampilla Pro-Universidades Estatales</t>
  </si>
  <si>
    <t>otrosí al contrato f-cto-154 de 2018, cuyo objeto es adecuaciones y reparaciones locativas para la sala de docentes en la sede fusagasugá bloque f y extensión soacha bloque c de la universidad de cundinamarca</t>
  </si>
  <si>
    <t>otrosí na° 1 a la orden contractual n! f-ops na° 065 de 2019</t>
  </si>
  <si>
    <t xml:space="preserve">prestar servicios como fisioterapeuta en programas de aprendizaje de hábitos de vida saludable y mejoramiento de la calidad de vida con énfasis en osteomuscular para la comunidad universitaria </t>
  </si>
  <si>
    <t>prestar servicios profesionales para el fortalecimiento de hábitos de vida saludable y mejoramiento de la calidad de vida en la comunidad de la universidad de cundinamarca extensión zipaquirá</t>
  </si>
  <si>
    <t>prestar servicios profesionales para el fortalecimiento de hábitos de vida saludable y mejoramiento de la calidad de vida en la comunidad de la universidad de cundinamarca extensión soacha</t>
  </si>
  <si>
    <t>prestar servicios profesionales para el fortalecimiento de hábitos de vida saludable y mejoramiento de la calidad de vida en la comunidad de la universidad de cundinamarca extensión facatativá</t>
  </si>
  <si>
    <t>prestar servicios profesionales para el fortalecimiento de hábitos de vida saludable y mejoramiento de la calidad de vida en la comunidad de la universidad de cundinamarca seccional ubaté</t>
  </si>
  <si>
    <t>prestar servicios profesionales para el cumplimiento de los 4 ejes estratégicos de bienestar universitario de la universidad de cundinamarca en la extensión soacha</t>
  </si>
  <si>
    <t xml:space="preserve">prestar servicios como instructor de fútbol sala masculino y femenino para estudiantes, docentes y administrativos de la universidad de cundinamarca sede fusagasugá y extensión soacha. </t>
  </si>
  <si>
    <t>otrosí nã¢a° 1 a la orden contractual de servicios f-ocs-050 de 2019</t>
  </si>
  <si>
    <t>prestar servicios como instructor de música de la universidad de cundinamarca extensión soacha</t>
  </si>
  <si>
    <t>prestar servicios como instructor de danzas de la universidad de cundinamarca seccional ubate</t>
  </si>
  <si>
    <t>prestar servicios como instructor de danzas de la universidad de cundinamarca extensión soacha</t>
  </si>
  <si>
    <t xml:space="preserve">contratar el servicio de hogar universitario para los estudiantes de la universidad de cundinamarca, sede fusagasugá. </t>
  </si>
  <si>
    <t>contratar el servicio de  plan complementario de alimentación para los estudiantes de la universidad de cundinamarca, extensión chía</t>
  </si>
  <si>
    <t>contratar el servicio de hogar universitario para los estudiantes de la universidad de cundinamarca, seccional ubate.</t>
  </si>
  <si>
    <t>contratar el servicio de restaurante universitario para los estudiantes de la universidad de cundinamarca, extensión zipaquira.</t>
  </si>
  <si>
    <t>contratar el servicio de restaurante universitario para los estudiantes de la universidad de cundinamarca, seccional ubate.</t>
  </si>
  <si>
    <t>contratar el servicio de  plan complementario de alimentación para los estudiantes de la universidad de cundinamarca, seccional ubate.</t>
  </si>
  <si>
    <t xml:space="preserve">contratar el servicio de plan día de alimentación para los estudiantes de la universidad de cundinamarca, extesion facatativa. </t>
  </si>
  <si>
    <t>contratar el servicio de restaurante universitario para los estudiantes de la universidad de cundinamarca, extensión soacha.</t>
  </si>
  <si>
    <t xml:space="preserve">contratar el servicio de restaurante y hogar universitario para los estudiantes de la universidad de cundinamarca, extensión facatativa. </t>
  </si>
  <si>
    <t>apoyo logístico para el desarrollo de la jornada de inducción de los estudiantes que ingresan a el ipa 2019, en la universidad de cundinamarca.</t>
  </si>
  <si>
    <t>otrosí na° 1 a la orden contractual de servicios f-ocs-007 de 2019</t>
  </si>
  <si>
    <t>FECHA DE PUBLICACIÓN: Agosto/2019</t>
  </si>
  <si>
    <t>VERSIÓN: 3</t>
  </si>
  <si>
    <t xml:space="preserve">Estampilla Prodesarrollo General </t>
  </si>
  <si>
    <t>Estampilla Prodesarrollo Girardot</t>
  </si>
  <si>
    <t>Recursos del Balance - Estampilla Prodesarrollo General</t>
  </si>
  <si>
    <t>Recursos del Balance - Estampilla Prodesarrollo Girardot</t>
  </si>
  <si>
    <t>Recursos del Balance - Estampilla Prodesarrollo Bojacá</t>
  </si>
  <si>
    <t>ADQUIRIR EQUIPOS MUSICALES ESPECIALIZADOS PARA DOTACION DEL LABORATORIO DIGITAL DEL PROGRAMA DE MUSICA DE LA UNIVERSIDAD DE CUNDINAMARCA EXTENSION ZIPAQUIRA.</t>
  </si>
  <si>
    <t>ACTUALIZACION LICENCIA DEL SOFTWARE ADOBE SUITE PARA LA UNIVERSIDAD DE CUNDINAMARCA SECCIONAL GIRARDOT</t>
  </si>
  <si>
    <t>LA UNIVERSIDAD DE CUNDINAMARCA REQUIERE ADQUIRIR MOBILIARIO PARA LOS LABORATORIOS DE SUELOS Y DE NUTRICION ANIMAL Y PARA EL CENTRO DE INNOVACION, TECNOLOGIA Y GESTION ORGANIZACIONAL CITGO DE LA UNIVERSIDAD DE CUNDINAMARCA.</t>
  </si>
  <si>
    <t>SUSCRIPCION AL RECURSO ELECTRONICO PROQUEST PARA LAS BIBLIOTECAS DE LA UNIVERSIDAD DE CUNDINAMARCA EN SU SEDE, SECCIONALES Y EXTENSIONES.</t>
  </si>
  <si>
    <t>SUSCRIPCION AL RECURSO ELECTRONICO NAXOS MUSIC LIBRARY PARA EL PROGRAMA DE MUSICA DE LA UNIVERSIDAD DE CUNDINAMARCA EN LA EXTENSION ZIPAQUIRA </t>
  </si>
  <si>
    <t>ELABORACION DE LOS INSTRUMENTOS ARCHIVISTICOS PARA LA GESTION DOCUMENTAL EN LA UNIVERSIDAD DE CUNDINAMARCA. </t>
  </si>
  <si>
    <t>SERVICIO DE LIMPIEZA, DESCONTAMINACION, FUMIGACION Y DESODORIZARIAN DE LOS DEPOSITOS DE LOS ARCHIVOS SEDE (ARCHIVO CENTRAL, ARCHIVO DE TALENTO HUMANO Y ADMISIONES).  SECCIONALES, EXTENSIONES Y OFICINA DE BOGOTA DE LA UNIVERSIDAD DE CUNDINAMARCA.</t>
  </si>
  <si>
    <t>FINANCIAR PROYECTO INTERISTITUCIONAL ENTRE LA UNIVERSIDAD DE CUNDINAMARCA Y LA UNIVERSIDAD DE LA SABANA: EFICACIA ESCOLAR EN EL SISTEMA EDUCATIVO COLOMBIANO: UN MODELO PARA IDENTIFICAR BUENAS PRACTICAS.</t>
  </si>
  <si>
    <t>PAGO MEMBRESIA A LA RED COLOMBIANA DE SEMILLEROS DE INVESTIGACION (RED COLSI) NODO BOGOTA- CUNDINAMARCA PARA LA VIGENCIA 2019.</t>
  </si>
  <si>
    <t>PRESTAR SERVICIOS PROFESIONALES COMO COORDINADOR (A) DE INVESTIGACION  EN LA UNIVERSIDAD DE CUNDINAMARCA SECCIONAL GIRARDOT, ENTRE OTRAS ACTIVIDADES DE FORTALECIMIENTO A LA INVESTIGACION</t>
  </si>
  <si>
    <t>CONVOCATORIA INTERNA PARA FINANCIAR PROYECTOS DE INVESTIGACION 2018</t>
  </si>
  <si>
    <t>FINANCIAR LA I CONVOCATORIA INTERNA PARA EL FORTALECIMIENTO DE SEMILLEROS DE INVESTIGACION 2018</t>
  </si>
  <si>
    <t>PRESTAR LOS SERVICIOS PROFESIONALES COMO INVESTIGADOR PARA DESARROLLAR Y EJECUTAR LOS PROYECTOS PRESENTADOS EN CONVOCATORIAS EXTERNAS Y EN CONVOCATORIA CONJUNTA UNAL - UDEC, A FIN DE FORTALECER E INCREMENTAR LA PRODUCTIVIDAD CIENTIFICA Y TECNOLOGICA DE LA UNIVERSIDAD DE CUNDINAMARCA.</t>
  </si>
  <si>
    <t>FINANCIAR EL PROYECTO DE INVESTIGACION DE LA FACULTAD DE SALUD: CONOCIMIENTO E IMPORTANCIA DEL CONSENTIMIENTO INFORMADO EN LA INVESTIGACION DE ESTUDIANTES DE UNA UNIVERSIDAD PUBLICA DE GIRARDOT, PERIODO 2018</t>
  </si>
  <si>
    <t>FINANCIAR PROYECTOS DE INVESTIGACION DE LA CONVOCATORIA INTERNA 2017</t>
  </si>
  <si>
    <t>FINANCIAR EL PROYECTO DE INVESTIGACION DE LA FACULDAD DE EDUCACION: APROPIACION Y RESIGNIFICION SIMBOLICA DEL TERRITORIO: UNA PROPUESTA DE INTERVENCION ARTISTICA EN EL ESPACIO PUBLICO DE GIRARDOT.</t>
  </si>
  <si>
    <t>APOYO ECONOMICO A LOS  ESTUDIANTES DEL PROGRAMA ACADEMICO LICENCIATURA EN CIENCIAS SOCIALES  QUE PARTICIPARA EN  REPRESENTACION DE LA UNIVERSIDAD DE CUNDINAMARCA COMO PONENTES EN EL SEMINARIO DE EDUACION AMBIENTAL EN LAS UNIVERSIDADES LATINOAMERICANAS, A DESARROLLARSE LOS DIAS 29 Y 30 DE ABRIL DE 2019 EN LA UNIVERSIDAD DEL TOLIMA (IBAGUE).</t>
  </si>
  <si>
    <t>PAGO INSCRIPCION DE  LOS PARTICPANTES QUE ASISTIRAN AL  XVII ENCUENTRO REGIONAL DE SEMILLEROS DE INVESTIGACION REDCOLSI-NODO BOGOTA CUNDINAMARCA EN REPRESENTACION DE LA UNIVERSIDAD DE CUNDINAMARCA.</t>
  </si>
  <si>
    <t>FINANCIAR PROYECTO DE INVESTIGACION DE INTERES INSTITUCIONAL: EXPERIENCIAS DE VIDA NINOS Y JOVENES PERTENECIENTES A COMUNIDADES INDIGENAS, MESTIZAS Y AFROAMERICANOS, DESPLAZADOS POR EL CONFLICTO ARMADO Y LA VIOLENCIA QUE HABITAN EN FUSAGASUGA. FASE 1: REVISION DOCUMENTAL E INSTITUCIONAL DE LA FACULTAD DE EDUCACION</t>
  </si>
  <si>
    <t>FINANCIAR PROYECTO DE INVESTIGACION: VALIDACION DE TECNICAS ANALITICAS (VOLUMETRICAS, ELECTRODOS SELECTIVOS Y DE ESPECTROSCOPIA VISIBLE) PARA EL ANALISIS DE AGUAS DE LA REGION DEL ALTO MAGDALENA.</t>
  </si>
  <si>
    <t>APOYO ECONOMICO A LOS DOCENTES DE CIENCIAS BASICAS DE LA EXTENSION FACATATIVA QUE PARTICIPARAN EN EL REPRESENTACION DE LA UNIVERSIDAD DE CUNDINAMARCA COMO PONENTES EN EL EVENTO DENOMINADO: VII CONGRESO INTERNACIONAL SOBRE TECNOLOGIA E INNOVACION + CIENCIA E INVESTIGACION, CITICI 2019, A DESARROLLARSE DEL 22 AL 24 DE MAYO DE 2019, EN CANCUN-MEXICO.</t>
  </si>
  <si>
    <t>APOYO ECONOMICO AL DOCENTE DEL PROGRAMA ACADEMICO TECNOLOGIA EN CARTOGRAFIA  QUE PARTICIPARA EN  REPRESENTACION DE LA UNIVERSIDAD DE CUNDINAMARCA COMO PONENTE EN EL EVENTO DENOMINADO:  IX JORNADAS DE EDUCACION EN PERCEPCION REMOTA Y SIG PARA CENTRO AMERICA Y EL CARIBE, A DESARROLLARSE DEL 27 AL 31  DE MAYO DE 2019 EN BOGOTA.</t>
  </si>
  <si>
    <t>APOYO ECONOMICO AL DOCENTE DEL PROGRAMA ACADEMICO INGENIERIA AMBIENTAL DE LA EXTENSION FACATATIVA  QUE PARTICIPARA EN  REPRESENTACION DE LA UNIVERSIDAD DE CUNDINAMARCA COMO PONENTE EN EL EVENTO DENOMINADO: 27TH INTERNATIONAL CONFERENCE ON MODELLING, MONITORING AND MANAGEMENT OF AIR POLLUTION, A DESARROLLARSE DEL 26 AL 28  DE JUNIO DE 2019 EN AVEIRO- PORTUGAL.</t>
  </si>
  <si>
    <t>PRESTAR EL SERVICIO PARA REALIZAR LA DIAGRAMACION, MAQUETACION, DISENO Y DESARROLLO DE LA PAGINA WEB DE LOS LIBROS DERIVADOS DE PROYECTOS DE INVESTIGACION DE LA UNIVERSIDAD DE CUNDINAMARCA.</t>
  </si>
  <si>
    <t>APOYO ECONOMICO A LOS DOCENTES DEL PROGRAMA LICENCIATURA EN EDUCACION BASICA CON ENFASIS EN EDUCACION FISICA, RECREACION Y DEPORTE DE LA SEDE FUSAGASUGA :OSCAR ADOLFO NINO MENDEZ Y JORGE LEONARDO RODRIGUEZ MORA, QUE PARTICIPARAN EN REPRESENTACION DE LA UNIVERSIDAD DE CUNDINAMARCA COMO PONENTES EN EL EVENTO DENOMINADO: XIII CONGRESO INTERNACIONAL SOBRE LA ENSENANZA DE LA EDUCACION FISICA Y EL DEPORTE ESCOLAR, A DESARROLLARSE DEL 20 AL 23 DE JUNIO DE 2019, EN LA UNIVERSIDAD PABLO DE OLAVIDE- SEVILLA, ESPANA.</t>
  </si>
  <si>
    <t>VINCULACION DE UN DOCENTE EN LA MODALIDAD TIEMPO COMPLETO OCASIONAL PARA EL FORTALECIMIENTO DEL PROCESO DE CIENCIA, TECNOLOGIA E INNOVACION EN LA SECCIONAL GIRARDOT.</t>
  </si>
  <si>
    <t>VINCULACION DE UN DOCENTE EN LA MODALIDAD TIEMPO COMPLETO OCASIONAL PARA EL FORTALECIMIENTO DEL PROCESO DE CIENCIA, TECNOLOGIA E INNOVACION EN LA EXTENSION CHIA.</t>
  </si>
  <si>
    <t>VINCULACION DE UN DOCENTE EN LA MODALIDAD TIEMPO COMPLETO OCASIONAL PARA EL FORTALECIMIENTO DEL PROCESO DE CIENCIA, TECNOLOGIA E INNOVACION EN LA EXTENSION FACATATIVA.</t>
  </si>
  <si>
    <t>VINCULACION DE UN DOCENTE EN LA MODALIDAD TIEMPO COMPLETO OCASIONAL PARA EL FORTALECIMIENTO DEL PROCESO DE CIENCIA, TECNOLOGIA E INNOVACION EN LA SEDE FUSAGASUGA.</t>
  </si>
  <si>
    <t>APOYO ECONOMICO AL DOCENTE DEL PROGRAMA ZOOTECNIA: JAIRO ENRIQUE GRANADOS MORENO, QUE PARTICIPARA EN REPRESENTACION DE LA UNIVERSIDAD DE CUNDINAMARCA COMO PONENTE EN EL EVENTO DENOMINADO: IUPAC 47TH WORLD CHEMISTRY CONGRESS, A REALIZARSE DEL 05 AL 12 DE JULIO DE 2019, EN PARIS, FRANCIA.</t>
  </si>
  <si>
    <t>Acuerdo No. 15</t>
  </si>
  <si>
    <t>Acuerdo No.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</si>
</sst>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4" formatCode="_-&quot;$&quot;\ * #,##0.00_-;\-&quot;$&quot;\ * #,##0.00_-;_-&quot;$&quot;\ * &quot;-&quot;??_-;_-@_-"/>
    <numFmt numFmtId="43" formatCode="_-* #,##0.00_-;\-* #,##0.00_-;_-* &quot;-&quot;??_-;_-@_-"/>
    <numFmt numFmtId="164" formatCode="_(* #,##0.00_);_(* \(#,##0.00\);_(* &quot;-&quot;??_);_(@_)"/>
    <numFmt numFmtId="165" formatCode="_(&quot;$&quot;\ * #,##0.00_);_(&quot;$&quot;\ * \(#,##0.00\);_(&quot;$&quot;\ * &quot;-&quot;??_);_(@_)"/>
    <numFmt numFmtId="166" formatCode="_-&quot;$&quot;* #,##0_-;\-&quot;$&quot;* #,##0_-;_-&quot;$&quot;* &quot;-&quot;_-;_-@_-"/>
    <numFmt numFmtId="167" formatCode="_-[$$-80A]* #,##0.00_-;\-[$$-80A]* #,##0.00_-;_-[$$-80A]* &quot;-&quot;??_-;_-@_-"/>
    <numFmt numFmtId="168" formatCode="_-[$$-80A]* #,##0_-;\-[$$-80A]* #,##0_-;_-[$$-80A]* &quot;-&quot;??_-;_-@_-"/>
    <numFmt numFmtId="169" formatCode="_-&quot;$&quot;* #,##0.00_-;\-&quot;$&quot;* #,##0.00_-;_-&quot;$&quot;* &quot;-&quot;_-;_-@_-"/>
    <numFmt numFmtId="170" formatCode="_ &quot;$&quot;\ * #,##0.00_ ;_ &quot;$&quot;\ * \-#,##0.00_ ;_ &quot;$&quot;\ * &quot;-&quot;??_ ;_ @_ "/>
    <numFmt numFmtId="171" formatCode="###,###"/>
    <numFmt numFmtId="172" formatCode="###,###,##0.00"/>
    <numFmt numFmtId="173" formatCode="d/mm/yyyy;@"/>
    <numFmt numFmtId="174" formatCode="_-* #,##0.0000_-;\-* #,##0.0000_-;_-* &quot;-&quot;_-;_-@_-"/>
  </numFmts>
  <fonts count="48" x14ac:knownFonts="1">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0"/>
      <name val="Arial"/>
      <family val="2"/>
    </font>
    <font>
      <b/>
      <sz val="8"/>
      <color theme="1"/>
      <name val="Calibri"/>
      <family val="2"/>
      <scheme val="minor"/>
    </font>
    <font>
      <sz val="8"/>
      <color theme="1"/>
      <name val="Calibri"/>
      <family val="2"/>
      <scheme val="minor"/>
    </font>
    <font>
      <sz val="10"/>
      <color theme="1"/>
      <name val="Arial"/>
      <family val="2"/>
    </font>
    <font>
      <b/>
      <sz val="9"/>
      <color theme="1"/>
      <name val="Calibri"/>
      <family val="2"/>
      <scheme val="minor"/>
    </font>
    <font>
      <sz val="9"/>
      <color rgb="FF000000"/>
      <name val="Arial"/>
      <family val="2"/>
    </font>
    <font>
      <b/>
      <sz val="8"/>
      <color rgb="FFFFFFFF"/>
      <name val="Calibri"/>
      <family val="2"/>
      <scheme val="minor"/>
    </font>
    <font>
      <b/>
      <sz val="9"/>
      <color rgb="FF292929"/>
      <name val="Arial"/>
      <family val="2"/>
    </font>
    <font>
      <sz val="9"/>
      <color theme="1"/>
      <name val="Calibri"/>
      <family val="2"/>
      <scheme val="minor"/>
    </font>
    <font>
      <b/>
      <sz val="5"/>
      <color rgb="FFFFFFFF"/>
      <name val="Calibri"/>
      <family val="2"/>
      <scheme val="minor"/>
    </font>
    <font>
      <b/>
      <sz val="5"/>
      <color theme="1"/>
      <name val="Calibri"/>
      <family val="2"/>
      <scheme val="minor"/>
    </font>
    <font>
      <b/>
      <sz val="8"/>
      <color theme="1"/>
      <name val="Arial"/>
      <family val="2"/>
    </font>
    <font>
      <sz val="5"/>
      <color theme="1"/>
      <name val="Calibri"/>
      <family val="2"/>
      <scheme val="minor"/>
    </font>
    <font>
      <b/>
      <sz val="7"/>
      <color theme="1"/>
      <name val="Calibri"/>
      <family val="2"/>
      <scheme val="minor"/>
    </font>
    <font>
      <b/>
      <sz val="7"/>
      <color theme="9" tint="-0.499984740745262"/>
      <name val="Calibri"/>
      <family val="2"/>
      <scheme val="minor"/>
    </font>
    <font>
      <sz val="7"/>
      <color theme="1"/>
      <name val="Calibri"/>
      <family val="2"/>
      <scheme val="minor"/>
    </font>
    <font>
      <b/>
      <sz val="7"/>
      <color theme="0"/>
      <name val="Calibri"/>
      <family val="2"/>
      <scheme val="minor"/>
    </font>
    <font>
      <b/>
      <sz val="28"/>
      <color rgb="FF000000"/>
      <name val="Arial"/>
      <family val="2"/>
    </font>
    <font>
      <b/>
      <sz val="8"/>
      <color theme="0"/>
      <name val="Calibri"/>
      <family val="2"/>
      <scheme val="minor"/>
    </font>
    <font>
      <b/>
      <sz val="8"/>
      <color theme="9" tint="-0.499984740745262"/>
      <name val="Calibri"/>
      <family val="2"/>
      <scheme val="minor"/>
    </font>
    <font>
      <b/>
      <sz val="11"/>
      <color theme="1"/>
      <name val="Calibri"/>
      <family val="2"/>
      <scheme val="minor"/>
    </font>
    <font>
      <b/>
      <sz val="11"/>
      <color rgb="FFFFFFFF"/>
      <name val="Arial"/>
      <family val="2"/>
    </font>
    <font>
      <b/>
      <sz val="11"/>
      <color theme="1"/>
      <name val="Arial"/>
      <family val="2"/>
    </font>
    <font>
      <b/>
      <sz val="11"/>
      <color rgb="FFFFFFFF"/>
      <name val="Calibri"/>
      <family val="2"/>
      <scheme val="minor"/>
    </font>
    <font>
      <b/>
      <sz val="11"/>
      <color theme="9" tint="-0.49998474074526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24"/>
      <color rgb="FF000000"/>
      <name val="Arial"/>
      <family val="2"/>
    </font>
    <font>
      <b/>
      <sz val="26"/>
      <color theme="1"/>
      <name val="Calibri"/>
      <family val="2"/>
      <scheme val="minor"/>
    </font>
    <font>
      <b/>
      <sz val="26"/>
      <color rgb="FF000000"/>
      <name val="Arial"/>
      <family val="2"/>
    </font>
    <font>
      <sz val="8"/>
      <color rgb="FF000000"/>
      <name val="Arial"/>
      <family val="2"/>
    </font>
    <font>
      <sz val="8"/>
      <color theme="1"/>
      <name val="Arial"/>
      <family val="2"/>
    </font>
    <font>
      <b/>
      <sz val="8"/>
      <color rgb="FFFFFFFF"/>
      <name val="Arial"/>
      <family val="2"/>
    </font>
    <font>
      <b/>
      <sz val="9"/>
      <color rgb="FF000000"/>
      <name val="Arial"/>
      <family val="2"/>
    </font>
    <font>
      <sz val="9"/>
      <color theme="1"/>
      <name val="Arial"/>
      <family val="2"/>
    </font>
    <font>
      <b/>
      <sz val="11"/>
      <color theme="0"/>
      <name val="Calibri"/>
      <family val="2"/>
      <scheme val="minor"/>
    </font>
    <font>
      <sz val="11"/>
      <color rgb="FFFF0000"/>
      <name val="Calibri"/>
      <family val="2"/>
      <scheme val="minor"/>
    </font>
    <font>
      <b/>
      <sz val="11"/>
      <color rgb="FFFF0000"/>
      <name val="Calibri"/>
      <family val="2"/>
      <scheme val="minor"/>
    </font>
    <font>
      <sz val="7"/>
      <color rgb="FF000000"/>
      <name val="Arial"/>
      <family val="2"/>
    </font>
    <font>
      <b/>
      <sz val="7"/>
      <color rgb="FF000000"/>
      <name val="Arial"/>
      <family val="2"/>
    </font>
    <font>
      <sz val="11"/>
      <color rgb="FF000000"/>
      <name val="Arial"/>
      <family val="2"/>
    </font>
    <font>
      <b/>
      <sz val="11"/>
      <color rgb="FF000000"/>
      <name val="Arial"/>
      <family val="2"/>
    </font>
  </fonts>
  <fills count="15">
    <fill>
      <patternFill patternType="none"/>
    </fill>
    <fill>
      <patternFill patternType="gray125"/>
    </fill>
    <fill>
      <patternFill patternType="solid">
        <fgColor theme="9" tint="-0.499984740745262"/>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0F3D38"/>
        <bgColor indexed="64"/>
      </patternFill>
    </fill>
    <fill>
      <patternFill patternType="solid">
        <fgColor rgb="FF006600"/>
        <bgColor indexed="64"/>
      </patternFill>
    </fill>
    <fill>
      <patternFill patternType="solid">
        <fgColor rgb="FFFFFFFF"/>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0000"/>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10">
    <xf numFmtId="0" fontId="0" fillId="0" borderId="0"/>
    <xf numFmtId="0" fontId="4" fillId="0" borderId="0"/>
    <xf numFmtId="165" fontId="3" fillId="0" borderId="0" applyFont="0" applyFill="0" applyBorder="0" applyAlignment="0" applyProtection="0"/>
    <xf numFmtId="166" fontId="3" fillId="0" borderId="0" applyFont="0" applyFill="0" applyBorder="0" applyAlignment="0" applyProtection="0"/>
    <xf numFmtId="165" fontId="7" fillId="0" borderId="0" applyFont="0" applyFill="0" applyBorder="0" applyAlignment="0" applyProtection="0"/>
    <xf numFmtId="170" fontId="4"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cellStyleXfs>
  <cellXfs count="407">
    <xf numFmtId="0" fontId="0" fillId="0" borderId="0" xfId="0"/>
    <xf numFmtId="0" fontId="0" fillId="0" borderId="0" xfId="0" applyAlignment="1">
      <alignment horizontal="right"/>
    </xf>
    <xf numFmtId="0" fontId="6" fillId="0" borderId="0" xfId="0" applyFont="1"/>
    <xf numFmtId="0" fontId="1" fillId="0" borderId="0" xfId="0" applyFont="1"/>
    <xf numFmtId="0" fontId="2" fillId="4" borderId="0" xfId="0" applyFont="1" applyFill="1"/>
    <xf numFmtId="0" fontId="5" fillId="4" borderId="0" xfId="0" applyFont="1" applyFill="1"/>
    <xf numFmtId="0" fontId="8" fillId="4" borderId="0" xfId="0" applyFont="1" applyFill="1"/>
    <xf numFmtId="0" fontId="12" fillId="0" borderId="0" xfId="0" applyFont="1" applyAlignment="1">
      <alignment wrapText="1"/>
    </xf>
    <xf numFmtId="0" fontId="11" fillId="0" borderId="0" xfId="0" applyFont="1" applyBorder="1" applyAlignment="1">
      <alignment horizontal="center" vertical="center" wrapText="1"/>
    </xf>
    <xf numFmtId="0" fontId="14" fillId="4" borderId="0" xfId="0" applyFont="1" applyFill="1"/>
    <xf numFmtId="0" fontId="14" fillId="0" borderId="0" xfId="0" applyFont="1"/>
    <xf numFmtId="168" fontId="14" fillId="0" borderId="0" xfId="0" applyNumberFormat="1" applyFont="1"/>
    <xf numFmtId="169" fontId="5" fillId="0" borderId="0" xfId="3" applyNumberFormat="1" applyFont="1" applyAlignment="1">
      <alignment wrapText="1"/>
    </xf>
    <xf numFmtId="0" fontId="16" fillId="0" borderId="0" xfId="0" applyFont="1" applyAlignment="1">
      <alignment horizontal="center"/>
    </xf>
    <xf numFmtId="169" fontId="17" fillId="4" borderId="0" xfId="0" applyNumberFormat="1" applyFont="1" applyFill="1"/>
    <xf numFmtId="0" fontId="19" fillId="4" borderId="0" xfId="0" applyFont="1" applyFill="1"/>
    <xf numFmtId="0" fontId="19" fillId="0" borderId="0" xfId="0" applyFont="1"/>
    <xf numFmtId="0" fontId="17" fillId="4" borderId="0" xfId="0" applyFont="1" applyFill="1"/>
    <xf numFmtId="165" fontId="18" fillId="0" borderId="0" xfId="0" applyNumberFormat="1" applyFont="1" applyAlignment="1">
      <alignment horizontal="center" vertical="center"/>
    </xf>
    <xf numFmtId="169" fontId="17" fillId="0" borderId="0" xfId="3" applyNumberFormat="1" applyFont="1" applyAlignment="1">
      <alignment wrapText="1"/>
    </xf>
    <xf numFmtId="0" fontId="18" fillId="0" borderId="0" xfId="0" applyFont="1"/>
    <xf numFmtId="0" fontId="18" fillId="3" borderId="0" xfId="0" applyFont="1" applyFill="1"/>
    <xf numFmtId="0" fontId="18" fillId="0" borderId="0" xfId="0" applyFont="1" applyAlignment="1">
      <alignment horizontal="right"/>
    </xf>
    <xf numFmtId="0" fontId="19" fillId="4" borderId="0" xfId="0" applyFont="1" applyFill="1" applyAlignment="1">
      <alignment horizontal="right"/>
    </xf>
    <xf numFmtId="0" fontId="19" fillId="0" borderId="0" xfId="0" applyFont="1" applyAlignment="1">
      <alignment horizontal="right"/>
    </xf>
    <xf numFmtId="0" fontId="19" fillId="3" borderId="0" xfId="0" applyFont="1" applyFill="1"/>
    <xf numFmtId="0" fontId="17" fillId="0" borderId="0" xfId="0" applyFont="1"/>
    <xf numFmtId="0" fontId="18" fillId="4" borderId="0" xfId="0" applyFont="1" applyFill="1"/>
    <xf numFmtId="0" fontId="19" fillId="0" borderId="0" xfId="0" applyFont="1" applyAlignment="1">
      <alignment horizontal="center"/>
    </xf>
    <xf numFmtId="0" fontId="19" fillId="0" borderId="0" xfId="0" applyFont="1" applyAlignment="1">
      <alignment wrapText="1"/>
    </xf>
    <xf numFmtId="168" fontId="17" fillId="0" borderId="0" xfId="0" applyNumberFormat="1" applyFont="1"/>
    <xf numFmtId="10" fontId="14" fillId="4" borderId="0" xfId="7" applyNumberFormat="1" applyFont="1" applyFill="1"/>
    <xf numFmtId="10" fontId="17" fillId="0" borderId="0" xfId="7" applyNumberFormat="1" applyFont="1"/>
    <xf numFmtId="10" fontId="14" fillId="0" borderId="0" xfId="7" applyNumberFormat="1" applyFont="1"/>
    <xf numFmtId="0" fontId="9" fillId="0" borderId="0" xfId="0" applyFont="1" applyBorder="1" applyAlignment="1">
      <alignment horizontal="center" vertical="top" wrapText="1"/>
    </xf>
    <xf numFmtId="169" fontId="5" fillId="4" borderId="0" xfId="0" applyNumberFormat="1" applyFont="1" applyFill="1"/>
    <xf numFmtId="10" fontId="5" fillId="4" borderId="0" xfId="7" applyNumberFormat="1" applyFont="1" applyFill="1"/>
    <xf numFmtId="9" fontId="22" fillId="4" borderId="0" xfId="0" applyNumberFormat="1" applyFont="1" applyFill="1"/>
    <xf numFmtId="0" fontId="23" fillId="0" borderId="0" xfId="0" applyFont="1"/>
    <xf numFmtId="0" fontId="6" fillId="4" borderId="0" xfId="0" applyFont="1" applyFill="1"/>
    <xf numFmtId="10" fontId="6" fillId="4" borderId="0" xfId="0" applyNumberFormat="1" applyFont="1" applyFill="1"/>
    <xf numFmtId="0" fontId="23" fillId="3" borderId="0" xfId="0" applyFont="1" applyFill="1"/>
    <xf numFmtId="9" fontId="6" fillId="4" borderId="0" xfId="0" applyNumberFormat="1" applyFont="1" applyFill="1"/>
    <xf numFmtId="165" fontId="6" fillId="4" borderId="0" xfId="2" applyFont="1" applyFill="1"/>
    <xf numFmtId="0" fontId="23" fillId="0" borderId="0" xfId="0" applyFont="1" applyAlignment="1">
      <alignment horizontal="right"/>
    </xf>
    <xf numFmtId="0" fontId="6" fillId="4" borderId="0" xfId="0" applyFont="1" applyFill="1" applyAlignment="1">
      <alignment horizontal="right"/>
    </xf>
    <xf numFmtId="0" fontId="6" fillId="0" borderId="0" xfId="0" applyFont="1" applyAlignment="1">
      <alignment horizontal="right"/>
    </xf>
    <xf numFmtId="10" fontId="6" fillId="0" borderId="0" xfId="0" applyNumberFormat="1" applyFont="1"/>
    <xf numFmtId="167" fontId="23" fillId="0" borderId="0" xfId="0" applyNumberFormat="1" applyFont="1"/>
    <xf numFmtId="0" fontId="6" fillId="3" borderId="0" xfId="0" applyFont="1" applyFill="1"/>
    <xf numFmtId="10" fontId="5" fillId="4" borderId="0" xfId="0" applyNumberFormat="1" applyFont="1" applyFill="1"/>
    <xf numFmtId="0" fontId="5" fillId="0" borderId="0" xfId="0" applyFont="1" applyFill="1"/>
    <xf numFmtId="10" fontId="5" fillId="0" borderId="0" xfId="0" applyNumberFormat="1" applyFont="1" applyFill="1"/>
    <xf numFmtId="0" fontId="5" fillId="0" borderId="0" xfId="0" applyFont="1"/>
    <xf numFmtId="10" fontId="5" fillId="0" borderId="0" xfId="0" applyNumberFormat="1" applyFont="1"/>
    <xf numFmtId="0" fontId="23" fillId="4" borderId="0" xfId="0" applyFont="1" applyFill="1"/>
    <xf numFmtId="10" fontId="23" fillId="4" borderId="0" xfId="0" applyNumberFormat="1" applyFont="1" applyFill="1"/>
    <xf numFmtId="0" fontId="5" fillId="0" borderId="0" xfId="0" applyFont="1" applyBorder="1"/>
    <xf numFmtId="0" fontId="6" fillId="0" borderId="0" xfId="0" applyFont="1" applyAlignment="1">
      <alignment horizontal="center"/>
    </xf>
    <xf numFmtId="0" fontId="6" fillId="0" borderId="0" xfId="0" applyFont="1" applyAlignment="1">
      <alignment wrapText="1"/>
    </xf>
    <xf numFmtId="168" fontId="5" fillId="0" borderId="0" xfId="0" applyNumberFormat="1" applyFont="1"/>
    <xf numFmtId="10" fontId="5" fillId="0" borderId="0" xfId="7" applyNumberFormat="1" applyFont="1"/>
    <xf numFmtId="0" fontId="12" fillId="4" borderId="0" xfId="0" applyFont="1" applyFill="1"/>
    <xf numFmtId="0" fontId="18" fillId="0" borderId="0" xfId="0" applyFont="1" applyFill="1"/>
    <xf numFmtId="0" fontId="19" fillId="0" borderId="0" xfId="0" applyFont="1" applyFill="1"/>
    <xf numFmtId="0" fontId="1" fillId="0" borderId="0" xfId="0" applyFont="1" applyFill="1"/>
    <xf numFmtId="0" fontId="1" fillId="0" borderId="0" xfId="0" applyFont="1" applyBorder="1"/>
    <xf numFmtId="0" fontId="18" fillId="0" borderId="0" xfId="0" applyFont="1" applyFill="1" applyAlignment="1">
      <alignment horizontal="right"/>
    </xf>
    <xf numFmtId="0" fontId="18" fillId="5" borderId="2" xfId="0" applyFont="1" applyFill="1" applyBorder="1" applyAlignment="1">
      <alignment horizontal="center" vertical="center"/>
    </xf>
    <xf numFmtId="0" fontId="18" fillId="5" borderId="2" xfId="0" applyFont="1" applyFill="1" applyBorder="1" applyAlignment="1">
      <alignment vertical="center" wrapText="1"/>
    </xf>
    <xf numFmtId="169" fontId="18" fillId="5" borderId="2" xfId="3" applyNumberFormat="1" applyFont="1" applyFill="1" applyBorder="1" applyAlignment="1">
      <alignment vertical="center" wrapText="1"/>
    </xf>
    <xf numFmtId="167" fontId="18" fillId="5" borderId="2" xfId="0" applyNumberFormat="1" applyFont="1" applyFill="1" applyBorder="1" applyAlignment="1">
      <alignment horizontal="right" vertical="center" wrapText="1"/>
    </xf>
    <xf numFmtId="0" fontId="18" fillId="0" borderId="1" xfId="0" applyFont="1" applyFill="1" applyBorder="1" applyAlignment="1">
      <alignment horizontal="left" vertical="center"/>
    </xf>
    <xf numFmtId="0" fontId="2" fillId="4" borderId="0" xfId="0" applyFont="1" applyFill="1" applyBorder="1"/>
    <xf numFmtId="0" fontId="8" fillId="4" borderId="0" xfId="0" applyFont="1" applyFill="1" applyBorder="1"/>
    <xf numFmtId="0" fontId="6" fillId="0" borderId="0" xfId="0" applyFont="1" applyBorder="1"/>
    <xf numFmtId="0" fontId="18" fillId="0" borderId="0" xfId="0" applyFont="1" applyBorder="1"/>
    <xf numFmtId="0" fontId="18" fillId="0" borderId="0" xfId="0" applyFont="1" applyFill="1" applyBorder="1" applyAlignment="1">
      <alignment horizontal="left" vertical="center"/>
    </xf>
    <xf numFmtId="0" fontId="18" fillId="0" borderId="0" xfId="0" applyFont="1" applyFill="1" applyBorder="1"/>
    <xf numFmtId="0" fontId="18" fillId="0" borderId="2" xfId="0" applyFont="1" applyFill="1" applyBorder="1" applyAlignment="1">
      <alignment horizontal="center" vertical="center"/>
    </xf>
    <xf numFmtId="167" fontId="18" fillId="0" borderId="2" xfId="0" applyNumberFormat="1" applyFont="1" applyFill="1" applyBorder="1" applyAlignment="1">
      <alignment horizontal="right" vertical="center" wrapText="1"/>
    </xf>
    <xf numFmtId="167" fontId="17" fillId="0" borderId="5" xfId="0" applyNumberFormat="1" applyFont="1" applyFill="1" applyBorder="1" applyAlignment="1">
      <alignment horizontal="right" vertical="center" wrapText="1"/>
    </xf>
    <xf numFmtId="169" fontId="18" fillId="5" borderId="2" xfId="3" applyNumberFormat="1" applyFont="1" applyFill="1" applyBorder="1" applyAlignment="1">
      <alignment horizontal="center" vertical="center" wrapText="1"/>
    </xf>
    <xf numFmtId="172" fontId="0" fillId="0" borderId="0" xfId="0" applyNumberFormat="1" applyAlignment="1">
      <alignment horizontal="right" vertical="center"/>
    </xf>
    <xf numFmtId="172" fontId="0" fillId="0" borderId="0" xfId="0" applyNumberFormat="1" applyAlignment="1">
      <alignment vertical="center"/>
    </xf>
    <xf numFmtId="167" fontId="18" fillId="5" borderId="5" xfId="0" applyNumberFormat="1" applyFont="1" applyFill="1" applyBorder="1" applyAlignment="1">
      <alignment horizontal="right" vertical="center" wrapText="1"/>
    </xf>
    <xf numFmtId="167" fontId="18" fillId="0" borderId="5" xfId="0" applyNumberFormat="1" applyFont="1" applyFill="1" applyBorder="1" applyAlignment="1">
      <alignment horizontal="right" vertical="center" wrapText="1"/>
    </xf>
    <xf numFmtId="0" fontId="21" fillId="0" borderId="0" xfId="0" applyFont="1" applyBorder="1" applyAlignment="1">
      <alignment vertical="top" wrapText="1"/>
    </xf>
    <xf numFmtId="0" fontId="15" fillId="4" borderId="0" xfId="0" applyFont="1" applyFill="1" applyBorder="1" applyAlignment="1">
      <alignment vertical="center"/>
    </xf>
    <xf numFmtId="0" fontId="15" fillId="4" borderId="0" xfId="0" applyFont="1" applyFill="1" applyBorder="1" applyAlignment="1">
      <alignment horizontal="center" vertical="center"/>
    </xf>
    <xf numFmtId="0" fontId="0" fillId="0" borderId="0" xfId="0" applyFont="1"/>
    <xf numFmtId="0" fontId="0" fillId="4" borderId="0" xfId="0" applyFont="1" applyFill="1"/>
    <xf numFmtId="0" fontId="27" fillId="8" borderId="5" xfId="0" applyFont="1" applyFill="1" applyBorder="1" applyAlignment="1">
      <alignment horizontal="center" vertical="center" wrapText="1"/>
    </xf>
    <xf numFmtId="169" fontId="0" fillId="4" borderId="0" xfId="0" applyNumberFormat="1" applyFont="1" applyFill="1"/>
    <xf numFmtId="0" fontId="0" fillId="0" borderId="0" xfId="0" applyFont="1" applyFill="1"/>
    <xf numFmtId="0" fontId="24" fillId="4" borderId="0" xfId="0" applyFont="1" applyFill="1"/>
    <xf numFmtId="0" fontId="28" fillId="0" borderId="0" xfId="0" applyFont="1"/>
    <xf numFmtId="0" fontId="24" fillId="0" borderId="0" xfId="0" applyFont="1"/>
    <xf numFmtId="44" fontId="0" fillId="0" borderId="0" xfId="0" applyNumberFormat="1" applyFont="1"/>
    <xf numFmtId="44" fontId="24" fillId="4" borderId="0" xfId="0" applyNumberFormat="1" applyFont="1" applyFill="1"/>
    <xf numFmtId="0" fontId="31" fillId="4" borderId="0" xfId="0" applyFont="1" applyFill="1"/>
    <xf numFmtId="0" fontId="32" fillId="0" borderId="0" xfId="0" applyFont="1"/>
    <xf numFmtId="169" fontId="17" fillId="4" borderId="0" xfId="0" applyNumberFormat="1" applyFont="1" applyFill="1" applyAlignment="1">
      <alignment horizontal="left"/>
    </xf>
    <xf numFmtId="0" fontId="0" fillId="4" borderId="0" xfId="0" applyFont="1" applyFill="1" applyAlignment="1">
      <alignment horizontal="left"/>
    </xf>
    <xf numFmtId="0" fontId="0" fillId="0" borderId="0" xfId="0" applyFont="1" applyAlignment="1">
      <alignment horizontal="left"/>
    </xf>
    <xf numFmtId="0" fontId="0" fillId="0" borderId="0" xfId="0" applyFont="1" applyFill="1" applyAlignment="1">
      <alignment horizontal="left"/>
    </xf>
    <xf numFmtId="0" fontId="24" fillId="4" borderId="0" xfId="0" applyFont="1" applyFill="1" applyAlignment="1">
      <alignment horizontal="left"/>
    </xf>
    <xf numFmtId="0" fontId="28" fillId="0" borderId="0" xfId="0" applyFont="1" applyAlignment="1">
      <alignment horizontal="left"/>
    </xf>
    <xf numFmtId="0" fontId="18" fillId="0" borderId="0" xfId="0" applyFont="1" applyAlignment="1">
      <alignment horizontal="left"/>
    </xf>
    <xf numFmtId="0" fontId="24" fillId="0" borderId="0" xfId="0" applyFont="1" applyAlignment="1">
      <alignment horizontal="left"/>
    </xf>
    <xf numFmtId="169" fontId="17" fillId="0" borderId="0" xfId="3" applyNumberFormat="1" applyFont="1" applyAlignment="1">
      <alignment horizontal="left" wrapText="1"/>
    </xf>
    <xf numFmtId="0" fontId="9" fillId="4" borderId="0" xfId="0" applyFont="1" applyFill="1" applyBorder="1" applyAlignment="1">
      <alignment horizontal="center" vertical="top" wrapText="1"/>
    </xf>
    <xf numFmtId="0" fontId="9" fillId="4" borderId="0" xfId="0" applyFont="1" applyFill="1" applyBorder="1" applyAlignment="1">
      <alignment horizontal="left" vertical="top" wrapText="1"/>
    </xf>
    <xf numFmtId="0" fontId="11" fillId="4" borderId="0" xfId="0" applyFont="1" applyFill="1" applyBorder="1" applyAlignment="1">
      <alignment horizontal="center" vertical="center" wrapText="1"/>
    </xf>
    <xf numFmtId="0" fontId="21" fillId="4" borderId="0" xfId="0" applyFont="1" applyFill="1" applyBorder="1" applyAlignment="1">
      <alignment vertical="top" wrapText="1"/>
    </xf>
    <xf numFmtId="0" fontId="21" fillId="4" borderId="0" xfId="0" applyFont="1" applyFill="1" applyBorder="1" applyAlignment="1">
      <alignment horizontal="left" vertical="top" wrapText="1"/>
    </xf>
    <xf numFmtId="0" fontId="34" fillId="4" borderId="0" xfId="0" applyFont="1" applyFill="1"/>
    <xf numFmtId="0" fontId="34" fillId="4" borderId="0" xfId="0" applyFont="1" applyFill="1" applyBorder="1"/>
    <xf numFmtId="41" fontId="6" fillId="0" borderId="0" xfId="8" applyFont="1"/>
    <xf numFmtId="4" fontId="23" fillId="0" borderId="0" xfId="0" applyNumberFormat="1" applyFont="1"/>
    <xf numFmtId="0" fontId="37" fillId="0" borderId="0" xfId="0" applyFont="1"/>
    <xf numFmtId="0" fontId="36" fillId="10" borderId="0" xfId="0" applyFont="1" applyFill="1" applyAlignment="1">
      <alignment horizontal="center" vertical="center"/>
    </xf>
    <xf numFmtId="0" fontId="36" fillId="10" borderId="0" xfId="0" applyFont="1" applyFill="1" applyAlignment="1">
      <alignment vertical="center"/>
    </xf>
    <xf numFmtId="0" fontId="39" fillId="7" borderId="2" xfId="0" applyFont="1" applyFill="1" applyBorder="1" applyAlignment="1">
      <alignment horizontal="center" vertical="center" wrapText="1"/>
    </xf>
    <xf numFmtId="169" fontId="0" fillId="0" borderId="0" xfId="0" applyNumberFormat="1" applyFont="1"/>
    <xf numFmtId="44" fontId="0" fillId="4" borderId="0" xfId="0" applyNumberFormat="1" applyFont="1" applyFill="1"/>
    <xf numFmtId="0" fontId="28" fillId="4" borderId="0" xfId="0" applyFont="1" applyFill="1"/>
    <xf numFmtId="44" fontId="24" fillId="0" borderId="0" xfId="0" applyNumberFormat="1" applyFont="1"/>
    <xf numFmtId="169" fontId="24" fillId="4" borderId="0" xfId="0" applyNumberFormat="1" applyFont="1" applyFill="1"/>
    <xf numFmtId="169" fontId="24" fillId="0" borderId="0" xfId="0" applyNumberFormat="1" applyFont="1"/>
    <xf numFmtId="0" fontId="30" fillId="4" borderId="0" xfId="0" applyFont="1" applyFill="1"/>
    <xf numFmtId="0" fontId="30" fillId="4" borderId="0" xfId="0" applyFont="1" applyFill="1" applyBorder="1"/>
    <xf numFmtId="0" fontId="29" fillId="4" borderId="0" xfId="0" applyFont="1" applyFill="1"/>
    <xf numFmtId="0" fontId="29" fillId="0" borderId="0" xfId="0" applyFont="1"/>
    <xf numFmtId="0" fontId="24" fillId="4" borderId="0" xfId="0" applyFont="1" applyFill="1" applyBorder="1"/>
    <xf numFmtId="18" fontId="0" fillId="0" borderId="0" xfId="0" applyNumberFormat="1"/>
    <xf numFmtId="0" fontId="0" fillId="4" borderId="0" xfId="0" applyFont="1" applyFill="1" applyAlignment="1">
      <alignment horizontal="center"/>
    </xf>
    <xf numFmtId="0" fontId="0" fillId="0" borderId="0" xfId="0" applyAlignment="1">
      <alignment horizontal="center"/>
    </xf>
    <xf numFmtId="0" fontId="0" fillId="0" borderId="0" xfId="0" applyFont="1" applyAlignment="1">
      <alignment horizontal="center"/>
    </xf>
    <xf numFmtId="0" fontId="0" fillId="0" borderId="0" xfId="0" applyFont="1" applyFill="1" applyAlignment="1">
      <alignment horizontal="center"/>
    </xf>
    <xf numFmtId="0" fontId="24" fillId="4" borderId="0" xfId="0" applyFont="1" applyFill="1" applyAlignment="1">
      <alignment horizontal="center"/>
    </xf>
    <xf numFmtId="0" fontId="28" fillId="0" borderId="0" xfId="0" applyFont="1" applyAlignment="1">
      <alignment horizontal="center"/>
    </xf>
    <xf numFmtId="0" fontId="24" fillId="0" borderId="0" xfId="0" applyFont="1" applyAlignment="1">
      <alignment horizontal="center"/>
    </xf>
    <xf numFmtId="169" fontId="17" fillId="0" borderId="0" xfId="3" applyNumberFormat="1" applyFont="1" applyAlignment="1">
      <alignment horizontal="center" wrapText="1"/>
    </xf>
    <xf numFmtId="0" fontId="24" fillId="4" borderId="0" xfId="0" applyFont="1" applyFill="1" applyAlignment="1">
      <alignment vertical="center"/>
    </xf>
    <xf numFmtId="0" fontId="0" fillId="4" borderId="0" xfId="0" applyFont="1" applyFill="1" applyAlignment="1">
      <alignment vertical="center"/>
    </xf>
    <xf numFmtId="0" fontId="0" fillId="0" borderId="0" xfId="0" applyFont="1" applyAlignment="1">
      <alignment vertical="center"/>
    </xf>
    <xf numFmtId="0" fontId="28" fillId="0" borderId="0" xfId="0" applyFont="1" applyAlignment="1">
      <alignment vertical="center"/>
    </xf>
    <xf numFmtId="0" fontId="24" fillId="0" borderId="0" xfId="0" applyFont="1" applyAlignment="1">
      <alignment vertical="center"/>
    </xf>
    <xf numFmtId="0" fontId="42" fillId="0" borderId="0" xfId="0" applyFont="1"/>
    <xf numFmtId="0" fontId="43" fillId="0" borderId="0" xfId="0" applyFont="1"/>
    <xf numFmtId="0" fontId="43" fillId="0" borderId="0" xfId="0" applyFont="1" applyAlignment="1">
      <alignment horizontal="left"/>
    </xf>
    <xf numFmtId="0" fontId="43" fillId="0" borderId="0" xfId="0" applyFont="1" applyAlignment="1">
      <alignment horizontal="center"/>
    </xf>
    <xf numFmtId="0" fontId="42" fillId="4" borderId="0" xfId="0" applyFont="1" applyFill="1"/>
    <xf numFmtId="0" fontId="42" fillId="4" borderId="0" xfId="0" applyFont="1" applyFill="1" applyAlignment="1">
      <alignment horizontal="left"/>
    </xf>
    <xf numFmtId="0" fontId="42" fillId="4" borderId="0" xfId="0" applyFont="1" applyFill="1" applyAlignment="1">
      <alignment horizontal="center"/>
    </xf>
    <xf numFmtId="18" fontId="42" fillId="0" borderId="0" xfId="0" applyNumberFormat="1" applyFont="1"/>
    <xf numFmtId="0" fontId="24" fillId="6" borderId="5" xfId="0" applyFont="1" applyFill="1" applyBorder="1" applyAlignment="1">
      <alignment horizontal="center" vertical="center" wrapText="1"/>
    </xf>
    <xf numFmtId="0" fontId="24" fillId="6" borderId="5" xfId="0" applyFont="1" applyFill="1" applyBorder="1" applyAlignment="1">
      <alignment horizontal="center" vertical="center"/>
    </xf>
    <xf numFmtId="169" fontId="17" fillId="4" borderId="0" xfId="0" applyNumberFormat="1" applyFont="1" applyFill="1" applyAlignment="1">
      <alignment horizontal="center" vertical="center"/>
    </xf>
    <xf numFmtId="0" fontId="9" fillId="4" borderId="0"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0" fillId="4" borderId="0" xfId="0" applyFont="1" applyFill="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24" fillId="4" borderId="0" xfId="0" applyFont="1" applyFill="1" applyAlignment="1">
      <alignment horizontal="center" vertical="center"/>
    </xf>
    <xf numFmtId="0" fontId="28" fillId="0" borderId="0" xfId="0" applyFont="1" applyAlignment="1">
      <alignment horizontal="center" vertical="center"/>
    </xf>
    <xf numFmtId="0" fontId="18" fillId="0" borderId="0" xfId="0" applyFont="1" applyAlignment="1">
      <alignment horizontal="center" vertical="center"/>
    </xf>
    <xf numFmtId="0" fontId="24" fillId="0" borderId="0" xfId="0" applyFont="1" applyAlignment="1">
      <alignment horizontal="center" vertical="center"/>
    </xf>
    <xf numFmtId="169" fontId="17" fillId="0" borderId="0" xfId="3" applyNumberFormat="1" applyFont="1" applyAlignment="1">
      <alignment horizontal="center" vertical="center" wrapText="1"/>
    </xf>
    <xf numFmtId="0" fontId="44" fillId="4" borderId="0" xfId="0" applyFont="1" applyFill="1" applyBorder="1" applyAlignment="1">
      <alignment horizontal="center" vertical="center" wrapText="1"/>
    </xf>
    <xf numFmtId="0" fontId="45" fillId="4" borderId="0" xfId="0" applyFont="1" applyFill="1" applyBorder="1" applyAlignment="1">
      <alignment horizontal="center" vertical="center" wrapText="1"/>
    </xf>
    <xf numFmtId="0" fontId="19" fillId="4" borderId="0" xfId="0" applyFont="1" applyFill="1" applyAlignment="1">
      <alignment horizontal="center" vertical="center"/>
    </xf>
    <xf numFmtId="0" fontId="17" fillId="4"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9" fillId="0" borderId="0" xfId="0" applyFont="1" applyBorder="1"/>
    <xf numFmtId="169" fontId="24" fillId="4" borderId="0" xfId="0" applyNumberFormat="1" applyFont="1" applyFill="1" applyAlignment="1">
      <alignment horizontal="center" vertical="center"/>
    </xf>
    <xf numFmtId="0" fontId="46" fillId="4" borderId="0" xfId="0" applyFont="1" applyFill="1" applyBorder="1" applyAlignment="1">
      <alignment horizontal="center" vertical="center" wrapText="1"/>
    </xf>
    <xf numFmtId="0" fontId="47" fillId="4" borderId="0" xfId="0" applyFont="1" applyFill="1" applyBorder="1" applyAlignment="1">
      <alignment horizontal="center" vertical="center" wrapText="1"/>
    </xf>
    <xf numFmtId="169" fontId="24" fillId="0" borderId="0" xfId="3" applyNumberFormat="1" applyFont="1" applyAlignment="1">
      <alignment horizontal="center" vertical="center" wrapText="1"/>
    </xf>
    <xf numFmtId="0" fontId="24" fillId="6" borderId="8" xfId="0" applyFont="1" applyFill="1" applyBorder="1" applyAlignment="1">
      <alignment horizontal="center" vertical="center" wrapText="1"/>
    </xf>
    <xf numFmtId="10" fontId="24" fillId="12" borderId="8" xfId="0" applyNumberFormat="1" applyFont="1" applyFill="1" applyBorder="1" applyAlignment="1">
      <alignment horizontal="center" vertical="center" wrapText="1"/>
    </xf>
    <xf numFmtId="0" fontId="17" fillId="6" borderId="8" xfId="0" applyFont="1" applyFill="1" applyBorder="1" applyAlignment="1">
      <alignment horizontal="center" vertical="center" wrapText="1"/>
    </xf>
    <xf numFmtId="0" fontId="41" fillId="8" borderId="8" xfId="0" applyFont="1" applyFill="1" applyBorder="1" applyAlignment="1">
      <alignment horizontal="center" vertical="center" wrapText="1"/>
    </xf>
    <xf numFmtId="0" fontId="24" fillId="6" borderId="8" xfId="0" applyFont="1" applyFill="1" applyBorder="1" applyAlignment="1">
      <alignment horizontal="left" vertical="center" wrapText="1"/>
    </xf>
    <xf numFmtId="0" fontId="0" fillId="4" borderId="0" xfId="0" applyFill="1"/>
    <xf numFmtId="0" fontId="18" fillId="5" borderId="8" xfId="0" applyFont="1" applyFill="1" applyBorder="1" applyAlignment="1">
      <alignment horizontal="center" vertical="center" wrapText="1"/>
    </xf>
    <xf numFmtId="0" fontId="28" fillId="5" borderId="8" xfId="0" applyFont="1" applyFill="1" applyBorder="1" applyAlignment="1">
      <alignment horizontal="center" vertical="center" wrapText="1"/>
    </xf>
    <xf numFmtId="10" fontId="24" fillId="13" borderId="8" xfId="0" applyNumberFormat="1" applyFont="1" applyFill="1" applyBorder="1" applyAlignment="1">
      <alignment horizontal="center" vertical="center" wrapText="1"/>
    </xf>
    <xf numFmtId="0" fontId="26" fillId="4" borderId="8" xfId="0" applyFont="1" applyFill="1" applyBorder="1" applyAlignment="1">
      <alignment vertical="center"/>
    </xf>
    <xf numFmtId="173" fontId="26" fillId="4" borderId="8" xfId="0" applyNumberFormat="1" applyFont="1" applyFill="1" applyBorder="1" applyAlignment="1">
      <alignment horizontal="center" vertical="center"/>
    </xf>
    <xf numFmtId="0" fontId="26" fillId="4" borderId="8" xfId="0" applyFont="1" applyFill="1" applyBorder="1" applyAlignment="1">
      <alignment horizontal="center" vertical="center"/>
    </xf>
    <xf numFmtId="2" fontId="36" fillId="0" borderId="8" xfId="0" applyNumberFormat="1" applyFont="1" applyBorder="1" applyAlignment="1">
      <alignment horizontal="right" vertical="center"/>
    </xf>
    <xf numFmtId="43" fontId="36" fillId="10" borderId="8" xfId="9" applyFont="1" applyFill="1" applyBorder="1" applyAlignment="1">
      <alignment horizontal="right" vertical="center"/>
    </xf>
    <xf numFmtId="2" fontId="36" fillId="10" borderId="8" xfId="0" applyNumberFormat="1" applyFont="1" applyFill="1" applyBorder="1" applyAlignment="1">
      <alignment horizontal="right" vertical="center"/>
    </xf>
    <xf numFmtId="43" fontId="36" fillId="0" borderId="8" xfId="9" applyFont="1" applyBorder="1" applyAlignment="1">
      <alignment horizontal="right" vertical="center"/>
    </xf>
    <xf numFmtId="4" fontId="36" fillId="10" borderId="8" xfId="0" applyNumberFormat="1" applyFont="1" applyFill="1" applyBorder="1" applyAlignment="1">
      <alignment horizontal="right" vertical="center"/>
    </xf>
    <xf numFmtId="3" fontId="36" fillId="0" borderId="8" xfId="0" applyNumberFormat="1" applyFont="1" applyBorder="1" applyAlignment="1">
      <alignment horizontal="right" vertical="center"/>
    </xf>
    <xf numFmtId="174" fontId="22" fillId="9" borderId="8" xfId="8" applyNumberFormat="1" applyFont="1" applyFill="1" applyBorder="1" applyAlignment="1">
      <alignment horizontal="right" vertical="center"/>
    </xf>
    <xf numFmtId="0" fontId="27" fillId="8" borderId="8" xfId="0" applyFont="1" applyFill="1" applyBorder="1" applyAlignment="1">
      <alignment horizontal="center" vertical="center" wrapText="1"/>
    </xf>
    <xf numFmtId="0" fontId="28" fillId="5" borderId="8" xfId="0" applyFont="1" applyFill="1" applyBorder="1" applyAlignment="1">
      <alignment horizontal="center" vertical="center"/>
    </xf>
    <xf numFmtId="0" fontId="28" fillId="5" borderId="8" xfId="0" applyFont="1" applyFill="1" applyBorder="1" applyAlignment="1">
      <alignment horizontal="left" vertical="center" wrapText="1"/>
    </xf>
    <xf numFmtId="10" fontId="28" fillId="5" borderId="8" xfId="0" applyNumberFormat="1" applyFont="1" applyFill="1" applyBorder="1" applyAlignment="1">
      <alignment horizontal="center" vertical="center" wrapText="1"/>
    </xf>
    <xf numFmtId="0" fontId="24" fillId="6" borderId="8" xfId="0" applyFont="1" applyFill="1" applyBorder="1" applyAlignment="1">
      <alignment horizontal="center" vertical="center"/>
    </xf>
    <xf numFmtId="169" fontId="28" fillId="5" borderId="8" xfId="3" applyNumberFormat="1" applyFont="1" applyFill="1" applyBorder="1" applyAlignment="1">
      <alignment vertical="center" wrapText="1"/>
    </xf>
    <xf numFmtId="169" fontId="24" fillId="6" borderId="8" xfId="3" applyNumberFormat="1" applyFont="1" applyFill="1" applyBorder="1" applyAlignment="1">
      <alignment vertical="center" wrapText="1"/>
    </xf>
    <xf numFmtId="9" fontId="24" fillId="13" borderId="8" xfId="0" applyNumberFormat="1" applyFont="1" applyFill="1" applyBorder="1" applyAlignment="1">
      <alignment horizontal="center" vertical="center" wrapText="1"/>
    </xf>
    <xf numFmtId="0" fontId="24" fillId="11" borderId="8" xfId="0" applyFont="1" applyFill="1" applyBorder="1" applyAlignment="1">
      <alignment horizontal="center" vertical="center"/>
    </xf>
    <xf numFmtId="9" fontId="24" fillId="14" borderId="8" xfId="0" applyNumberFormat="1" applyFont="1" applyFill="1" applyBorder="1" applyAlignment="1">
      <alignment horizontal="center" vertical="center" wrapText="1"/>
    </xf>
    <xf numFmtId="0" fontId="17" fillId="5" borderId="8" xfId="0" applyFont="1" applyFill="1" applyBorder="1" applyAlignment="1">
      <alignment horizontal="center" vertical="center" wrapText="1"/>
    </xf>
    <xf numFmtId="10" fontId="24" fillId="14" borderId="8" xfId="0" applyNumberFormat="1" applyFont="1" applyFill="1" applyBorder="1" applyAlignment="1">
      <alignment horizontal="center" vertical="center" wrapText="1"/>
    </xf>
    <xf numFmtId="9" fontId="28" fillId="5" borderId="8" xfId="0" applyNumberFormat="1" applyFont="1" applyFill="1" applyBorder="1" applyAlignment="1">
      <alignment horizontal="center" vertical="center" wrapText="1"/>
    </xf>
    <xf numFmtId="0" fontId="24" fillId="7" borderId="8" xfId="0" applyFont="1" applyFill="1" applyBorder="1" applyAlignment="1">
      <alignment horizontal="left" vertical="center" wrapText="1"/>
    </xf>
    <xf numFmtId="0" fontId="24" fillId="7" borderId="8" xfId="0" applyFont="1" applyFill="1" applyBorder="1" applyAlignment="1">
      <alignment horizontal="center" vertical="center" wrapText="1"/>
    </xf>
    <xf numFmtId="0" fontId="17" fillId="7" borderId="8" xfId="0" applyFont="1" applyFill="1" applyBorder="1" applyAlignment="1">
      <alignment horizontal="center" vertical="center" wrapText="1"/>
    </xf>
    <xf numFmtId="9" fontId="24" fillId="6" borderId="8" xfId="0" applyNumberFormat="1" applyFont="1" applyFill="1" applyBorder="1" applyAlignment="1">
      <alignment horizontal="center" vertical="center" wrapText="1"/>
    </xf>
    <xf numFmtId="169" fontId="28" fillId="5" borderId="8" xfId="3" applyNumberFormat="1" applyFont="1" applyFill="1" applyBorder="1" applyAlignment="1">
      <alignment horizontal="left" vertical="center" wrapText="1"/>
    </xf>
    <xf numFmtId="167" fontId="28" fillId="5" borderId="8" xfId="0" applyNumberFormat="1" applyFont="1" applyFill="1" applyBorder="1" applyAlignment="1">
      <alignment horizontal="right" vertical="center"/>
    </xf>
    <xf numFmtId="0" fontId="24" fillId="6" borderId="8" xfId="0" applyFont="1" applyFill="1" applyBorder="1" applyAlignment="1">
      <alignment horizontal="left" vertical="center"/>
    </xf>
    <xf numFmtId="10" fontId="24" fillId="13" borderId="8" xfId="7" applyNumberFormat="1" applyFont="1" applyFill="1" applyBorder="1" applyAlignment="1">
      <alignment horizontal="center" vertical="center"/>
    </xf>
    <xf numFmtId="3" fontId="24" fillId="6" borderId="8" xfId="0" applyNumberFormat="1" applyFont="1" applyFill="1" applyBorder="1" applyAlignment="1">
      <alignment horizontal="left" vertical="center" wrapText="1"/>
    </xf>
    <xf numFmtId="10" fontId="24" fillId="14" borderId="8" xfId="0" applyNumberFormat="1" applyFont="1" applyFill="1" applyBorder="1" applyAlignment="1">
      <alignment horizontal="center" vertical="center"/>
    </xf>
    <xf numFmtId="10" fontId="24" fillId="13" borderId="8" xfId="0" applyNumberFormat="1" applyFont="1" applyFill="1" applyBorder="1" applyAlignment="1">
      <alignment horizontal="center" vertical="center"/>
    </xf>
    <xf numFmtId="0" fontId="28" fillId="5" borderId="8" xfId="0" applyFont="1" applyFill="1" applyBorder="1" applyAlignment="1">
      <alignment vertical="center" wrapText="1"/>
    </xf>
    <xf numFmtId="0" fontId="24" fillId="6" borderId="8" xfId="0" applyFont="1" applyFill="1" applyBorder="1" applyAlignment="1">
      <alignment vertical="center" wrapText="1"/>
    </xf>
    <xf numFmtId="0" fontId="24" fillId="7" borderId="8" xfId="0" applyFont="1" applyFill="1" applyBorder="1" applyAlignment="1">
      <alignment vertical="center" wrapText="1"/>
    </xf>
    <xf numFmtId="0" fontId="43" fillId="5" borderId="8" xfId="0" applyFont="1" applyFill="1" applyBorder="1" applyAlignment="1">
      <alignment horizontal="center" vertical="center"/>
    </xf>
    <xf numFmtId="0" fontId="43" fillId="5" borderId="8" xfId="0" applyFont="1" applyFill="1" applyBorder="1" applyAlignment="1">
      <alignment horizontal="left" vertical="center" wrapText="1"/>
    </xf>
    <xf numFmtId="18" fontId="43" fillId="5" borderId="8" xfId="0" applyNumberFormat="1" applyFont="1" applyFill="1" applyBorder="1" applyAlignment="1">
      <alignment horizontal="center" vertical="center" wrapText="1"/>
    </xf>
    <xf numFmtId="0" fontId="43" fillId="6" borderId="8" xfId="0" applyFont="1" applyFill="1" applyBorder="1" applyAlignment="1">
      <alignment horizontal="center" vertical="center"/>
    </xf>
    <xf numFmtId="0" fontId="43" fillId="6" borderId="8" xfId="0" applyFont="1" applyFill="1" applyBorder="1" applyAlignment="1">
      <alignment horizontal="left" vertical="center" wrapText="1"/>
    </xf>
    <xf numFmtId="0" fontId="43" fillId="6" borderId="8" xfId="0" applyFont="1" applyFill="1" applyBorder="1" applyAlignment="1">
      <alignment horizontal="center" vertical="center" wrapText="1"/>
    </xf>
    <xf numFmtId="0" fontId="43" fillId="5" borderId="8" xfId="0" applyFont="1" applyFill="1" applyBorder="1" applyAlignment="1">
      <alignment horizontal="center" vertical="center" wrapText="1"/>
    </xf>
    <xf numFmtId="0" fontId="43" fillId="6" borderId="8" xfId="0" applyFont="1" applyFill="1" applyBorder="1" applyAlignment="1">
      <alignment horizontal="left" vertical="center"/>
    </xf>
    <xf numFmtId="18" fontId="28" fillId="5" borderId="8" xfId="0" applyNumberFormat="1" applyFont="1" applyFill="1" applyBorder="1" applyAlignment="1">
      <alignment horizontal="center" vertical="center" wrapText="1"/>
    </xf>
    <xf numFmtId="0" fontId="43" fillId="5" borderId="8" xfId="0" applyFont="1" applyFill="1" applyBorder="1" applyAlignment="1">
      <alignment vertical="center" wrapText="1"/>
    </xf>
    <xf numFmtId="0" fontId="43" fillId="6" borderId="8" xfId="0" applyFont="1" applyFill="1" applyBorder="1" applyAlignment="1">
      <alignment vertical="center" wrapText="1"/>
    </xf>
    <xf numFmtId="0" fontId="43" fillId="7" borderId="8" xfId="0" applyFont="1" applyFill="1" applyBorder="1" applyAlignment="1">
      <alignment horizontal="left" vertical="center" wrapText="1"/>
    </xf>
    <xf numFmtId="0" fontId="43" fillId="7" borderId="8" xfId="0" applyFont="1" applyFill="1" applyBorder="1" applyAlignment="1">
      <alignment vertical="center" wrapText="1"/>
    </xf>
    <xf numFmtId="168" fontId="10" fillId="8" borderId="8" xfId="0" applyNumberFormat="1" applyFont="1" applyFill="1" applyBorder="1" applyAlignment="1">
      <alignment horizontal="center" vertical="center" wrapText="1"/>
    </xf>
    <xf numFmtId="0" fontId="23" fillId="5" borderId="8" xfId="0" applyFont="1" applyFill="1" applyBorder="1" applyAlignment="1">
      <alignment horizontal="center" vertical="center"/>
    </xf>
    <xf numFmtId="0" fontId="23" fillId="5" borderId="8" xfId="0" applyFont="1" applyFill="1" applyBorder="1" applyAlignment="1">
      <alignment vertical="center" wrapText="1"/>
    </xf>
    <xf numFmtId="169" fontId="23" fillId="5" borderId="8" xfId="3" applyNumberFormat="1" applyFont="1" applyFill="1" applyBorder="1" applyAlignment="1">
      <alignment horizontal="center" vertical="center" wrapText="1"/>
    </xf>
    <xf numFmtId="167" fontId="23" fillId="5" borderId="8" xfId="0" applyNumberFormat="1" applyFont="1" applyFill="1" applyBorder="1" applyAlignment="1">
      <alignment horizontal="right" vertical="center" wrapText="1"/>
    </xf>
    <xf numFmtId="10" fontId="23" fillId="5" borderId="8" xfId="7" applyNumberFormat="1" applyFont="1" applyFill="1" applyBorder="1" applyAlignment="1">
      <alignment horizontal="right" vertical="center" wrapText="1"/>
    </xf>
    <xf numFmtId="0" fontId="5" fillId="6" borderId="8" xfId="0" applyFont="1" applyFill="1" applyBorder="1" applyAlignment="1">
      <alignment vertical="center" wrapText="1"/>
    </xf>
    <xf numFmtId="169" fontId="5" fillId="6" borderId="8" xfId="3" applyNumberFormat="1" applyFont="1" applyFill="1" applyBorder="1" applyAlignment="1">
      <alignment vertical="center" wrapText="1"/>
    </xf>
    <xf numFmtId="169" fontId="5" fillId="5" borderId="8" xfId="3" applyNumberFormat="1" applyFont="1" applyFill="1" applyBorder="1" applyAlignment="1">
      <alignment horizontal="center" vertical="center" wrapText="1"/>
    </xf>
    <xf numFmtId="10" fontId="5" fillId="5" borderId="8" xfId="7" applyNumberFormat="1" applyFont="1" applyFill="1" applyBorder="1" applyAlignment="1">
      <alignment horizontal="right" vertical="center" wrapText="1"/>
    </xf>
    <xf numFmtId="167" fontId="22" fillId="0" borderId="8" xfId="0" applyNumberFormat="1" applyFont="1" applyFill="1" applyBorder="1" applyAlignment="1">
      <alignment horizontal="right" vertical="center" wrapText="1"/>
    </xf>
    <xf numFmtId="169" fontId="23" fillId="5" borderId="8" xfId="3" applyNumberFormat="1" applyFont="1" applyFill="1" applyBorder="1" applyAlignment="1">
      <alignment vertical="center" wrapText="1"/>
    </xf>
    <xf numFmtId="0" fontId="5" fillId="7" borderId="8" xfId="0" applyFont="1" applyFill="1" applyBorder="1" applyAlignment="1">
      <alignment vertical="center" wrapText="1"/>
    </xf>
    <xf numFmtId="169" fontId="5" fillId="7" borderId="8" xfId="3" applyNumberFormat="1" applyFont="1" applyFill="1" applyBorder="1" applyAlignment="1">
      <alignment vertical="center" wrapText="1"/>
    </xf>
    <xf numFmtId="0" fontId="5" fillId="6" borderId="8" xfId="0" applyFont="1" applyFill="1" applyBorder="1" applyAlignment="1">
      <alignment horizontal="left" vertical="center" wrapText="1"/>
    </xf>
    <xf numFmtId="169" fontId="5" fillId="6" borderId="8" xfId="3" applyNumberFormat="1" applyFont="1" applyFill="1" applyBorder="1" applyAlignment="1">
      <alignment horizontal="left" vertical="center" wrapText="1"/>
    </xf>
    <xf numFmtId="167" fontId="5" fillId="6" borderId="8" xfId="0" applyNumberFormat="1" applyFont="1" applyFill="1" applyBorder="1" applyAlignment="1">
      <alignment horizontal="right" vertical="center"/>
    </xf>
    <xf numFmtId="0" fontId="23" fillId="5" borderId="8" xfId="0" applyFont="1" applyFill="1" applyBorder="1" applyAlignment="1">
      <alignment horizontal="left" vertical="center" wrapText="1"/>
    </xf>
    <xf numFmtId="169" fontId="23" fillId="5" borderId="8" xfId="3" applyNumberFormat="1" applyFont="1" applyFill="1" applyBorder="1" applyAlignment="1">
      <alignment horizontal="left" vertical="center" wrapText="1"/>
    </xf>
    <xf numFmtId="0" fontId="8" fillId="4" borderId="8" xfId="0" applyFont="1" applyFill="1" applyBorder="1" applyAlignment="1">
      <alignment horizontal="center" vertical="center" wrapText="1"/>
    </xf>
    <xf numFmtId="169" fontId="12" fillId="4" borderId="8" xfId="3" applyNumberFormat="1" applyFont="1" applyFill="1" applyBorder="1" applyAlignment="1">
      <alignment horizontal="center" vertical="center" wrapText="1"/>
    </xf>
    <xf numFmtId="0" fontId="12" fillId="4" borderId="8" xfId="0" applyFont="1" applyFill="1" applyBorder="1" applyAlignment="1">
      <alignment vertical="center" wrapText="1"/>
    </xf>
    <xf numFmtId="167" fontId="12" fillId="4" borderId="8" xfId="0" applyNumberFormat="1" applyFont="1" applyFill="1" applyBorder="1" applyAlignment="1">
      <alignment horizontal="right" vertical="center" wrapText="1"/>
    </xf>
    <xf numFmtId="169" fontId="12" fillId="4" borderId="8" xfId="3" applyNumberFormat="1" applyFont="1" applyFill="1" applyBorder="1" applyAlignment="1">
      <alignment vertical="center" wrapText="1"/>
    </xf>
    <xf numFmtId="0" fontId="12" fillId="4" borderId="8" xfId="0" applyFont="1" applyFill="1" applyBorder="1"/>
    <xf numFmtId="10" fontId="12" fillId="4" borderId="8" xfId="7" applyNumberFormat="1" applyFont="1" applyFill="1" applyBorder="1" applyAlignment="1">
      <alignment horizontal="right" vertical="center" wrapText="1"/>
    </xf>
    <xf numFmtId="169" fontId="24" fillId="6" borderId="8" xfId="0" applyNumberFormat="1" applyFont="1" applyFill="1" applyBorder="1" applyAlignment="1">
      <alignment horizontal="left" vertical="center" wrapText="1"/>
    </xf>
    <xf numFmtId="44" fontId="24" fillId="6" borderId="8" xfId="0" applyNumberFormat="1" applyFont="1" applyFill="1" applyBorder="1" applyAlignment="1">
      <alignment horizontal="left" vertical="center" wrapText="1"/>
    </xf>
    <xf numFmtId="43" fontId="24" fillId="6" borderId="8" xfId="9" applyFont="1" applyFill="1" applyBorder="1" applyAlignment="1">
      <alignment horizontal="left" vertical="center" wrapText="1"/>
    </xf>
    <xf numFmtId="43" fontId="1" fillId="0" borderId="0" xfId="9" applyFont="1"/>
    <xf numFmtId="169" fontId="24" fillId="11" borderId="8" xfId="3" applyNumberFormat="1" applyFont="1" applyFill="1" applyBorder="1" applyAlignment="1">
      <alignment vertical="center" wrapText="1"/>
    </xf>
    <xf numFmtId="0" fontId="25" fillId="9" borderId="11" xfId="0" applyFont="1" applyFill="1" applyBorder="1" applyAlignment="1">
      <alignment vertical="center"/>
    </xf>
    <xf numFmtId="0" fontId="38" fillId="9" borderId="10" xfId="0" applyFont="1" applyFill="1" applyBorder="1" applyAlignment="1">
      <alignment vertical="center"/>
    </xf>
    <xf numFmtId="0" fontId="38" fillId="9" borderId="11" xfId="0" applyFont="1" applyFill="1" applyBorder="1" applyAlignment="1">
      <alignment vertical="center"/>
    </xf>
    <xf numFmtId="0" fontId="39" fillId="7" borderId="13" xfId="0" applyFont="1" applyFill="1" applyBorder="1" applyAlignment="1">
      <alignment horizontal="center" vertical="center" wrapText="1"/>
    </xf>
    <xf numFmtId="0" fontId="24" fillId="13" borderId="8" xfId="0" applyFont="1" applyFill="1" applyBorder="1" applyAlignment="1">
      <alignment horizontal="left" vertical="center" wrapText="1"/>
    </xf>
    <xf numFmtId="43" fontId="0" fillId="0" borderId="0" xfId="9" applyFont="1"/>
    <xf numFmtId="0" fontId="39" fillId="7" borderId="7" xfId="0" applyFont="1" applyFill="1" applyBorder="1" applyAlignment="1">
      <alignment horizontal="center" vertical="center"/>
    </xf>
    <xf numFmtId="0" fontId="39" fillId="7" borderId="5" xfId="0" applyFont="1" applyFill="1" applyBorder="1" applyAlignment="1">
      <alignment horizontal="center" vertical="center" wrapText="1"/>
    </xf>
    <xf numFmtId="0" fontId="39" fillId="7" borderId="8" xfId="0" applyFont="1" applyFill="1" applyBorder="1" applyAlignment="1">
      <alignment horizontal="center" vertical="center" wrapText="1"/>
    </xf>
    <xf numFmtId="0" fontId="39" fillId="7" borderId="7" xfId="0" applyFont="1" applyFill="1" applyBorder="1" applyAlignment="1">
      <alignment horizontal="center" vertical="center" wrapText="1"/>
    </xf>
    <xf numFmtId="0" fontId="12" fillId="4" borderId="8" xfId="0" applyFont="1" applyFill="1" applyBorder="1" applyAlignment="1">
      <alignment horizontal="center" vertical="center"/>
    </xf>
    <xf numFmtId="0" fontId="12" fillId="4" borderId="8" xfId="0" applyFont="1" applyFill="1" applyBorder="1" applyAlignment="1">
      <alignment horizontal="center" vertical="center" wrapText="1"/>
    </xf>
    <xf numFmtId="10" fontId="12" fillId="4" borderId="8" xfId="7" applyNumberFormat="1" applyFont="1" applyFill="1" applyBorder="1" applyAlignment="1">
      <alignment horizontal="center" vertical="center" wrapText="1"/>
    </xf>
    <xf numFmtId="0" fontId="26" fillId="4" borderId="12" xfId="0" applyFont="1" applyFill="1" applyBorder="1" applyAlignment="1">
      <alignment vertical="center"/>
    </xf>
    <xf numFmtId="0" fontId="25" fillId="9" borderId="12" xfId="0" applyFont="1" applyFill="1" applyBorder="1" applyAlignment="1">
      <alignment vertical="center"/>
    </xf>
    <xf numFmtId="0" fontId="25" fillId="9" borderId="13" xfId="0" applyFont="1" applyFill="1" applyBorder="1" applyAlignment="1">
      <alignment vertical="center"/>
    </xf>
    <xf numFmtId="0" fontId="9" fillId="0" borderId="12" xfId="0" applyFont="1" applyBorder="1" applyAlignment="1">
      <alignment vertical="center" wrapText="1"/>
    </xf>
    <xf numFmtId="0" fontId="38" fillId="9" borderId="12" xfId="0" applyFont="1" applyFill="1" applyBorder="1" applyAlignment="1">
      <alignment vertical="center"/>
    </xf>
    <xf numFmtId="0" fontId="38" fillId="9" borderId="13" xfId="0" applyFont="1" applyFill="1" applyBorder="1" applyAlignment="1">
      <alignment vertical="center"/>
    </xf>
    <xf numFmtId="0" fontId="39" fillId="7" borderId="13" xfId="0" applyFont="1" applyFill="1" applyBorder="1" applyAlignment="1">
      <alignment horizontal="center" vertical="center"/>
    </xf>
    <xf numFmtId="0" fontId="40" fillId="0" borderId="12" xfId="0" applyFont="1" applyBorder="1" applyAlignment="1">
      <alignment vertical="center" wrapText="1"/>
    </xf>
    <xf numFmtId="0" fontId="38" fillId="9" borderId="14" xfId="0" applyFont="1" applyFill="1" applyBorder="1" applyAlignment="1">
      <alignment vertical="center"/>
    </xf>
    <xf numFmtId="0" fontId="38" fillId="9" borderId="12" xfId="0" applyFont="1" applyFill="1" applyBorder="1" applyAlignment="1">
      <alignment horizontal="center" vertical="center" wrapText="1"/>
    </xf>
    <xf numFmtId="169" fontId="28" fillId="5" borderId="12" xfId="3" applyNumberFormat="1" applyFont="1" applyFill="1" applyBorder="1" applyAlignment="1">
      <alignment horizontal="center" vertical="center" wrapText="1"/>
    </xf>
    <xf numFmtId="169" fontId="24" fillId="6" borderId="12" xfId="3" applyNumberFormat="1" applyFont="1" applyFill="1" applyBorder="1" applyAlignment="1">
      <alignment vertical="center" wrapText="1"/>
    </xf>
    <xf numFmtId="0" fontId="24" fillId="6" borderId="12" xfId="0" applyFont="1" applyFill="1" applyBorder="1" applyAlignment="1">
      <alignment horizontal="center" vertical="center" wrapText="1"/>
    </xf>
    <xf numFmtId="0" fontId="28" fillId="5" borderId="9" xfId="0" applyFont="1" applyFill="1" applyBorder="1" applyAlignment="1">
      <alignment horizontal="center" vertical="center"/>
    </xf>
    <xf numFmtId="0" fontId="28" fillId="5" borderId="9" xfId="0" applyFont="1" applyFill="1" applyBorder="1" applyAlignment="1">
      <alignment horizontal="left" vertical="center" wrapText="1"/>
    </xf>
    <xf numFmtId="0" fontId="28" fillId="5" borderId="9" xfId="0" applyFont="1" applyFill="1" applyBorder="1" applyAlignment="1">
      <alignment horizontal="center" vertical="center" wrapText="1"/>
    </xf>
    <xf numFmtId="0" fontId="27" fillId="8" borderId="9" xfId="0" applyFont="1" applyFill="1" applyBorder="1" applyAlignment="1">
      <alignment horizontal="center" vertical="center" wrapText="1"/>
    </xf>
    <xf numFmtId="169" fontId="28" fillId="5" borderId="9" xfId="3" applyNumberFormat="1" applyFont="1" applyFill="1" applyBorder="1" applyAlignment="1">
      <alignment vertical="center" wrapText="1"/>
    </xf>
    <xf numFmtId="0" fontId="24" fillId="6" borderId="9" xfId="0" applyFont="1" applyFill="1" applyBorder="1" applyAlignment="1">
      <alignment horizontal="center" vertical="center"/>
    </xf>
    <xf numFmtId="0" fontId="24" fillId="7" borderId="9" xfId="0" applyFont="1" applyFill="1" applyBorder="1" applyAlignment="1">
      <alignment horizontal="left" vertical="center" wrapText="1"/>
    </xf>
    <xf numFmtId="169" fontId="24" fillId="6" borderId="9" xfId="3" applyNumberFormat="1" applyFont="1" applyFill="1" applyBorder="1" applyAlignment="1">
      <alignment vertical="center" wrapText="1"/>
    </xf>
    <xf numFmtId="0" fontId="43" fillId="6" borderId="9" xfId="0" applyFont="1" applyFill="1" applyBorder="1" applyAlignment="1">
      <alignment horizontal="center" vertical="center"/>
    </xf>
    <xf numFmtId="0" fontId="43" fillId="7" borderId="9" xfId="0" applyFont="1" applyFill="1" applyBorder="1" applyAlignment="1">
      <alignment horizontal="left" vertical="center" wrapText="1"/>
    </xf>
    <xf numFmtId="0" fontId="43" fillId="5" borderId="9" xfId="0" applyFont="1" applyFill="1" applyBorder="1" applyAlignment="1">
      <alignment horizontal="center" vertical="center"/>
    </xf>
    <xf numFmtId="0" fontId="43" fillId="5" borderId="9" xfId="0" applyFont="1" applyFill="1" applyBorder="1" applyAlignment="1">
      <alignment horizontal="left" vertical="center" wrapText="1"/>
    </xf>
    <xf numFmtId="167" fontId="23" fillId="5" borderId="13" xfId="0" applyNumberFormat="1" applyFont="1" applyFill="1" applyBorder="1" applyAlignment="1">
      <alignment horizontal="right" vertical="center" wrapText="1"/>
    </xf>
    <xf numFmtId="171" fontId="0" fillId="0" borderId="15" xfId="0" applyNumberFormat="1" applyFill="1" applyBorder="1" applyAlignment="1">
      <alignment horizontal="center" vertical="center" wrapText="1"/>
    </xf>
    <xf numFmtId="0" fontId="18" fillId="0" borderId="16" xfId="0" applyFont="1" applyFill="1" applyBorder="1"/>
    <xf numFmtId="167" fontId="12" fillId="0" borderId="16" xfId="0" applyNumberFormat="1" applyFont="1" applyFill="1" applyBorder="1" applyAlignment="1">
      <alignment horizontal="right" vertical="center" wrapText="1"/>
    </xf>
    <xf numFmtId="0" fontId="17" fillId="0" borderId="16" xfId="0" applyFont="1" applyFill="1" applyBorder="1"/>
    <xf numFmtId="0" fontId="12" fillId="0" borderId="16" xfId="0" applyFont="1" applyFill="1" applyBorder="1" applyAlignment="1">
      <alignment horizontal="center" vertical="center" wrapText="1"/>
    </xf>
    <xf numFmtId="171" fontId="0" fillId="0" borderId="18" xfId="0" applyNumberFormat="1" applyFill="1" applyBorder="1" applyAlignment="1">
      <alignment horizontal="center" vertical="center" wrapText="1"/>
    </xf>
    <xf numFmtId="169" fontId="12" fillId="0" borderId="19" xfId="3" applyNumberFormat="1" applyFont="1" applyFill="1" applyBorder="1" applyAlignment="1">
      <alignment horizontal="left" vertical="center" wrapText="1"/>
    </xf>
    <xf numFmtId="0" fontId="12" fillId="0" borderId="20" xfId="0" applyFont="1" applyFill="1" applyBorder="1" applyAlignment="1">
      <alignment horizontal="center" vertical="center" wrapText="1"/>
    </xf>
    <xf numFmtId="0" fontId="12" fillId="4" borderId="20" xfId="0" applyFont="1" applyFill="1" applyBorder="1" applyAlignment="1">
      <alignment horizontal="center" vertical="center" wrapText="1"/>
    </xf>
    <xf numFmtId="171" fontId="0" fillId="0" borderId="19" xfId="0" applyNumberFormat="1" applyFill="1" applyBorder="1" applyAlignment="1">
      <alignment horizontal="center" vertical="center" wrapText="1"/>
    </xf>
    <xf numFmtId="168" fontId="17" fillId="0" borderId="19" xfId="0" applyNumberFormat="1" applyFont="1" applyFill="1" applyBorder="1"/>
    <xf numFmtId="168" fontId="17" fillId="0" borderId="19" xfId="0" applyNumberFormat="1" applyFont="1" applyBorder="1"/>
    <xf numFmtId="10" fontId="17" fillId="0" borderId="19" xfId="7" applyNumberFormat="1" applyFont="1" applyBorder="1"/>
    <xf numFmtId="168" fontId="14" fillId="0" borderId="19" xfId="0" applyNumberFormat="1" applyFont="1" applyFill="1" applyBorder="1"/>
    <xf numFmtId="168" fontId="14" fillId="0" borderId="19" xfId="0" applyNumberFormat="1" applyFont="1" applyBorder="1"/>
    <xf numFmtId="10" fontId="14" fillId="0" borderId="19" xfId="7" applyNumberFormat="1" applyFont="1" applyBorder="1"/>
    <xf numFmtId="168" fontId="13" fillId="8" borderId="19" xfId="0" applyNumberFormat="1" applyFont="1" applyFill="1" applyBorder="1" applyAlignment="1">
      <alignment horizontal="center" vertical="center" wrapText="1"/>
    </xf>
    <xf numFmtId="168" fontId="13" fillId="8" borderId="23" xfId="0" applyNumberFormat="1" applyFont="1" applyFill="1" applyBorder="1" applyAlignment="1">
      <alignment horizontal="center" vertical="center" wrapText="1"/>
    </xf>
    <xf numFmtId="10" fontId="13" fillId="8" borderId="19" xfId="7" applyNumberFormat="1" applyFont="1" applyFill="1" applyBorder="1" applyAlignment="1">
      <alignment horizontal="center" vertical="center" wrapText="1"/>
    </xf>
    <xf numFmtId="0" fontId="23" fillId="5" borderId="20" xfId="0" applyFont="1" applyFill="1" applyBorder="1" applyAlignment="1">
      <alignment horizontal="center" vertical="center"/>
    </xf>
    <xf numFmtId="0" fontId="23" fillId="5" borderId="20" xfId="0" applyFont="1" applyFill="1" applyBorder="1" applyAlignment="1">
      <alignment vertical="center" wrapText="1"/>
    </xf>
    <xf numFmtId="169" fontId="23" fillId="5" borderId="20" xfId="3" applyNumberFormat="1" applyFont="1" applyFill="1" applyBorder="1" applyAlignment="1">
      <alignment vertical="center" wrapText="1"/>
    </xf>
    <xf numFmtId="167" fontId="18" fillId="5" borderId="20" xfId="0" applyNumberFormat="1" applyFont="1" applyFill="1" applyBorder="1" applyAlignment="1">
      <alignment horizontal="right" vertical="center" wrapText="1"/>
    </xf>
    <xf numFmtId="167" fontId="18" fillId="5" borderId="24" xfId="0" applyNumberFormat="1" applyFont="1" applyFill="1" applyBorder="1" applyAlignment="1">
      <alignment horizontal="right" vertical="center" wrapText="1"/>
    </xf>
    <xf numFmtId="10" fontId="17" fillId="5" borderId="19" xfId="7" applyNumberFormat="1" applyFont="1" applyFill="1" applyBorder="1" applyAlignment="1">
      <alignment horizontal="right" vertical="center" wrapText="1"/>
    </xf>
    <xf numFmtId="0" fontId="18" fillId="0" borderId="19" xfId="0" applyFont="1" applyFill="1" applyBorder="1" applyAlignment="1">
      <alignment horizontal="left" vertical="center"/>
    </xf>
    <xf numFmtId="0" fontId="0" fillId="0" borderId="19" xfId="0" applyBorder="1" applyAlignment="1">
      <alignment horizontal="left" vertical="center" wrapText="1"/>
    </xf>
    <xf numFmtId="172" fontId="0" fillId="0" borderId="19" xfId="0" applyNumberFormat="1" applyBorder="1" applyAlignment="1">
      <alignment vertical="center"/>
    </xf>
    <xf numFmtId="172" fontId="0" fillId="0" borderId="19" xfId="0" applyNumberFormat="1" applyBorder="1"/>
    <xf numFmtId="167" fontId="18" fillId="0" borderId="19" xfId="0" applyNumberFormat="1" applyFont="1" applyFill="1" applyBorder="1" applyAlignment="1">
      <alignment horizontal="left" vertical="center" wrapText="1"/>
    </xf>
    <xf numFmtId="167" fontId="18" fillId="0" borderId="23" xfId="0" applyNumberFormat="1" applyFont="1" applyFill="1" applyBorder="1" applyAlignment="1">
      <alignment horizontal="left" vertical="center" wrapText="1"/>
    </xf>
    <xf numFmtId="10" fontId="17" fillId="0" borderId="19" xfId="7" applyNumberFormat="1" applyFont="1" applyFill="1" applyBorder="1" applyAlignment="1">
      <alignment horizontal="left" vertical="center" wrapText="1"/>
    </xf>
    <xf numFmtId="0" fontId="18" fillId="0" borderId="25" xfId="0" applyFont="1" applyFill="1" applyBorder="1" applyAlignment="1">
      <alignment horizontal="left" vertical="center"/>
    </xf>
    <xf numFmtId="0" fontId="0" fillId="0" borderId="19" xfId="0" applyBorder="1" applyAlignment="1">
      <alignment wrapText="1"/>
    </xf>
    <xf numFmtId="172" fontId="0" fillId="0" borderId="19" xfId="0" applyNumberFormat="1" applyBorder="1" applyAlignment="1">
      <alignment horizontal="right" vertical="center"/>
    </xf>
    <xf numFmtId="10" fontId="17" fillId="0" borderId="19" xfId="7" applyNumberFormat="1" applyFont="1" applyFill="1" applyBorder="1" applyAlignment="1">
      <alignment horizontal="right" vertical="center" wrapText="1"/>
    </xf>
    <xf numFmtId="0" fontId="18" fillId="0" borderId="19" xfId="0" applyFont="1" applyFill="1" applyBorder="1" applyAlignment="1">
      <alignment horizontal="center" vertical="center"/>
    </xf>
    <xf numFmtId="167" fontId="18" fillId="0" borderId="19" xfId="0" applyNumberFormat="1" applyFont="1" applyFill="1" applyBorder="1" applyAlignment="1">
      <alignment horizontal="right" vertical="center" wrapText="1"/>
    </xf>
    <xf numFmtId="167" fontId="17" fillId="0" borderId="23" xfId="0" applyNumberFormat="1" applyFont="1" applyFill="1" applyBorder="1" applyAlignment="1">
      <alignment horizontal="right" vertical="center" wrapText="1"/>
    </xf>
    <xf numFmtId="0" fontId="18" fillId="0" borderId="19" xfId="0" applyFont="1" applyFill="1" applyBorder="1" applyAlignment="1">
      <alignment vertical="center" wrapText="1"/>
    </xf>
    <xf numFmtId="169" fontId="18" fillId="0" borderId="19" xfId="3" applyNumberFormat="1" applyFont="1" applyFill="1" applyBorder="1" applyAlignment="1">
      <alignment vertical="center" wrapText="1"/>
    </xf>
    <xf numFmtId="0" fontId="18" fillId="5" borderId="19" xfId="0" applyFont="1" applyFill="1" applyBorder="1" applyAlignment="1">
      <alignment horizontal="center" vertical="center"/>
    </xf>
    <xf numFmtId="0" fontId="18" fillId="5" borderId="19" xfId="0" applyFont="1" applyFill="1" applyBorder="1" applyAlignment="1">
      <alignment vertical="center" wrapText="1"/>
    </xf>
    <xf numFmtId="169" fontId="18" fillId="5" borderId="19" xfId="3" applyNumberFormat="1" applyFont="1" applyFill="1" applyBorder="1" applyAlignment="1">
      <alignment vertical="center" wrapText="1"/>
    </xf>
    <xf numFmtId="167" fontId="18" fillId="5" borderId="19" xfId="0" applyNumberFormat="1" applyFont="1" applyFill="1" applyBorder="1" applyAlignment="1">
      <alignment horizontal="right" vertical="center" wrapText="1"/>
    </xf>
    <xf numFmtId="167" fontId="18" fillId="5" borderId="23" xfId="0" applyNumberFormat="1" applyFont="1" applyFill="1" applyBorder="1" applyAlignment="1">
      <alignment horizontal="right" vertical="center" wrapText="1"/>
    </xf>
    <xf numFmtId="167" fontId="18" fillId="0" borderId="23" xfId="0" applyNumberFormat="1" applyFont="1" applyFill="1" applyBorder="1" applyAlignment="1">
      <alignment horizontal="right" vertical="center" wrapText="1"/>
    </xf>
    <xf numFmtId="167" fontId="17" fillId="5" borderId="23" xfId="0" applyNumberFormat="1" applyFont="1" applyFill="1" applyBorder="1" applyAlignment="1">
      <alignment horizontal="right" vertical="center" wrapText="1"/>
    </xf>
    <xf numFmtId="167" fontId="18" fillId="0" borderId="25" xfId="0" applyNumberFormat="1" applyFont="1" applyFill="1" applyBorder="1" applyAlignment="1">
      <alignment horizontal="right" vertical="center" wrapText="1"/>
    </xf>
    <xf numFmtId="167" fontId="17" fillId="0" borderId="21" xfId="0" applyNumberFormat="1" applyFont="1" applyFill="1" applyBorder="1" applyAlignment="1">
      <alignment horizontal="right" vertical="center" wrapText="1"/>
    </xf>
    <xf numFmtId="167" fontId="20" fillId="2" borderId="25" xfId="0" applyNumberFormat="1" applyFont="1" applyFill="1" applyBorder="1" applyAlignment="1">
      <alignment horizontal="center" vertical="center"/>
    </xf>
    <xf numFmtId="167" fontId="20" fillId="2" borderId="21" xfId="0" applyNumberFormat="1" applyFont="1" applyFill="1" applyBorder="1" applyAlignment="1">
      <alignment horizontal="center" vertical="center"/>
    </xf>
    <xf numFmtId="166" fontId="20" fillId="2" borderId="19" xfId="3" applyFont="1" applyFill="1" applyBorder="1" applyAlignment="1">
      <alignment horizontal="center" vertical="center"/>
    </xf>
    <xf numFmtId="169" fontId="24" fillId="13" borderId="8" xfId="0" applyNumberFormat="1" applyFont="1" applyFill="1" applyBorder="1" applyAlignment="1">
      <alignment horizontal="left" vertical="center" wrapText="1"/>
    </xf>
    <xf numFmtId="0" fontId="39" fillId="7" borderId="12" xfId="0" applyFont="1" applyFill="1" applyBorder="1" applyAlignment="1">
      <alignment horizontal="center" vertical="center"/>
    </xf>
    <xf numFmtId="0" fontId="39" fillId="7" borderId="10" xfId="0" applyFont="1" applyFill="1" applyBorder="1" applyAlignment="1">
      <alignment horizontal="center" vertical="center"/>
    </xf>
    <xf numFmtId="0" fontId="39" fillId="7" borderId="13" xfId="0" applyFont="1" applyFill="1" applyBorder="1" applyAlignment="1">
      <alignment horizontal="center" vertical="center"/>
    </xf>
    <xf numFmtId="0" fontId="39" fillId="7" borderId="6" xfId="0" applyFont="1" applyFill="1" applyBorder="1" applyAlignment="1">
      <alignment horizontal="center" vertical="center"/>
    </xf>
    <xf numFmtId="0" fontId="39" fillId="7" borderId="7" xfId="0" applyFont="1" applyFill="1" applyBorder="1" applyAlignment="1">
      <alignment horizontal="center" vertical="center"/>
    </xf>
    <xf numFmtId="0" fontId="39" fillId="7" borderId="4" xfId="0" applyFont="1" applyFill="1" applyBorder="1" applyAlignment="1">
      <alignment horizontal="center" vertical="center" wrapText="1"/>
    </xf>
    <xf numFmtId="0" fontId="39" fillId="7" borderId="5" xfId="0" applyFont="1" applyFill="1" applyBorder="1" applyAlignment="1">
      <alignment horizontal="center" vertical="center" wrapText="1"/>
    </xf>
    <xf numFmtId="0" fontId="39" fillId="7" borderId="8" xfId="0" applyFont="1" applyFill="1" applyBorder="1" applyAlignment="1">
      <alignment horizontal="center" vertical="center" wrapText="1"/>
    </xf>
    <xf numFmtId="0" fontId="39" fillId="7" borderId="3" xfId="0" applyFont="1" applyFill="1" applyBorder="1" applyAlignment="1">
      <alignment horizontal="center" vertical="center"/>
    </xf>
    <xf numFmtId="0" fontId="39" fillId="7" borderId="2" xfId="0" applyFont="1" applyFill="1" applyBorder="1" applyAlignment="1">
      <alignment horizontal="center" vertical="center"/>
    </xf>
    <xf numFmtId="0" fontId="21" fillId="4" borderId="0" xfId="0" applyFont="1" applyFill="1" applyBorder="1" applyAlignment="1">
      <alignment horizontal="center" vertical="top" wrapText="1"/>
    </xf>
    <xf numFmtId="0" fontId="39" fillId="7" borderId="7" xfId="0" applyFont="1" applyFill="1" applyBorder="1" applyAlignment="1">
      <alignment horizontal="center" vertical="center" wrapText="1"/>
    </xf>
    <xf numFmtId="0" fontId="35" fillId="4" borderId="0" xfId="0" applyFont="1" applyFill="1" applyBorder="1" applyAlignment="1">
      <alignment horizontal="center" vertical="center" wrapText="1"/>
    </xf>
    <xf numFmtId="0" fontId="33" fillId="4" borderId="0"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0"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2" xfId="0" applyFont="1" applyFill="1" applyBorder="1" applyAlignment="1">
      <alignment horizontal="center" vertical="center" wrapText="1"/>
    </xf>
    <xf numFmtId="169" fontId="12" fillId="4" borderId="12" xfId="3" applyNumberFormat="1" applyFont="1" applyFill="1" applyBorder="1" applyAlignment="1">
      <alignment horizontal="center" vertical="center" wrapText="1"/>
    </xf>
    <xf numFmtId="169" fontId="12" fillId="4" borderId="13" xfId="3" applyNumberFormat="1"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4" borderId="9"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9"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8" xfId="0" applyFont="1" applyFill="1" applyBorder="1" applyAlignment="1">
      <alignment horizontal="center" vertical="center"/>
    </xf>
    <xf numFmtId="0" fontId="12" fillId="4" borderId="8" xfId="0" applyFont="1" applyFill="1" applyBorder="1" applyAlignment="1">
      <alignment horizontal="center" vertical="center" wrapText="1"/>
    </xf>
    <xf numFmtId="10" fontId="12" fillId="4" borderId="8" xfId="7" applyNumberFormat="1" applyFont="1" applyFill="1" applyBorder="1" applyAlignment="1">
      <alignment horizontal="center" vertical="center" wrapText="1"/>
    </xf>
    <xf numFmtId="167" fontId="12" fillId="4" borderId="8" xfId="0" applyNumberFormat="1" applyFont="1" applyFill="1" applyBorder="1" applyAlignment="1">
      <alignment horizontal="center" vertical="center" wrapText="1"/>
    </xf>
    <xf numFmtId="0" fontId="19" fillId="0" borderId="0" xfId="0" applyFont="1" applyBorder="1" applyAlignment="1"/>
    <xf numFmtId="0" fontId="21" fillId="0" borderId="0" xfId="0" applyFont="1" applyBorder="1" applyAlignment="1">
      <alignment horizontal="center" vertical="top" wrapText="1"/>
    </xf>
    <xf numFmtId="0" fontId="15" fillId="4" borderId="19" xfId="0" applyFont="1" applyFill="1" applyBorder="1" applyAlignment="1">
      <alignment vertical="center"/>
    </xf>
    <xf numFmtId="0" fontId="13" fillId="8" borderId="3"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13" fillId="8" borderId="22" xfId="0" applyFont="1" applyFill="1" applyBorder="1" applyAlignment="1">
      <alignment horizontal="center" vertical="center" wrapText="1"/>
    </xf>
  </cellXfs>
  <cellStyles count="10">
    <cellStyle name="Comma" xfId="6" xr:uid="{00000000-0005-0000-0000-000000000000}"/>
    <cellStyle name="Millares" xfId="9" builtinId="3"/>
    <cellStyle name="Millares [0]" xfId="8" builtinId="6"/>
    <cellStyle name="Moneda" xfId="2" builtinId="4"/>
    <cellStyle name="Moneda [0]" xfId="3" builtinId="7"/>
    <cellStyle name="Moneda 2" xfId="4" xr:uid="{00000000-0005-0000-0000-000004000000}"/>
    <cellStyle name="Moneda 3" xfId="5" xr:uid="{00000000-0005-0000-0000-000005000000}"/>
    <cellStyle name="Normal" xfId="0" builtinId="0"/>
    <cellStyle name="Normal 2" xfId="1" xr:uid="{00000000-0005-0000-0000-000007000000}"/>
    <cellStyle name="Porcentaje" xfId="7" builtinId="5"/>
  </cellStyles>
  <dxfs count="0"/>
  <tableStyles count="0" defaultTableStyle="TableStyleMedium2" defaultPivotStyle="PivotStyleLight16"/>
  <colors>
    <mruColors>
      <color rgb="FF006600"/>
      <color rgb="FF004442"/>
      <color rgb="FFD9D9D9"/>
      <color rgb="FF0F3D38"/>
      <color rgb="FFEEC100"/>
      <color rgb="FF005E5C"/>
      <color rgb="FFF2F2F2"/>
      <color rgb="FF006666"/>
      <color rgb="FF6D1309"/>
      <color rgb="FF821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190500</xdr:colOff>
      <xdr:row>26</xdr:row>
      <xdr:rowOff>139700</xdr:rowOff>
    </xdr:from>
    <xdr:to>
      <xdr:col>6</xdr:col>
      <xdr:colOff>2000250</xdr:colOff>
      <xdr:row>37</xdr:row>
      <xdr:rowOff>127000</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rot="5400000">
          <a:off x="2339975" y="4276725"/>
          <a:ext cx="2082800" cy="6381750"/>
        </a:xfrm>
        <a:prstGeom prst="rect">
          <a:avLst/>
        </a:prstGeom>
        <a:gradFill flip="none" rotWithShape="1">
          <a:gsLst>
            <a:gs pos="0">
              <a:srgbClr val="0F3D38">
                <a:lumMod val="67000"/>
              </a:srgbClr>
            </a:gs>
            <a:gs pos="48000">
              <a:srgbClr val="0F3D38">
                <a:lumMod val="97000"/>
                <a:lumOff val="3000"/>
              </a:srgbClr>
            </a:gs>
            <a:gs pos="100000">
              <a:srgbClr val="0F3D38">
                <a:lumMod val="60000"/>
                <a:lumOff val="40000"/>
              </a:srgbClr>
            </a:gs>
          </a:gsLst>
          <a:lin ang="16200000" scaled="1"/>
          <a:tileRect/>
        </a:gra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0</xdr:col>
      <xdr:colOff>539750</xdr:colOff>
      <xdr:row>24</xdr:row>
      <xdr:rowOff>152400</xdr:rowOff>
    </xdr:from>
    <xdr:to>
      <xdr:col>6</xdr:col>
      <xdr:colOff>2076450</xdr:colOff>
      <xdr:row>36</xdr:row>
      <xdr:rowOff>0</xdr:rowOff>
    </xdr:to>
    <xdr:sp macro="" textlink="">
      <xdr:nvSpPr>
        <xdr:cNvPr id="6" name="Cuadro de texto 20">
          <a:extLst>
            <a:ext uri="{FF2B5EF4-FFF2-40B4-BE49-F238E27FC236}">
              <a16:creationId xmlns:a16="http://schemas.microsoft.com/office/drawing/2014/main" id="{00000000-0008-0000-0000-000006000000}"/>
            </a:ext>
          </a:extLst>
        </xdr:cNvPr>
        <xdr:cNvSpPr txBox="1"/>
      </xdr:nvSpPr>
      <xdr:spPr>
        <a:xfrm>
          <a:off x="539750" y="6057900"/>
          <a:ext cx="6108700" cy="2133600"/>
        </a:xfrm>
        <a:prstGeom prst="rect">
          <a:avLst/>
        </a:prstGeom>
        <a:solidFill>
          <a:schemeClr val="bg2">
            <a:lumMod val="25000"/>
            <a:alpha val="59000"/>
          </a:schemeClr>
        </a:soli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scene3d>
            <a:camera prst="orthographicFront"/>
            <a:lightRig rig="threePt" dir="t"/>
          </a:scene3d>
          <a:sp3d extrusionH="57150">
            <a:bevelT w="38100" h="38100"/>
          </a:sp3d>
        </a:bodyPr>
        <a:lstStyle/>
        <a:p>
          <a:pPr algn="ctr">
            <a:lnSpc>
              <a:spcPct val="120000"/>
            </a:lnSpc>
            <a:spcBef>
              <a:spcPts val="200"/>
            </a:spcBef>
            <a:spcAft>
              <a:spcPts val="0"/>
            </a:spcAft>
          </a:pPr>
          <a:r>
            <a:rPr lang="es-CO" sz="1200" b="1" kern="1000">
              <a:solidFill>
                <a:srgbClr val="FFFFFF"/>
              </a:solidFill>
              <a:effectLst>
                <a:outerShdw blurRad="50800" dist="38100" algn="l">
                  <a:srgbClr val="000000">
                    <a:alpha val="40000"/>
                  </a:srgbClr>
                </a:outerShdw>
              </a:effectLst>
              <a:ea typeface="Cambria" panose="02040503050406030204" pitchFamily="18" charset="0"/>
              <a:cs typeface="Angsana New" panose="02020603050405020304" pitchFamily="18" charset="-34"/>
            </a:rPr>
            <a:t> </a:t>
          </a:r>
          <a:endParaRPr lang="es-CO" sz="1000" kern="1000">
            <a:solidFill>
              <a:srgbClr val="595959"/>
            </a:solidFill>
            <a:effectLst/>
            <a:ea typeface="Cambria" panose="02040503050406030204" pitchFamily="18" charset="0"/>
            <a:cs typeface="Angsana New" panose="02020603050405020304" pitchFamily="18" charset="-34"/>
          </a:endParaRPr>
        </a:p>
      </xdr:txBody>
    </xdr:sp>
    <xdr:clientData/>
  </xdr:twoCellAnchor>
  <xdr:twoCellAnchor>
    <xdr:from>
      <xdr:col>0</xdr:col>
      <xdr:colOff>571500</xdr:colOff>
      <xdr:row>26</xdr:row>
      <xdr:rowOff>63500</xdr:rowOff>
    </xdr:from>
    <xdr:to>
      <xdr:col>6</xdr:col>
      <xdr:colOff>2032000</xdr:colOff>
      <xdr:row>35</xdr:row>
      <xdr:rowOff>158750</xdr:rowOff>
    </xdr:to>
    <xdr:sp macro="" textlink="">
      <xdr:nvSpPr>
        <xdr:cNvPr id="7" name="Cuadro de texto 19">
          <a:extLst>
            <a:ext uri="{FF2B5EF4-FFF2-40B4-BE49-F238E27FC236}">
              <a16:creationId xmlns:a16="http://schemas.microsoft.com/office/drawing/2014/main" id="{00000000-0008-0000-0000-000007000000}"/>
            </a:ext>
          </a:extLst>
        </xdr:cNvPr>
        <xdr:cNvSpPr txBox="1"/>
      </xdr:nvSpPr>
      <xdr:spPr>
        <a:xfrm>
          <a:off x="571500" y="6350000"/>
          <a:ext cx="6032500" cy="18097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Plan Operativo Anual de Inversiones</a:t>
          </a:r>
          <a:endParaRPr lang="es-CO" sz="2400" b="1" kern="1000">
            <a:solidFill>
              <a:srgbClr val="595959"/>
            </a:solidFill>
            <a:effectLst/>
            <a:ea typeface="Cambria" panose="02040503050406030204" pitchFamily="18" charset="0"/>
            <a:cs typeface="Angsana New" panose="02020603050405020304" pitchFamily="18" charset="-34"/>
          </a:endParaRPr>
        </a:p>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POAI 2018</a:t>
          </a:r>
        </a:p>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Dirección de Planeación Institucional </a:t>
          </a:r>
          <a:endParaRPr lang="es-CO" sz="2400" b="1" kern="1000">
            <a:solidFill>
              <a:srgbClr val="595959"/>
            </a:solidFill>
            <a:effectLst/>
            <a:ea typeface="Cambria" panose="02040503050406030204" pitchFamily="18" charset="0"/>
            <a:cs typeface="Angsana New" panose="02020603050405020304" pitchFamily="18" charset="-34"/>
          </a:endParaRPr>
        </a:p>
      </xdr:txBody>
    </xdr:sp>
    <xdr:clientData/>
  </xdr:twoCellAnchor>
  <xdr:twoCellAnchor editAs="oneCell">
    <xdr:from>
      <xdr:col>0</xdr:col>
      <xdr:colOff>0</xdr:colOff>
      <xdr:row>1</xdr:row>
      <xdr:rowOff>15875</xdr:rowOff>
    </xdr:from>
    <xdr:to>
      <xdr:col>7</xdr:col>
      <xdr:colOff>0</xdr:colOff>
      <xdr:row>21</xdr:row>
      <xdr:rowOff>177005</xdr:rowOff>
    </xdr:to>
    <xdr:pic>
      <xdr:nvPicPr>
        <xdr:cNvPr id="9" name="Imagen 8" descr="https://scontent-bog1-1.xx.fbcdn.net/v/t31.0-8/20286841_690746294450891_1940206954813301760_o.jpg?oh=cfdd8858870007835376e468cae6998f&amp;oe=5A19C518">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337" r="13840"/>
        <a:stretch/>
      </xdr:blipFill>
      <xdr:spPr bwMode="auto">
        <a:xfrm>
          <a:off x="0" y="206375"/>
          <a:ext cx="6715125" cy="4008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571500</xdr:colOff>
      <xdr:row>39</xdr:row>
      <xdr:rowOff>0</xdr:rowOff>
    </xdr:from>
    <xdr:to>
      <xdr:col>7</xdr:col>
      <xdr:colOff>133350</xdr:colOff>
      <xdr:row>46</xdr:row>
      <xdr:rowOff>123825</xdr:rowOff>
    </xdr:to>
    <xdr:pic>
      <xdr:nvPicPr>
        <xdr:cNvPr id="10" name="Imagen 9" descr="UCundinamarca">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0" y="8921750"/>
          <a:ext cx="4768850"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949961</xdr:colOff>
      <xdr:row>0</xdr:row>
      <xdr:rowOff>93133</xdr:rowOff>
    </xdr:from>
    <xdr:to>
      <xdr:col>11</xdr:col>
      <xdr:colOff>424181</xdr:colOff>
      <xdr:row>4</xdr:row>
      <xdr:rowOff>60960</xdr:rowOff>
    </xdr:to>
    <xdr:pic>
      <xdr:nvPicPr>
        <xdr:cNvPr id="5" name="Imagen 4" descr="https://www.ucundinamarca.edu.co/images/iconos/escudo-ucundinamarca.png">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13332461" y="93133"/>
          <a:ext cx="922020" cy="121242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994473</xdr:colOff>
      <xdr:row>1</xdr:row>
      <xdr:rowOff>20782</xdr:rowOff>
    </xdr:from>
    <xdr:to>
      <xdr:col>2</xdr:col>
      <xdr:colOff>1539596</xdr:colOff>
      <xdr:row>4</xdr:row>
      <xdr:rowOff>29249</xdr:rowOff>
    </xdr:to>
    <xdr:pic>
      <xdr:nvPicPr>
        <xdr:cNvPr id="2" name="Imagen 1" descr="https://www.ucundinamarca.edu.co/images/iconos/escudo-ucundinamarca.png">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2385123" y="201757"/>
          <a:ext cx="540769" cy="77046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1458081</xdr:colOff>
      <xdr:row>1</xdr:row>
      <xdr:rowOff>33020</xdr:rowOff>
    </xdr:from>
    <xdr:to>
      <xdr:col>1</xdr:col>
      <xdr:colOff>2051351</xdr:colOff>
      <xdr:row>3</xdr:row>
      <xdr:rowOff>202717</xdr:rowOff>
    </xdr:to>
    <xdr:pic>
      <xdr:nvPicPr>
        <xdr:cNvPr id="2" name="Imagen 1" descr="https://www.ucundinamarca.edu.co/images/iconos/escudo-ucundinamarca.png">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1729014" y="227753"/>
          <a:ext cx="593270" cy="78776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1637318</xdr:colOff>
      <xdr:row>1</xdr:row>
      <xdr:rowOff>1</xdr:rowOff>
    </xdr:from>
    <xdr:to>
      <xdr:col>1</xdr:col>
      <xdr:colOff>2227942</xdr:colOff>
      <xdr:row>3</xdr:row>
      <xdr:rowOff>296335</xdr:rowOff>
    </xdr:to>
    <xdr:pic>
      <xdr:nvPicPr>
        <xdr:cNvPr id="2" name="Imagen 1" descr="https://www.ucundinamarca.edu.co/images/iconos/escudo-ucundinamarca.png">
          <a:extLst>
            <a:ext uri="{FF2B5EF4-FFF2-40B4-BE49-F238E27FC236}">
              <a16:creationId xmlns:a16="http://schemas.microsoft.com/office/drawing/2014/main" id="{00000000-0008-0000-0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1755851" y="270934"/>
          <a:ext cx="590624" cy="82973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22861</xdr:colOff>
      <xdr:row>1</xdr:row>
      <xdr:rowOff>38101</xdr:rowOff>
    </xdr:from>
    <xdr:to>
      <xdr:col>1</xdr:col>
      <xdr:colOff>825500</xdr:colOff>
      <xdr:row>4</xdr:row>
      <xdr:rowOff>114301</xdr:rowOff>
    </xdr:to>
    <xdr:pic>
      <xdr:nvPicPr>
        <xdr:cNvPr id="2" name="Imagen 1" descr="https://www.ucundinamarca.edu.co/images/iconos/escudo-ucundinamarca.png">
          <a:extLst>
            <a:ext uri="{FF2B5EF4-FFF2-40B4-BE49-F238E27FC236}">
              <a16:creationId xmlns:a16="http://schemas.microsoft.com/office/drawing/2014/main" id="{4C6CD77F-8E02-4515-85C8-4C971B2DC02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162561" y="266701"/>
          <a:ext cx="802639" cy="11049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214918</xdr:colOff>
      <xdr:row>0</xdr:row>
      <xdr:rowOff>138248</xdr:rowOff>
    </xdr:from>
    <xdr:to>
      <xdr:col>1</xdr:col>
      <xdr:colOff>805542</xdr:colOff>
      <xdr:row>3</xdr:row>
      <xdr:rowOff>304800</xdr:rowOff>
    </xdr:to>
    <xdr:pic>
      <xdr:nvPicPr>
        <xdr:cNvPr id="2" name="Imagen 1" descr="https://www.ucundinamarca.edu.co/images/iconos/escudo-ucundinamarca.png">
          <a:extLst>
            <a:ext uri="{FF2B5EF4-FFF2-40B4-BE49-F238E27FC236}">
              <a16:creationId xmlns:a16="http://schemas.microsoft.com/office/drawing/2014/main" id="{3A658AC1-A554-4D0B-A1EA-0CE17A90829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329218" y="138248"/>
          <a:ext cx="590624" cy="87521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4:B32"/>
  <sheetViews>
    <sheetView view="pageBreakPreview" topLeftCell="A31" zoomScale="80" zoomScaleNormal="50" zoomScaleSheetLayoutView="80" workbookViewId="0">
      <selection activeCell="E12" sqref="E12"/>
    </sheetView>
  </sheetViews>
  <sheetFormatPr baseColWidth="10" defaultColWidth="10.6640625" defaultRowHeight="14.4" x14ac:dyDescent="0.3"/>
  <cols>
    <col min="7" max="7" width="32.33203125" customWidth="1"/>
    <col min="8" max="8" width="21.109375" customWidth="1"/>
  </cols>
  <sheetData>
    <row r="4" spans="1:2" ht="27" customHeight="1" x14ac:dyDescent="0.3"/>
    <row r="9" spans="1:2" x14ac:dyDescent="0.3">
      <c r="A9" s="1"/>
      <c r="B9" s="1"/>
    </row>
    <row r="10" spans="1:2" x14ac:dyDescent="0.3">
      <c r="A10" s="1"/>
      <c r="B10" s="1"/>
    </row>
    <row r="11" spans="1:2" x14ac:dyDescent="0.3">
      <c r="A11" s="1"/>
      <c r="B11" s="1"/>
    </row>
    <row r="14" spans="1:2" ht="4.5" customHeight="1" x14ac:dyDescent="0.3"/>
    <row r="32" ht="15.6" customHeight="1" x14ac:dyDescent="0.3"/>
  </sheetData>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FS105"/>
  <sheetViews>
    <sheetView zoomScale="110" zoomScaleNormal="110" workbookViewId="0">
      <selection activeCell="B8" sqref="B8"/>
    </sheetView>
  </sheetViews>
  <sheetFormatPr baseColWidth="10" defaultColWidth="21.33203125" defaultRowHeight="10.199999999999999" x14ac:dyDescent="0.2"/>
  <cols>
    <col min="1" max="1" width="0.6640625" style="2" customWidth="1"/>
    <col min="2" max="2" width="7.5546875" style="58" customWidth="1"/>
    <col min="3" max="3" width="15.5546875" style="59" customWidth="1"/>
    <col min="4" max="4" width="19.88671875" style="12" customWidth="1"/>
    <col min="5" max="7" width="19.33203125" style="60" customWidth="1"/>
    <col min="8" max="8" width="19.33203125" style="61" customWidth="1"/>
    <col min="9" max="10" width="19.33203125" style="60" customWidth="1"/>
    <col min="11" max="11" width="23.33203125" style="2" hidden="1" customWidth="1"/>
    <col min="12" max="16" width="21.33203125" style="2" hidden="1" customWidth="1"/>
    <col min="17" max="16384" width="21.33203125" style="2"/>
  </cols>
  <sheetData>
    <row r="1" spans="1:171" s="5" customFormat="1" ht="16.5" customHeight="1" x14ac:dyDescent="0.2">
      <c r="D1" s="35"/>
      <c r="H1" s="36"/>
      <c r="N1" s="37">
        <v>1</v>
      </c>
    </row>
    <row r="2" spans="1:171" ht="17.25" customHeight="1" x14ac:dyDescent="0.2">
      <c r="B2" s="383" t="s">
        <v>274</v>
      </c>
      <c r="C2" s="383" t="s">
        <v>275</v>
      </c>
      <c r="D2" s="383" t="s">
        <v>276</v>
      </c>
      <c r="E2" s="380" t="s">
        <v>277</v>
      </c>
      <c r="F2" s="381"/>
      <c r="G2" s="381"/>
      <c r="H2" s="381"/>
      <c r="I2" s="381"/>
      <c r="J2" s="382"/>
    </row>
    <row r="3" spans="1:171" ht="17.25" customHeight="1" x14ac:dyDescent="0.2">
      <c r="B3" s="384"/>
      <c r="C3" s="384"/>
      <c r="D3" s="384"/>
      <c r="E3" s="239" t="s">
        <v>278</v>
      </c>
      <c r="F3" s="239" t="s">
        <v>279</v>
      </c>
      <c r="G3" s="239" t="s">
        <v>280</v>
      </c>
      <c r="H3" s="239" t="s">
        <v>281</v>
      </c>
      <c r="I3" s="239" t="s">
        <v>282</v>
      </c>
      <c r="J3" s="239" t="s">
        <v>283</v>
      </c>
    </row>
    <row r="4" spans="1:171" s="38" customFormat="1" ht="26.25" hidden="1" customHeight="1" x14ac:dyDescent="0.2">
      <c r="B4" s="240">
        <v>410101</v>
      </c>
      <c r="C4" s="241" t="s">
        <v>87</v>
      </c>
      <c r="D4" s="242">
        <f>+F5</f>
        <v>570000000</v>
      </c>
      <c r="E4" s="308">
        <v>268403646</v>
      </c>
      <c r="F4" s="308">
        <v>233931869.91999999</v>
      </c>
      <c r="G4" s="243">
        <v>169268646</v>
      </c>
      <c r="H4" s="244">
        <f>E4*$N$1/D4</f>
        <v>0.47088358947368419</v>
      </c>
      <c r="I4" s="244">
        <f>+G4*$N$1/D4</f>
        <v>0.29696253684210527</v>
      </c>
      <c r="J4" s="243">
        <f>+D4-G4</f>
        <v>400731354</v>
      </c>
    </row>
    <row r="5" spans="1:171" s="39" customFormat="1" ht="33" hidden="1" customHeight="1" x14ac:dyDescent="0.2">
      <c r="E5" s="245" t="s">
        <v>284</v>
      </c>
      <c r="F5" s="246">
        <v>570000000</v>
      </c>
      <c r="G5" s="247" t="s">
        <v>285</v>
      </c>
      <c r="H5" s="248">
        <v>0.47089999999999999</v>
      </c>
      <c r="I5" s="249"/>
      <c r="J5" s="249"/>
      <c r="N5" s="40"/>
      <c r="O5" s="40"/>
      <c r="P5" s="243">
        <f>+D5-M5</f>
        <v>0</v>
      </c>
    </row>
    <row r="6" spans="1:171" s="41" customFormat="1" ht="26.25" hidden="1" customHeight="1" x14ac:dyDescent="0.2">
      <c r="A6" s="38"/>
      <c r="B6" s="240">
        <v>410102</v>
      </c>
      <c r="C6" s="241" t="s">
        <v>103</v>
      </c>
      <c r="D6" s="250">
        <f>+F7</f>
        <v>610000000</v>
      </c>
      <c r="E6" s="308">
        <v>104643480</v>
      </c>
      <c r="F6" s="243">
        <v>96345360</v>
      </c>
      <c r="G6" s="243">
        <v>96362320</v>
      </c>
      <c r="H6" s="244">
        <f>E6*$J$1/D6</f>
        <v>0</v>
      </c>
      <c r="I6" s="244">
        <f>+G6*$I$1/D6</f>
        <v>0</v>
      </c>
      <c r="J6" s="243">
        <f>+D6-G6</f>
        <v>513637680</v>
      </c>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row>
    <row r="7" spans="1:171" s="39" customFormat="1" ht="21" hidden="1" customHeight="1" x14ac:dyDescent="0.2">
      <c r="E7" s="245" t="s">
        <v>286</v>
      </c>
      <c r="F7" s="246">
        <v>610000000</v>
      </c>
      <c r="G7" s="247" t="s">
        <v>285</v>
      </c>
      <c r="H7" s="248">
        <v>0.17150000000000001</v>
      </c>
      <c r="I7" s="249"/>
      <c r="J7" s="249"/>
      <c r="N7" s="40"/>
      <c r="O7" s="40"/>
      <c r="P7" s="243">
        <f>+D7-M7</f>
        <v>0</v>
      </c>
    </row>
    <row r="8" spans="1:171" s="38" customFormat="1" ht="26.25" customHeight="1" x14ac:dyDescent="0.2">
      <c r="B8" s="240">
        <v>410103</v>
      </c>
      <c r="C8" s="241" t="s">
        <v>108</v>
      </c>
      <c r="D8" s="250">
        <f>SUM(F9:F24)</f>
        <v>3271094044.23</v>
      </c>
      <c r="E8" s="308">
        <v>2251083221</v>
      </c>
      <c r="F8" s="243">
        <v>1949217785</v>
      </c>
      <c r="G8" s="243">
        <v>388259369</v>
      </c>
      <c r="H8" s="244">
        <f>E8*$N$1/D8</f>
        <v>0.68817441215753683</v>
      </c>
      <c r="I8" s="244">
        <f>+G8*$N$1/D8</f>
        <v>0.11869404051065563</v>
      </c>
      <c r="J8" s="243">
        <f>+D8-G8</f>
        <v>2882834675.23</v>
      </c>
    </row>
    <row r="9" spans="1:171" s="39" customFormat="1" ht="49.5" customHeight="1" x14ac:dyDescent="0.2">
      <c r="E9" s="245" t="s">
        <v>287</v>
      </c>
      <c r="F9" s="246">
        <v>179320088</v>
      </c>
      <c r="G9" s="247" t="s">
        <v>285</v>
      </c>
      <c r="H9" s="248" t="s">
        <v>288</v>
      </c>
      <c r="I9" s="249"/>
      <c r="J9" s="249"/>
      <c r="L9" s="42"/>
      <c r="N9" s="40"/>
      <c r="O9" s="40"/>
      <c r="P9" s="243">
        <f t="shared" ref="P9:P24" si="0">+D9-M9</f>
        <v>0</v>
      </c>
    </row>
    <row r="10" spans="1:171" s="39" customFormat="1" ht="102" hidden="1" customHeight="1" x14ac:dyDescent="0.2">
      <c r="E10" s="245" t="s">
        <v>289</v>
      </c>
      <c r="F10" s="246">
        <v>63485524</v>
      </c>
      <c r="G10" s="247" t="s">
        <v>285</v>
      </c>
      <c r="H10" s="248">
        <v>1</v>
      </c>
      <c r="I10" s="249"/>
      <c r="J10" s="249"/>
      <c r="L10" s="42"/>
      <c r="N10" s="40"/>
      <c r="O10" s="40"/>
      <c r="P10" s="243">
        <f t="shared" si="0"/>
        <v>0</v>
      </c>
    </row>
    <row r="11" spans="1:171" s="39" customFormat="1" ht="49.5" hidden="1" customHeight="1" x14ac:dyDescent="0.2">
      <c r="E11" s="245" t="s">
        <v>290</v>
      </c>
      <c r="F11" s="246">
        <v>195369183</v>
      </c>
      <c r="G11" s="247" t="s">
        <v>285</v>
      </c>
      <c r="H11" s="248">
        <v>0.68059999999999998</v>
      </c>
      <c r="I11" s="249"/>
      <c r="J11" s="249"/>
      <c r="L11" s="42"/>
      <c r="N11" s="40"/>
      <c r="O11" s="40"/>
      <c r="P11" s="243">
        <f t="shared" si="0"/>
        <v>0</v>
      </c>
    </row>
    <row r="12" spans="1:171" s="39" customFormat="1" ht="54.75" hidden="1" customHeight="1" x14ac:dyDescent="0.2">
      <c r="E12" s="245" t="s">
        <v>291</v>
      </c>
      <c r="F12" s="246">
        <v>69701625</v>
      </c>
      <c r="G12" s="247" t="s">
        <v>285</v>
      </c>
      <c r="H12" s="248"/>
      <c r="I12" s="249"/>
      <c r="J12" s="249"/>
      <c r="L12" s="42"/>
      <c r="N12" s="40"/>
      <c r="O12" s="40"/>
      <c r="P12" s="243">
        <f t="shared" si="0"/>
        <v>0</v>
      </c>
    </row>
    <row r="13" spans="1:171" s="39" customFormat="1" ht="29.25" hidden="1" customHeight="1" x14ac:dyDescent="0.2">
      <c r="E13" s="245" t="s">
        <v>292</v>
      </c>
      <c r="F13" s="246">
        <v>30042794</v>
      </c>
      <c r="G13" s="247" t="s">
        <v>285</v>
      </c>
      <c r="H13" s="248">
        <v>0</v>
      </c>
      <c r="I13" s="249"/>
      <c r="J13" s="249"/>
      <c r="L13" s="43"/>
      <c r="N13" s="40"/>
      <c r="O13" s="40"/>
      <c r="P13" s="243">
        <f t="shared" si="0"/>
        <v>0</v>
      </c>
    </row>
    <row r="14" spans="1:171" s="39" customFormat="1" ht="36.75" hidden="1" customHeight="1" x14ac:dyDescent="0.2">
      <c r="E14" s="245" t="s">
        <v>293</v>
      </c>
      <c r="F14" s="246">
        <v>358833312</v>
      </c>
      <c r="G14" s="247" t="s">
        <v>285</v>
      </c>
      <c r="H14" s="248">
        <v>1</v>
      </c>
      <c r="I14" s="249"/>
      <c r="J14" s="249"/>
      <c r="L14" s="43"/>
      <c r="N14" s="40"/>
      <c r="O14" s="40"/>
      <c r="P14" s="243">
        <f t="shared" si="0"/>
        <v>0</v>
      </c>
    </row>
    <row r="15" spans="1:171" s="39" customFormat="1" ht="43.5" hidden="1" customHeight="1" x14ac:dyDescent="0.2">
      <c r="E15" s="245" t="s">
        <v>294</v>
      </c>
      <c r="F15" s="246">
        <v>340484866</v>
      </c>
      <c r="G15" s="247" t="s">
        <v>285</v>
      </c>
      <c r="H15" s="248">
        <v>1</v>
      </c>
      <c r="I15" s="249"/>
      <c r="J15" s="249"/>
      <c r="L15" s="43"/>
      <c r="N15" s="40"/>
      <c r="O15" s="40"/>
      <c r="P15" s="243">
        <f t="shared" si="0"/>
        <v>0</v>
      </c>
    </row>
    <row r="16" spans="1:171" s="39" customFormat="1" ht="36.75" hidden="1" customHeight="1" x14ac:dyDescent="0.2">
      <c r="E16" s="245" t="s">
        <v>295</v>
      </c>
      <c r="F16" s="246">
        <v>208664321</v>
      </c>
      <c r="G16" s="247" t="s">
        <v>285</v>
      </c>
      <c r="H16" s="248">
        <v>1</v>
      </c>
      <c r="I16" s="249"/>
      <c r="J16" s="249"/>
      <c r="L16" s="43"/>
      <c r="N16" s="40"/>
      <c r="O16" s="40"/>
      <c r="P16" s="243">
        <f t="shared" si="0"/>
        <v>0</v>
      </c>
    </row>
    <row r="17" spans="1:175" s="39" customFormat="1" ht="47.25" hidden="1" customHeight="1" x14ac:dyDescent="0.2">
      <c r="E17" s="245" t="s">
        <v>296</v>
      </c>
      <c r="F17" s="246">
        <v>244000000</v>
      </c>
      <c r="G17" s="247" t="s">
        <v>285</v>
      </c>
      <c r="H17" s="248">
        <v>0</v>
      </c>
      <c r="I17" s="249"/>
      <c r="J17" s="249"/>
      <c r="L17" s="43"/>
      <c r="N17" s="40"/>
      <c r="O17" s="40"/>
      <c r="P17" s="243">
        <f t="shared" si="0"/>
        <v>0</v>
      </c>
    </row>
    <row r="18" spans="1:175" s="39" customFormat="1" ht="36.75" hidden="1" customHeight="1" x14ac:dyDescent="0.2">
      <c r="E18" s="245" t="s">
        <v>297</v>
      </c>
      <c r="F18" s="246">
        <v>75000000</v>
      </c>
      <c r="G18" s="247" t="s">
        <v>285</v>
      </c>
      <c r="H18" s="248">
        <v>1</v>
      </c>
      <c r="I18" s="249"/>
      <c r="J18" s="249"/>
      <c r="L18" s="43"/>
      <c r="N18" s="40"/>
      <c r="O18" s="40"/>
      <c r="P18" s="243">
        <f t="shared" si="0"/>
        <v>0</v>
      </c>
    </row>
    <row r="19" spans="1:175" s="39" customFormat="1" ht="36.75" hidden="1" customHeight="1" x14ac:dyDescent="0.2">
      <c r="E19" s="245" t="s">
        <v>298</v>
      </c>
      <c r="F19" s="246">
        <v>75000000</v>
      </c>
      <c r="G19" s="247" t="s">
        <v>285</v>
      </c>
      <c r="H19" s="248">
        <v>1</v>
      </c>
      <c r="I19" s="249"/>
      <c r="J19" s="249"/>
      <c r="L19" s="43"/>
      <c r="N19" s="40"/>
      <c r="O19" s="40"/>
      <c r="P19" s="243">
        <f t="shared" si="0"/>
        <v>0</v>
      </c>
    </row>
    <row r="20" spans="1:175" s="39" customFormat="1" ht="48.75" hidden="1" customHeight="1" x14ac:dyDescent="0.2">
      <c r="E20" s="245" t="s">
        <v>299</v>
      </c>
      <c r="F20" s="246">
        <f>772196295+10979505.23</f>
        <v>783175800.23000002</v>
      </c>
      <c r="G20" s="247" t="s">
        <v>285</v>
      </c>
      <c r="H20" s="248">
        <v>0.68020000000000003</v>
      </c>
      <c r="I20" s="249"/>
      <c r="J20" s="249"/>
      <c r="L20" s="43"/>
      <c r="N20" s="40"/>
      <c r="O20" s="40"/>
      <c r="P20" s="243">
        <f t="shared" si="0"/>
        <v>0</v>
      </c>
    </row>
    <row r="21" spans="1:175" s="39" customFormat="1" ht="60" hidden="1" customHeight="1" x14ac:dyDescent="0.2">
      <c r="E21" s="245" t="s">
        <v>300</v>
      </c>
      <c r="F21" s="246">
        <v>600000000</v>
      </c>
      <c r="G21" s="247" t="s">
        <v>285</v>
      </c>
      <c r="H21" s="248">
        <v>0.39500000000000002</v>
      </c>
      <c r="I21" s="249"/>
      <c r="J21" s="249"/>
      <c r="L21" s="43"/>
      <c r="N21" s="40"/>
      <c r="O21" s="40"/>
      <c r="P21" s="243">
        <f t="shared" si="0"/>
        <v>0</v>
      </c>
    </row>
    <row r="22" spans="1:175" s="39" customFormat="1" ht="52.5" hidden="1" customHeight="1" x14ac:dyDescent="0.2">
      <c r="E22" s="245" t="s">
        <v>301</v>
      </c>
      <c r="F22" s="246">
        <v>22978900</v>
      </c>
      <c r="G22" s="247" t="s">
        <v>285</v>
      </c>
      <c r="H22" s="248">
        <v>0</v>
      </c>
      <c r="I22" s="249"/>
      <c r="J22" s="249"/>
      <c r="L22" s="43"/>
      <c r="N22" s="40"/>
      <c r="O22" s="40"/>
      <c r="P22" s="243">
        <f t="shared" si="0"/>
        <v>0</v>
      </c>
    </row>
    <row r="23" spans="1:175" s="39" customFormat="1" ht="60" hidden="1" customHeight="1" x14ac:dyDescent="0.2">
      <c r="E23" s="245" t="s">
        <v>302</v>
      </c>
      <c r="F23" s="246">
        <v>5950000</v>
      </c>
      <c r="G23" s="247" t="s">
        <v>285</v>
      </c>
      <c r="H23" s="248">
        <v>0</v>
      </c>
      <c r="I23" s="249"/>
      <c r="J23" s="249"/>
      <c r="L23" s="43"/>
      <c r="N23" s="40"/>
      <c r="O23" s="40"/>
      <c r="P23" s="243">
        <f t="shared" si="0"/>
        <v>0</v>
      </c>
    </row>
    <row r="24" spans="1:175" s="39" customFormat="1" ht="60.75" hidden="1" customHeight="1" x14ac:dyDescent="0.2">
      <c r="E24" s="245" t="s">
        <v>303</v>
      </c>
      <c r="F24" s="246">
        <v>19087631</v>
      </c>
      <c r="G24" s="247" t="s">
        <v>285</v>
      </c>
      <c r="H24" s="248">
        <v>0</v>
      </c>
      <c r="I24" s="249"/>
      <c r="J24" s="249"/>
      <c r="L24" s="43"/>
      <c r="N24" s="40"/>
      <c r="O24" s="40"/>
      <c r="P24" s="243">
        <f t="shared" si="0"/>
        <v>0</v>
      </c>
    </row>
    <row r="25" spans="1:175" s="41" customFormat="1" ht="26.25" hidden="1" customHeight="1" x14ac:dyDescent="0.2">
      <c r="A25" s="44"/>
      <c r="B25" s="240">
        <v>410104</v>
      </c>
      <c r="C25" s="241" t="s">
        <v>138</v>
      </c>
      <c r="D25" s="250">
        <f>SUM(F26:F32)</f>
        <v>2080335500.23</v>
      </c>
      <c r="E25" s="308">
        <v>1494494889</v>
      </c>
      <c r="F25" s="243">
        <v>1206468866</v>
      </c>
      <c r="G25" s="243">
        <v>154643691</v>
      </c>
      <c r="H25" s="244">
        <f>E25*$N$1/D25</f>
        <v>0.71839128296121946</v>
      </c>
      <c r="I25" s="244">
        <f>+G25*$N$1/D25</f>
        <v>7.4335938113300831E-2</v>
      </c>
      <c r="J25" s="243">
        <f>+D25-G25</f>
        <v>1925691809.23</v>
      </c>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38"/>
      <c r="FE25" s="38"/>
      <c r="FF25" s="38"/>
      <c r="FG25" s="38"/>
      <c r="FH25" s="38"/>
      <c r="FI25" s="38"/>
      <c r="FJ25" s="38"/>
      <c r="FK25" s="38"/>
      <c r="FL25" s="38"/>
      <c r="FM25" s="38"/>
      <c r="FN25" s="38"/>
      <c r="FO25" s="38"/>
      <c r="FP25" s="38"/>
      <c r="FQ25" s="38"/>
      <c r="FR25" s="38"/>
      <c r="FS25" s="38"/>
    </row>
    <row r="26" spans="1:175" s="39" customFormat="1" ht="36.75" hidden="1" customHeight="1" x14ac:dyDescent="0.2">
      <c r="A26" s="45"/>
      <c r="E26" s="245" t="s">
        <v>304</v>
      </c>
      <c r="F26" s="246">
        <v>339212800</v>
      </c>
      <c r="G26" s="247" t="s">
        <v>285</v>
      </c>
      <c r="H26" s="248">
        <v>1</v>
      </c>
      <c r="I26" s="249"/>
      <c r="J26" s="249"/>
      <c r="N26" s="40"/>
      <c r="O26" s="40"/>
      <c r="P26" s="243">
        <f t="shared" ref="P26:P32" si="1">+D26-M26</f>
        <v>0</v>
      </c>
    </row>
    <row r="27" spans="1:175" s="39" customFormat="1" ht="80.25" hidden="1" customHeight="1" x14ac:dyDescent="0.2">
      <c r="A27" s="45"/>
      <c r="E27" s="245" t="s">
        <v>305</v>
      </c>
      <c r="F27" s="246">
        <v>60950000</v>
      </c>
      <c r="G27" s="247" t="s">
        <v>285</v>
      </c>
      <c r="H27" s="248">
        <v>0.95530000000000004</v>
      </c>
      <c r="I27" s="249"/>
      <c r="J27" s="249"/>
      <c r="N27" s="40"/>
      <c r="O27" s="40"/>
      <c r="P27" s="243">
        <f t="shared" si="1"/>
        <v>0</v>
      </c>
    </row>
    <row r="28" spans="1:175" s="39" customFormat="1" ht="60" hidden="1" customHeight="1" x14ac:dyDescent="0.2">
      <c r="A28" s="45"/>
      <c r="E28" s="245" t="s">
        <v>306</v>
      </c>
      <c r="F28" s="246">
        <f>1115201440+787200.23</f>
        <v>1115988640.23</v>
      </c>
      <c r="G28" s="247" t="s">
        <v>285</v>
      </c>
      <c r="H28" s="248">
        <v>0.80930000000000002</v>
      </c>
      <c r="I28" s="249"/>
      <c r="J28" s="249"/>
      <c r="N28" s="40"/>
      <c r="O28" s="40"/>
      <c r="P28" s="243">
        <f t="shared" si="1"/>
        <v>0</v>
      </c>
    </row>
    <row r="29" spans="1:175" s="39" customFormat="1" ht="62.25" hidden="1" customHeight="1" x14ac:dyDescent="0.2">
      <c r="A29" s="45"/>
      <c r="E29" s="245" t="s">
        <v>307</v>
      </c>
      <c r="F29" s="246">
        <v>80984260</v>
      </c>
      <c r="G29" s="247" t="s">
        <v>285</v>
      </c>
      <c r="H29" s="248">
        <v>1</v>
      </c>
      <c r="I29" s="249"/>
      <c r="J29" s="249"/>
      <c r="N29" s="40"/>
      <c r="O29" s="40"/>
      <c r="P29" s="243">
        <f t="shared" si="1"/>
        <v>0</v>
      </c>
    </row>
    <row r="30" spans="1:175" s="39" customFormat="1" ht="35.1" hidden="1" customHeight="1" x14ac:dyDescent="0.2">
      <c r="A30" s="45"/>
      <c r="E30" s="245" t="s">
        <v>308</v>
      </c>
      <c r="F30" s="246">
        <v>393900000</v>
      </c>
      <c r="G30" s="247" t="s">
        <v>285</v>
      </c>
      <c r="H30" s="248">
        <v>0</v>
      </c>
      <c r="I30" s="249"/>
      <c r="J30" s="249"/>
      <c r="N30" s="40"/>
      <c r="O30" s="40"/>
      <c r="P30" s="243">
        <f t="shared" si="1"/>
        <v>0</v>
      </c>
    </row>
    <row r="31" spans="1:175" s="39" customFormat="1" ht="33" hidden="1" customHeight="1" x14ac:dyDescent="0.2">
      <c r="A31" s="45"/>
      <c r="E31" s="245" t="s">
        <v>309</v>
      </c>
      <c r="F31" s="246">
        <v>53100000</v>
      </c>
      <c r="G31" s="247" t="s">
        <v>285</v>
      </c>
      <c r="H31" s="248">
        <v>0.92320000000000002</v>
      </c>
      <c r="I31" s="249"/>
      <c r="J31" s="249"/>
      <c r="N31" s="40"/>
      <c r="O31" s="40"/>
      <c r="P31" s="243">
        <f t="shared" si="1"/>
        <v>0</v>
      </c>
    </row>
    <row r="32" spans="1:175" s="39" customFormat="1" ht="42" hidden="1" customHeight="1" x14ac:dyDescent="0.2">
      <c r="A32" s="45"/>
      <c r="E32" s="245" t="s">
        <v>310</v>
      </c>
      <c r="F32" s="246">
        <v>36199800</v>
      </c>
      <c r="G32" s="247" t="s">
        <v>285</v>
      </c>
      <c r="H32" s="248">
        <v>0</v>
      </c>
      <c r="I32" s="249"/>
      <c r="J32" s="249"/>
      <c r="N32" s="40"/>
      <c r="O32" s="40"/>
      <c r="P32" s="243">
        <f t="shared" si="1"/>
        <v>0</v>
      </c>
    </row>
    <row r="33" spans="1:171" s="38" customFormat="1" ht="26.25" hidden="1" customHeight="1" x14ac:dyDescent="0.2">
      <c r="A33" s="44"/>
      <c r="B33" s="240">
        <v>410105</v>
      </c>
      <c r="C33" s="241" t="s">
        <v>145</v>
      </c>
      <c r="D33" s="250">
        <f>+F34</f>
        <v>630685977.23000002</v>
      </c>
      <c r="E33" s="308">
        <v>406150000</v>
      </c>
      <c r="F33" s="243">
        <v>379150000</v>
      </c>
      <c r="G33" s="243">
        <v>0</v>
      </c>
      <c r="H33" s="244">
        <f>E33*$N$1/D33</f>
        <v>0.64398133883335773</v>
      </c>
      <c r="I33" s="244">
        <f>+G33*$N$1/D33</f>
        <v>0</v>
      </c>
      <c r="J33" s="243">
        <f>+D33-G33</f>
        <v>630685977.23000002</v>
      </c>
    </row>
    <row r="34" spans="1:171" ht="36.75" hidden="1" customHeight="1" x14ac:dyDescent="0.2">
      <c r="A34" s="46"/>
      <c r="B34" s="2"/>
      <c r="C34" s="2"/>
      <c r="D34" s="2"/>
      <c r="E34" s="245" t="s">
        <v>311</v>
      </c>
      <c r="F34" s="246">
        <v>630685977.23000002</v>
      </c>
      <c r="G34" s="247" t="s">
        <v>285</v>
      </c>
      <c r="H34" s="248">
        <v>0.64400000000000002</v>
      </c>
      <c r="I34" s="249"/>
      <c r="J34" s="249"/>
      <c r="N34" s="47"/>
      <c r="O34" s="47"/>
      <c r="P34" s="243">
        <f>+D34-M34</f>
        <v>0</v>
      </c>
    </row>
    <row r="35" spans="1:171" s="41" customFormat="1" ht="26.25" hidden="1" customHeight="1" x14ac:dyDescent="0.2">
      <c r="A35" s="38"/>
      <c r="B35" s="240">
        <v>410106</v>
      </c>
      <c r="C35" s="241" t="s">
        <v>148</v>
      </c>
      <c r="D35" s="250">
        <f>+SUM(F36:F44)</f>
        <v>7478745473.1599998</v>
      </c>
      <c r="E35" s="308">
        <v>2340879958</v>
      </c>
      <c r="F35" s="243">
        <v>2273463941</v>
      </c>
      <c r="G35" s="243">
        <v>813570024</v>
      </c>
      <c r="H35" s="244">
        <f>E35*$N$1/D35</f>
        <v>0.31300436234941237</v>
      </c>
      <c r="I35" s="244">
        <f>+G35*$N$1/D35</f>
        <v>0.10878429101776098</v>
      </c>
      <c r="J35" s="243">
        <f>+D35-G35</f>
        <v>6665175449.1599998</v>
      </c>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8"/>
      <c r="EZ35" s="38"/>
      <c r="FA35" s="38"/>
      <c r="FB35" s="38"/>
      <c r="FC35" s="38"/>
      <c r="FD35" s="38"/>
      <c r="FE35" s="38"/>
      <c r="FF35" s="38"/>
      <c r="FG35" s="38"/>
      <c r="FH35" s="38"/>
      <c r="FI35" s="38"/>
      <c r="FJ35" s="38"/>
      <c r="FK35" s="38"/>
      <c r="FL35" s="38"/>
      <c r="FM35" s="38"/>
      <c r="FN35" s="38"/>
      <c r="FO35" s="38"/>
    </row>
    <row r="36" spans="1:171" s="39" customFormat="1" ht="46.5" hidden="1" customHeight="1" x14ac:dyDescent="0.2">
      <c r="E36" s="245" t="s">
        <v>312</v>
      </c>
      <c r="F36" s="246">
        <v>742419296</v>
      </c>
      <c r="G36" s="247" t="s">
        <v>285</v>
      </c>
      <c r="H36" s="248">
        <v>0.94840000000000002</v>
      </c>
      <c r="I36" s="249"/>
      <c r="J36" s="249"/>
      <c r="K36" s="48"/>
      <c r="N36" s="40"/>
      <c r="O36" s="40"/>
      <c r="P36" s="243">
        <f t="shared" ref="P36:P44" si="2">+D36-M36</f>
        <v>0</v>
      </c>
    </row>
    <row r="37" spans="1:171" s="39" customFormat="1" ht="39.75" hidden="1" customHeight="1" x14ac:dyDescent="0.2">
      <c r="E37" s="245" t="s">
        <v>313</v>
      </c>
      <c r="F37" s="246">
        <v>109000000</v>
      </c>
      <c r="G37" s="247" t="s">
        <v>285</v>
      </c>
      <c r="H37" s="248">
        <v>1</v>
      </c>
      <c r="I37" s="249"/>
      <c r="J37" s="249"/>
      <c r="K37" s="48"/>
      <c r="N37" s="40"/>
      <c r="O37" s="40"/>
      <c r="P37" s="243">
        <f t="shared" si="2"/>
        <v>0</v>
      </c>
    </row>
    <row r="38" spans="1:171" s="39" customFormat="1" ht="46.5" hidden="1" customHeight="1" x14ac:dyDescent="0.2">
      <c r="E38" s="245" t="s">
        <v>314</v>
      </c>
      <c r="F38" s="246">
        <v>80893591</v>
      </c>
      <c r="G38" s="247" t="s">
        <v>285</v>
      </c>
      <c r="H38" s="248">
        <v>1</v>
      </c>
      <c r="I38" s="249"/>
      <c r="J38" s="249"/>
      <c r="K38" s="48"/>
      <c r="N38" s="40"/>
      <c r="O38" s="40"/>
      <c r="P38" s="243">
        <f t="shared" si="2"/>
        <v>0</v>
      </c>
    </row>
    <row r="39" spans="1:171" s="39" customFormat="1" ht="39" hidden="1" customHeight="1" x14ac:dyDescent="0.2">
      <c r="E39" s="245" t="s">
        <v>315</v>
      </c>
      <c r="F39" s="246">
        <v>3514120347</v>
      </c>
      <c r="G39" s="247" t="s">
        <v>285</v>
      </c>
      <c r="H39" s="248">
        <v>5.04E-2</v>
      </c>
      <c r="I39" s="249"/>
      <c r="J39" s="249"/>
      <c r="K39" s="48"/>
      <c r="N39" s="40"/>
      <c r="O39" s="40"/>
      <c r="P39" s="243">
        <f t="shared" si="2"/>
        <v>0</v>
      </c>
    </row>
    <row r="40" spans="1:171" s="39" customFormat="1" ht="49.5" hidden="1" customHeight="1" x14ac:dyDescent="0.2">
      <c r="E40" s="245" t="s">
        <v>316</v>
      </c>
      <c r="F40" s="246">
        <f>84358070+602756757</f>
        <v>687114827</v>
      </c>
      <c r="G40" s="247" t="s">
        <v>285</v>
      </c>
      <c r="H40" s="248">
        <v>0</v>
      </c>
      <c r="I40" s="249"/>
      <c r="J40" s="249"/>
      <c r="K40" s="48"/>
      <c r="N40" s="40"/>
      <c r="O40" s="40"/>
      <c r="P40" s="243">
        <f t="shared" si="2"/>
        <v>0</v>
      </c>
    </row>
    <row r="41" spans="1:171" s="39" customFormat="1" ht="49.5" hidden="1" customHeight="1" x14ac:dyDescent="0.2">
      <c r="E41" s="245" t="s">
        <v>317</v>
      </c>
      <c r="F41" s="246">
        <v>33124712</v>
      </c>
      <c r="G41" s="247" t="s">
        <v>285</v>
      </c>
      <c r="H41" s="248">
        <v>0.84909999999999997</v>
      </c>
      <c r="I41" s="249"/>
      <c r="J41" s="249"/>
      <c r="K41" s="48"/>
      <c r="N41" s="40"/>
      <c r="O41" s="40"/>
      <c r="P41" s="243">
        <f t="shared" si="2"/>
        <v>0</v>
      </c>
    </row>
    <row r="42" spans="1:171" s="39" customFormat="1" ht="49.5" hidden="1" customHeight="1" x14ac:dyDescent="0.2">
      <c r="E42" s="245" t="s">
        <v>318</v>
      </c>
      <c r="F42" s="246">
        <v>733240357</v>
      </c>
      <c r="G42" s="247" t="s">
        <v>285</v>
      </c>
      <c r="H42" s="248">
        <v>0.27389999999999998</v>
      </c>
      <c r="I42" s="249"/>
      <c r="J42" s="249"/>
      <c r="K42" s="48"/>
      <c r="N42" s="40"/>
      <c r="O42" s="40"/>
      <c r="P42" s="243">
        <f t="shared" si="2"/>
        <v>0</v>
      </c>
    </row>
    <row r="43" spans="1:171" s="39" customFormat="1" ht="39" hidden="1" customHeight="1" x14ac:dyDescent="0.2">
      <c r="E43" s="245" t="s">
        <v>319</v>
      </c>
      <c r="F43" s="246">
        <v>1227739771.1600001</v>
      </c>
      <c r="G43" s="247" t="s">
        <v>285</v>
      </c>
      <c r="H43" s="248">
        <v>0.67479999999999996</v>
      </c>
      <c r="I43" s="249"/>
      <c r="J43" s="249"/>
      <c r="K43" s="48"/>
      <c r="N43" s="40"/>
      <c r="O43" s="40"/>
      <c r="P43" s="243">
        <f t="shared" si="2"/>
        <v>0</v>
      </c>
    </row>
    <row r="44" spans="1:171" s="39" customFormat="1" ht="42.75" hidden="1" customHeight="1" x14ac:dyDescent="0.2">
      <c r="E44" s="245" t="s">
        <v>320</v>
      </c>
      <c r="F44" s="246">
        <v>351092572</v>
      </c>
      <c r="G44" s="247" t="s">
        <v>285</v>
      </c>
      <c r="H44" s="248">
        <v>0.60489999999999999</v>
      </c>
      <c r="I44" s="249"/>
      <c r="J44" s="249"/>
      <c r="K44" s="48"/>
      <c r="N44" s="40"/>
      <c r="O44" s="40"/>
      <c r="P44" s="243">
        <f t="shared" si="2"/>
        <v>0</v>
      </c>
    </row>
    <row r="45" spans="1:171" s="38" customFormat="1" ht="37.5" hidden="1" customHeight="1" x14ac:dyDescent="0.2">
      <c r="B45" s="240">
        <v>410107</v>
      </c>
      <c r="C45" s="241" t="s">
        <v>321</v>
      </c>
      <c r="D45" s="250">
        <f>SUM(F46:F50)</f>
        <v>338228436</v>
      </c>
      <c r="E45" s="308">
        <v>23369820</v>
      </c>
      <c r="F45" s="243">
        <v>23369820</v>
      </c>
      <c r="G45" s="243">
        <v>19363320</v>
      </c>
      <c r="H45" s="244">
        <f>E45*$N$1/D45</f>
        <v>6.9094781847378439E-2</v>
      </c>
      <c r="I45" s="244">
        <f>+G45*$N$1/D45</f>
        <v>5.7249237317231361E-2</v>
      </c>
      <c r="J45" s="243">
        <f>+D45-G45</f>
        <v>318865116</v>
      </c>
    </row>
    <row r="46" spans="1:171" ht="91.5" hidden="1" customHeight="1" x14ac:dyDescent="0.2">
      <c r="B46" s="2"/>
      <c r="C46" s="2"/>
      <c r="D46" s="2"/>
      <c r="E46" s="245" t="s">
        <v>322</v>
      </c>
      <c r="F46" s="246">
        <v>2827500</v>
      </c>
      <c r="G46" s="247" t="s">
        <v>285</v>
      </c>
      <c r="H46" s="248">
        <v>1</v>
      </c>
      <c r="I46" s="249"/>
      <c r="J46" s="249"/>
      <c r="K46" s="48"/>
      <c r="N46" s="47"/>
      <c r="O46" s="47"/>
      <c r="P46" s="243">
        <f>+D46-M46</f>
        <v>0</v>
      </c>
    </row>
    <row r="47" spans="1:171" ht="66" hidden="1" customHeight="1" x14ac:dyDescent="0.2">
      <c r="B47" s="2"/>
      <c r="C47" s="2"/>
      <c r="D47" s="2"/>
      <c r="E47" s="245" t="s">
        <v>323</v>
      </c>
      <c r="F47" s="246">
        <v>3980000</v>
      </c>
      <c r="G47" s="247" t="s">
        <v>285</v>
      </c>
      <c r="H47" s="248">
        <v>1</v>
      </c>
      <c r="I47" s="249"/>
      <c r="J47" s="249"/>
      <c r="K47" s="48"/>
      <c r="N47" s="47"/>
      <c r="O47" s="47"/>
      <c r="P47" s="243">
        <f>+D47-M47</f>
        <v>0</v>
      </c>
    </row>
    <row r="48" spans="1:171" ht="51.75" hidden="1" customHeight="1" x14ac:dyDescent="0.2">
      <c r="B48" s="2"/>
      <c r="C48" s="2"/>
      <c r="D48" s="2"/>
      <c r="E48" s="245" t="s">
        <v>324</v>
      </c>
      <c r="F48" s="246">
        <v>34870252</v>
      </c>
      <c r="G48" s="247" t="s">
        <v>285</v>
      </c>
      <c r="H48" s="248">
        <v>0</v>
      </c>
      <c r="I48" s="249"/>
      <c r="J48" s="249"/>
      <c r="K48" s="48"/>
      <c r="N48" s="47"/>
      <c r="O48" s="47"/>
      <c r="P48" s="243">
        <f>+D48-M48</f>
        <v>0</v>
      </c>
    </row>
    <row r="49" spans="1:171" ht="30.75" hidden="1" customHeight="1" x14ac:dyDescent="0.2">
      <c r="B49" s="2"/>
      <c r="C49" s="2"/>
      <c r="D49" s="2"/>
      <c r="E49" s="245" t="s">
        <v>325</v>
      </c>
      <c r="F49" s="246">
        <v>16562320</v>
      </c>
      <c r="G49" s="247" t="s">
        <v>285</v>
      </c>
      <c r="H49" s="248">
        <v>1</v>
      </c>
      <c r="I49" s="249"/>
      <c r="J49" s="249"/>
      <c r="K49" s="48"/>
      <c r="N49" s="47"/>
      <c r="O49" s="47"/>
      <c r="P49" s="243">
        <f>+D49-M49</f>
        <v>0</v>
      </c>
    </row>
    <row r="50" spans="1:171" ht="51" hidden="1" customHeight="1" x14ac:dyDescent="0.2">
      <c r="B50" s="2"/>
      <c r="C50" s="2"/>
      <c r="D50" s="2"/>
      <c r="E50" s="245" t="s">
        <v>326</v>
      </c>
      <c r="F50" s="246">
        <v>279988364</v>
      </c>
      <c r="G50" s="247" t="s">
        <v>285</v>
      </c>
      <c r="H50" s="248">
        <v>0</v>
      </c>
      <c r="I50" s="249"/>
      <c r="J50" s="249"/>
      <c r="K50" s="48"/>
      <c r="N50" s="47"/>
      <c r="O50" s="47"/>
      <c r="P50" s="243">
        <f>+D50-M50</f>
        <v>0</v>
      </c>
    </row>
    <row r="51" spans="1:171" s="41" customFormat="1" ht="26.25" hidden="1" customHeight="1" x14ac:dyDescent="0.2">
      <c r="A51" s="38"/>
      <c r="B51" s="240">
        <v>410108</v>
      </c>
      <c r="C51" s="241" t="s">
        <v>163</v>
      </c>
      <c r="D51" s="250">
        <f>SUM(F52:F62)</f>
        <v>16218997184.640001</v>
      </c>
      <c r="E51" s="308">
        <v>345021620</v>
      </c>
      <c r="F51" s="243">
        <v>345021620</v>
      </c>
      <c r="G51" s="243">
        <v>90000004</v>
      </c>
      <c r="H51" s="244">
        <f>E51*$N$1/D51</f>
        <v>2.1272685115621602E-2</v>
      </c>
      <c r="I51" s="244">
        <f>+G51*$N$1/D51</f>
        <v>5.5490486233781078E-3</v>
      </c>
      <c r="J51" s="243">
        <f>+D51-G51</f>
        <v>16128997180.640001</v>
      </c>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c r="EV51" s="38"/>
      <c r="EW51" s="38"/>
      <c r="EX51" s="38"/>
      <c r="EY51" s="38"/>
      <c r="EZ51" s="38"/>
      <c r="FA51" s="38"/>
      <c r="FB51" s="38"/>
      <c r="FC51" s="38"/>
      <c r="FD51" s="38"/>
      <c r="FE51" s="38"/>
      <c r="FF51" s="38"/>
      <c r="FG51" s="38"/>
      <c r="FH51" s="38"/>
      <c r="FI51" s="38"/>
      <c r="FJ51" s="38"/>
      <c r="FK51" s="38"/>
      <c r="FL51" s="38"/>
      <c r="FM51" s="38"/>
      <c r="FN51" s="38"/>
      <c r="FO51" s="38"/>
    </row>
    <row r="52" spans="1:171" s="49" customFormat="1" ht="51.75" hidden="1" customHeight="1" x14ac:dyDescent="0.2">
      <c r="A52" s="2"/>
      <c r="B52" s="2"/>
      <c r="C52" s="2"/>
      <c r="D52" s="2"/>
      <c r="E52" s="251" t="s">
        <v>327</v>
      </c>
      <c r="F52" s="252">
        <v>1022946920.28</v>
      </c>
      <c r="G52" s="247" t="s">
        <v>285</v>
      </c>
      <c r="H52" s="248"/>
      <c r="I52" s="249"/>
      <c r="J52" s="249"/>
      <c r="K52" s="48"/>
      <c r="L52" s="2"/>
      <c r="M52" s="2"/>
      <c r="N52" s="47"/>
      <c r="O52" s="47"/>
      <c r="P52" s="243">
        <f t="shared" ref="P52:P62" si="3">+D52-M52</f>
        <v>0</v>
      </c>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row>
    <row r="53" spans="1:171" s="49" customFormat="1" ht="42.75" hidden="1" customHeight="1" x14ac:dyDescent="0.2">
      <c r="A53" s="2"/>
      <c r="B53" s="2"/>
      <c r="C53" s="2"/>
      <c r="D53" s="2"/>
      <c r="E53" s="251" t="s">
        <v>328</v>
      </c>
      <c r="F53" s="252">
        <v>90000000</v>
      </c>
      <c r="G53" s="247" t="s">
        <v>285</v>
      </c>
      <c r="H53" s="248">
        <v>1</v>
      </c>
      <c r="I53" s="249"/>
      <c r="J53" s="249"/>
      <c r="K53" s="48"/>
      <c r="L53" s="2"/>
      <c r="M53" s="2"/>
      <c r="N53" s="47"/>
      <c r="O53" s="47"/>
      <c r="P53" s="243">
        <f t="shared" si="3"/>
        <v>0</v>
      </c>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row>
    <row r="54" spans="1:171" s="49" customFormat="1" ht="50.25" hidden="1" customHeight="1" x14ac:dyDescent="0.2">
      <c r="A54" s="2"/>
      <c r="B54" s="2"/>
      <c r="C54" s="2"/>
      <c r="D54" s="2"/>
      <c r="E54" s="251" t="s">
        <v>329</v>
      </c>
      <c r="F54" s="252">
        <v>146415791</v>
      </c>
      <c r="G54" s="247" t="s">
        <v>285</v>
      </c>
      <c r="H54" s="248">
        <v>1</v>
      </c>
      <c r="I54" s="249"/>
      <c r="J54" s="249"/>
      <c r="K54" s="48"/>
      <c r="L54" s="2"/>
      <c r="M54" s="2"/>
      <c r="N54" s="47"/>
      <c r="O54" s="47"/>
      <c r="P54" s="243">
        <f t="shared" si="3"/>
        <v>0</v>
      </c>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row>
    <row r="55" spans="1:171" s="49" customFormat="1" ht="43.5" hidden="1" customHeight="1" x14ac:dyDescent="0.2">
      <c r="A55" s="2"/>
      <c r="B55" s="2"/>
      <c r="C55" s="2"/>
      <c r="D55" s="2"/>
      <c r="E55" s="251" t="s">
        <v>330</v>
      </c>
      <c r="F55" s="252">
        <v>499999989</v>
      </c>
      <c r="G55" s="247" t="s">
        <v>285</v>
      </c>
      <c r="H55" s="248">
        <v>0</v>
      </c>
      <c r="I55" s="249"/>
      <c r="J55" s="249"/>
      <c r="K55" s="48"/>
      <c r="L55" s="2"/>
      <c r="M55" s="2"/>
      <c r="N55" s="47"/>
      <c r="O55" s="47"/>
      <c r="P55" s="243">
        <f t="shared" si="3"/>
        <v>0</v>
      </c>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row>
    <row r="56" spans="1:171" s="49" customFormat="1" ht="43.5" hidden="1" customHeight="1" x14ac:dyDescent="0.2">
      <c r="A56" s="2"/>
      <c r="B56" s="2"/>
      <c r="C56" s="2"/>
      <c r="D56" s="2"/>
      <c r="E56" s="251" t="s">
        <v>331</v>
      </c>
      <c r="F56" s="252">
        <v>25823000</v>
      </c>
      <c r="G56" s="247" t="s">
        <v>285</v>
      </c>
      <c r="H56" s="248">
        <v>1</v>
      </c>
      <c r="I56" s="249"/>
      <c r="J56" s="249"/>
      <c r="K56" s="48"/>
      <c r="L56" s="2"/>
      <c r="M56" s="2"/>
      <c r="N56" s="47"/>
      <c r="O56" s="47"/>
      <c r="P56" s="243">
        <f t="shared" si="3"/>
        <v>0</v>
      </c>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row>
    <row r="57" spans="1:171" s="49" customFormat="1" ht="40.5" hidden="1" customHeight="1" x14ac:dyDescent="0.2">
      <c r="A57" s="2"/>
      <c r="B57" s="2"/>
      <c r="C57" s="2"/>
      <c r="D57" s="2"/>
      <c r="E57" s="251" t="s">
        <v>332</v>
      </c>
      <c r="F57" s="252">
        <f>14000000000-F54</f>
        <v>13853584209</v>
      </c>
      <c r="G57" s="247" t="s">
        <v>285</v>
      </c>
      <c r="H57" s="248"/>
      <c r="I57" s="249"/>
      <c r="J57" s="249"/>
      <c r="K57" s="48"/>
      <c r="L57" s="2"/>
      <c r="M57" s="2"/>
      <c r="N57" s="47"/>
      <c r="O57" s="47"/>
      <c r="P57" s="243">
        <f t="shared" si="3"/>
        <v>0</v>
      </c>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row>
    <row r="58" spans="1:171" s="49" customFormat="1" ht="66.75" hidden="1" customHeight="1" x14ac:dyDescent="0.2">
      <c r="A58" s="2"/>
      <c r="B58" s="2"/>
      <c r="C58" s="2"/>
      <c r="D58" s="2"/>
      <c r="E58" s="251" t="s">
        <v>333</v>
      </c>
      <c r="F58" s="252">
        <v>82782825</v>
      </c>
      <c r="G58" s="247" t="s">
        <v>285</v>
      </c>
      <c r="H58" s="248">
        <v>1</v>
      </c>
      <c r="I58" s="249"/>
      <c r="J58" s="249"/>
      <c r="K58" s="48"/>
      <c r="L58" s="2"/>
      <c r="M58" s="2"/>
      <c r="N58" s="47"/>
      <c r="O58" s="47"/>
      <c r="P58" s="243">
        <f t="shared" si="3"/>
        <v>0</v>
      </c>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row>
    <row r="59" spans="1:171" s="49" customFormat="1" ht="64.5" hidden="1" customHeight="1" x14ac:dyDescent="0.2">
      <c r="A59" s="2"/>
      <c r="B59" s="2"/>
      <c r="C59" s="2"/>
      <c r="D59" s="2"/>
      <c r="E59" s="251" t="s">
        <v>334</v>
      </c>
      <c r="F59" s="252">
        <v>219239144</v>
      </c>
      <c r="G59" s="247" t="s">
        <v>285</v>
      </c>
      <c r="H59" s="248">
        <v>0</v>
      </c>
      <c r="I59" s="249"/>
      <c r="J59" s="249"/>
      <c r="K59" s="48"/>
      <c r="L59" s="2"/>
      <c r="M59" s="2"/>
      <c r="N59" s="47"/>
      <c r="O59" s="47"/>
      <c r="P59" s="243">
        <f t="shared" si="3"/>
        <v>0</v>
      </c>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row>
    <row r="60" spans="1:171" s="49" customFormat="1" ht="63.75" hidden="1" customHeight="1" x14ac:dyDescent="0.2">
      <c r="A60" s="2"/>
      <c r="B60" s="2"/>
      <c r="C60" s="2"/>
      <c r="D60" s="2"/>
      <c r="E60" s="251" t="s">
        <v>335</v>
      </c>
      <c r="F60" s="252">
        <v>20475765</v>
      </c>
      <c r="G60" s="247" t="s">
        <v>285</v>
      </c>
      <c r="H60" s="248">
        <v>0</v>
      </c>
      <c r="I60" s="249"/>
      <c r="J60" s="249"/>
      <c r="K60" s="48"/>
      <c r="L60" s="2"/>
      <c r="M60" s="2"/>
      <c r="N60" s="47"/>
      <c r="O60" s="47"/>
      <c r="P60" s="243">
        <f t="shared" si="3"/>
        <v>0</v>
      </c>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row>
    <row r="61" spans="1:171" s="49" customFormat="1" ht="89.25" hidden="1" customHeight="1" x14ac:dyDescent="0.2">
      <c r="A61" s="2"/>
      <c r="B61" s="2"/>
      <c r="C61" s="2"/>
      <c r="D61" s="2"/>
      <c r="E61" s="251" t="s">
        <v>336</v>
      </c>
      <c r="F61" s="252">
        <v>224141168</v>
      </c>
      <c r="G61" s="247" t="s">
        <v>285</v>
      </c>
      <c r="H61" s="248">
        <v>0</v>
      </c>
      <c r="I61" s="249"/>
      <c r="J61" s="249"/>
      <c r="K61" s="48"/>
      <c r="L61" s="2"/>
      <c r="M61" s="2"/>
      <c r="N61" s="47"/>
      <c r="O61" s="47"/>
      <c r="P61" s="243">
        <f t="shared" si="3"/>
        <v>0</v>
      </c>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row>
    <row r="62" spans="1:171" s="49" customFormat="1" ht="59.25" hidden="1" customHeight="1" x14ac:dyDescent="0.2">
      <c r="A62" s="2"/>
      <c r="B62" s="2"/>
      <c r="C62" s="2"/>
      <c r="D62" s="2"/>
      <c r="E62" s="251" t="s">
        <v>337</v>
      </c>
      <c r="F62" s="252">
        <v>33588373.359999999</v>
      </c>
      <c r="G62" s="247" t="s">
        <v>285</v>
      </c>
      <c r="H62" s="248">
        <v>0</v>
      </c>
      <c r="I62" s="249"/>
      <c r="J62" s="249"/>
      <c r="K62" s="48"/>
      <c r="L62" s="2"/>
      <c r="M62" s="2"/>
      <c r="N62" s="47"/>
      <c r="O62" s="47"/>
      <c r="P62" s="243">
        <f t="shared" si="3"/>
        <v>0</v>
      </c>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row>
    <row r="63" spans="1:171" s="38" customFormat="1" ht="27" hidden="1" customHeight="1" x14ac:dyDescent="0.2">
      <c r="B63" s="240">
        <v>410109</v>
      </c>
      <c r="C63" s="241" t="s">
        <v>177</v>
      </c>
      <c r="D63" s="250">
        <f>SUM(F64:F70)</f>
        <v>5393724883.25</v>
      </c>
      <c r="E63" s="308">
        <v>3103929501</v>
      </c>
      <c r="F63" s="243">
        <v>3103943885</v>
      </c>
      <c r="G63" s="243">
        <v>2501098003.9200001</v>
      </c>
      <c r="H63" s="244">
        <f>E63*$N$1/D63</f>
        <v>0.57547048990932603</v>
      </c>
      <c r="I63" s="244">
        <f>+G63*$N$1/D63</f>
        <v>0.46370514960580606</v>
      </c>
      <c r="J63" s="243">
        <f>+D63-G63</f>
        <v>2892626879.3299999</v>
      </c>
    </row>
    <row r="64" spans="1:171" s="39" customFormat="1" ht="84" hidden="1" customHeight="1" x14ac:dyDescent="0.2">
      <c r="E64" s="245" t="s">
        <v>338</v>
      </c>
      <c r="F64" s="246">
        <v>979695648</v>
      </c>
      <c r="G64" s="247" t="s">
        <v>285</v>
      </c>
      <c r="H64" s="248">
        <v>0.64419999999999999</v>
      </c>
      <c r="I64" s="249"/>
      <c r="J64" s="249"/>
      <c r="K64" s="48"/>
      <c r="N64" s="40"/>
      <c r="O64" s="40"/>
      <c r="P64" s="243">
        <f t="shared" ref="P64:P70" si="4">+D64-M64</f>
        <v>0</v>
      </c>
    </row>
    <row r="65" spans="1:171" s="39" customFormat="1" ht="64.5" hidden="1" customHeight="1" x14ac:dyDescent="0.2">
      <c r="E65" s="245" t="s">
        <v>339</v>
      </c>
      <c r="F65" s="246">
        <f>7412000+300119068+260000000</f>
        <v>567531068</v>
      </c>
      <c r="G65" s="247" t="s">
        <v>285</v>
      </c>
      <c r="H65" s="248">
        <v>0.79510000000000003</v>
      </c>
      <c r="I65" s="249"/>
      <c r="J65" s="249"/>
      <c r="K65" s="48"/>
      <c r="N65" s="40"/>
      <c r="O65" s="40"/>
      <c r="P65" s="243">
        <f t="shared" si="4"/>
        <v>0</v>
      </c>
    </row>
    <row r="66" spans="1:171" s="5" customFormat="1" ht="82.5" hidden="1" customHeight="1" x14ac:dyDescent="0.2">
      <c r="E66" s="245" t="s">
        <v>340</v>
      </c>
      <c r="F66" s="246">
        <v>964910578.25</v>
      </c>
      <c r="G66" s="247" t="s">
        <v>285</v>
      </c>
      <c r="H66" s="248">
        <v>0</v>
      </c>
      <c r="I66" s="249"/>
      <c r="J66" s="249"/>
      <c r="K66" s="48"/>
      <c r="N66" s="50"/>
      <c r="O66" s="50"/>
      <c r="P66" s="243">
        <f t="shared" si="4"/>
        <v>0</v>
      </c>
    </row>
    <row r="67" spans="1:171" s="51" customFormat="1" ht="55.5" hidden="1" customHeight="1" x14ac:dyDescent="0.2">
      <c r="E67" s="245" t="s">
        <v>341</v>
      </c>
      <c r="F67" s="246">
        <f>8874796+4132200</f>
        <v>13006996</v>
      </c>
      <c r="G67" s="247" t="s">
        <v>285</v>
      </c>
      <c r="H67" s="248">
        <v>0</v>
      </c>
      <c r="I67" s="249"/>
      <c r="J67" s="249"/>
      <c r="K67" s="48"/>
      <c r="N67" s="52"/>
      <c r="O67" s="52"/>
      <c r="P67" s="243">
        <f t="shared" si="4"/>
        <v>0</v>
      </c>
    </row>
    <row r="68" spans="1:171" s="5" customFormat="1" ht="84" hidden="1" customHeight="1" x14ac:dyDescent="0.2">
      <c r="E68" s="245" t="s">
        <v>342</v>
      </c>
      <c r="F68" s="246">
        <f>1927335600+237898517</f>
        <v>2165234117</v>
      </c>
      <c r="G68" s="247" t="s">
        <v>285</v>
      </c>
      <c r="H68" s="248">
        <v>1</v>
      </c>
      <c r="I68" s="249"/>
      <c r="J68" s="249"/>
      <c r="K68" s="48"/>
      <c r="N68" s="50"/>
      <c r="O68" s="50"/>
      <c r="P68" s="243">
        <f t="shared" si="4"/>
        <v>0</v>
      </c>
    </row>
    <row r="69" spans="1:171" s="5" customFormat="1" ht="79.5" hidden="1" customHeight="1" x14ac:dyDescent="0.2">
      <c r="E69" s="245" t="s">
        <v>343</v>
      </c>
      <c r="F69" s="246">
        <v>571000000</v>
      </c>
      <c r="G69" s="247" t="s">
        <v>285</v>
      </c>
      <c r="H69" s="248">
        <v>0</v>
      </c>
      <c r="I69" s="249"/>
      <c r="J69" s="249"/>
      <c r="K69" s="48"/>
      <c r="N69" s="50"/>
      <c r="O69" s="50"/>
      <c r="P69" s="243">
        <f t="shared" si="4"/>
        <v>0</v>
      </c>
    </row>
    <row r="70" spans="1:171" s="5" customFormat="1" ht="73.5" hidden="1" customHeight="1" x14ac:dyDescent="0.2">
      <c r="E70" s="245" t="s">
        <v>344</v>
      </c>
      <c r="F70" s="246">
        <v>132346476</v>
      </c>
      <c r="G70" s="247" t="s">
        <v>285</v>
      </c>
      <c r="H70" s="248">
        <v>0</v>
      </c>
      <c r="I70" s="249"/>
      <c r="J70" s="249"/>
      <c r="K70" s="48"/>
      <c r="N70" s="50"/>
      <c r="O70" s="50"/>
      <c r="P70" s="243">
        <f t="shared" si="4"/>
        <v>0</v>
      </c>
    </row>
    <row r="71" spans="1:171" s="41" customFormat="1" ht="26.25" hidden="1" customHeight="1" x14ac:dyDescent="0.2">
      <c r="A71" s="38"/>
      <c r="B71" s="240">
        <v>410111</v>
      </c>
      <c r="C71" s="241" t="s">
        <v>186</v>
      </c>
      <c r="D71" s="250">
        <f>SUM(F72:F74)</f>
        <v>2365919497</v>
      </c>
      <c r="E71" s="308">
        <v>2063882445</v>
      </c>
      <c r="F71" s="243">
        <v>2045084223</v>
      </c>
      <c r="G71" s="243">
        <v>1626998756</v>
      </c>
      <c r="H71" s="244">
        <f>E71*$N$1/D71</f>
        <v>0.87233840695637155</v>
      </c>
      <c r="I71" s="244">
        <f>+G71*$N$1/D71</f>
        <v>0.68768136788383716</v>
      </c>
      <c r="J71" s="243">
        <f>+D71-G71</f>
        <v>738920741</v>
      </c>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8"/>
      <c r="EC71" s="38"/>
      <c r="ED71" s="38"/>
      <c r="EE71" s="38"/>
      <c r="EF71" s="38"/>
      <c r="EG71" s="38"/>
      <c r="EH71" s="38"/>
      <c r="EI71" s="38"/>
      <c r="EJ71" s="38"/>
      <c r="EK71" s="38"/>
      <c r="EL71" s="38"/>
      <c r="EM71" s="38"/>
      <c r="EN71" s="38"/>
      <c r="EO71" s="38"/>
      <c r="EP71" s="38"/>
      <c r="EQ71" s="38"/>
      <c r="ER71" s="38"/>
      <c r="ES71" s="38"/>
      <c r="ET71" s="38"/>
      <c r="EU71" s="38"/>
      <c r="EV71" s="38"/>
      <c r="EW71" s="38"/>
      <c r="EX71" s="38"/>
      <c r="EY71" s="38"/>
      <c r="EZ71" s="38"/>
      <c r="FA71" s="38"/>
      <c r="FB71" s="38"/>
      <c r="FC71" s="38"/>
      <c r="FD71" s="38"/>
      <c r="FE71" s="38"/>
      <c r="FF71" s="38"/>
      <c r="FG71" s="38"/>
      <c r="FH71" s="38"/>
      <c r="FI71" s="38"/>
      <c r="FJ71" s="38"/>
      <c r="FK71" s="38"/>
      <c r="FL71" s="38"/>
      <c r="FM71" s="38"/>
      <c r="FN71" s="38"/>
      <c r="FO71" s="38"/>
    </row>
    <row r="72" spans="1:171" s="5" customFormat="1" ht="53.25" hidden="1" customHeight="1" x14ac:dyDescent="0.2">
      <c r="E72" s="253" t="s">
        <v>345</v>
      </c>
      <c r="F72" s="254">
        <v>553450057</v>
      </c>
      <c r="G72" s="247" t="s">
        <v>285</v>
      </c>
      <c r="H72" s="248">
        <v>0.81679999999999997</v>
      </c>
      <c r="I72" s="249"/>
      <c r="J72" s="249"/>
      <c r="K72" s="48"/>
      <c r="N72" s="50"/>
      <c r="O72" s="50"/>
      <c r="P72" s="243">
        <f>+D72-M72</f>
        <v>0</v>
      </c>
    </row>
    <row r="73" spans="1:171" s="5" customFormat="1" ht="41.25" hidden="1" customHeight="1" x14ac:dyDescent="0.2">
      <c r="E73" s="253" t="s">
        <v>346</v>
      </c>
      <c r="F73" s="254">
        <v>764187700</v>
      </c>
      <c r="G73" s="247" t="s">
        <v>285</v>
      </c>
      <c r="H73" s="248">
        <v>0.81630000000000003</v>
      </c>
      <c r="I73" s="249"/>
      <c r="J73" s="249"/>
      <c r="K73" s="48"/>
      <c r="N73" s="50"/>
      <c r="O73" s="50"/>
      <c r="P73" s="243">
        <f>+D73-M73</f>
        <v>0</v>
      </c>
    </row>
    <row r="74" spans="1:171" s="5" customFormat="1" ht="57" hidden="1" customHeight="1" x14ac:dyDescent="0.2">
      <c r="E74" s="253" t="s">
        <v>347</v>
      </c>
      <c r="F74" s="254">
        <v>1048281740</v>
      </c>
      <c r="G74" s="247" t="s">
        <v>285</v>
      </c>
      <c r="H74" s="248">
        <v>1</v>
      </c>
      <c r="I74" s="249"/>
      <c r="J74" s="249"/>
      <c r="K74" s="48"/>
      <c r="N74" s="50"/>
      <c r="O74" s="50"/>
      <c r="P74" s="243">
        <f>+D74-M74</f>
        <v>0</v>
      </c>
    </row>
    <row r="75" spans="1:171" s="38" customFormat="1" ht="54" hidden="1" customHeight="1" x14ac:dyDescent="0.2">
      <c r="B75" s="240">
        <v>410112</v>
      </c>
      <c r="C75" s="241" t="s">
        <v>348</v>
      </c>
      <c r="D75" s="250">
        <f>+F76</f>
        <v>120000000</v>
      </c>
      <c r="E75" s="308">
        <v>104558862</v>
      </c>
      <c r="F75" s="243">
        <v>104558862</v>
      </c>
      <c r="G75" s="243">
        <v>62571350</v>
      </c>
      <c r="H75" s="244">
        <f>E75*$N$1/D75</f>
        <v>0.87132385000000001</v>
      </c>
      <c r="I75" s="244">
        <f>+G75*$N$1/D75</f>
        <v>0.52142791666666666</v>
      </c>
      <c r="J75" s="243">
        <f>+D75-G75</f>
        <v>57428650</v>
      </c>
    </row>
    <row r="76" spans="1:171" s="53" customFormat="1" ht="54.75" hidden="1" customHeight="1" x14ac:dyDescent="0.2">
      <c r="E76" s="245" t="s">
        <v>349</v>
      </c>
      <c r="F76" s="246">
        <v>120000000</v>
      </c>
      <c r="G76" s="247" t="s">
        <v>285</v>
      </c>
      <c r="H76" s="248">
        <v>0.87129999999999996</v>
      </c>
      <c r="I76" s="249"/>
      <c r="J76" s="249"/>
      <c r="K76" s="48"/>
      <c r="N76" s="54"/>
      <c r="O76" s="54"/>
      <c r="P76" s="243">
        <f>+D76-M76</f>
        <v>0</v>
      </c>
    </row>
    <row r="77" spans="1:171" s="38" customFormat="1" ht="49.5" hidden="1" customHeight="1" x14ac:dyDescent="0.2">
      <c r="B77" s="240">
        <v>410113</v>
      </c>
      <c r="C77" s="241" t="s">
        <v>193</v>
      </c>
      <c r="D77" s="250">
        <f>+F78</f>
        <v>240000000</v>
      </c>
      <c r="E77" s="308">
        <v>145455515</v>
      </c>
      <c r="F77" s="243">
        <v>130671715</v>
      </c>
      <c r="G77" s="243">
        <v>56028212</v>
      </c>
      <c r="H77" s="244">
        <f>E77*$N$1/D77</f>
        <v>0.6060646458333333</v>
      </c>
      <c r="I77" s="244">
        <f>+G77*$N$1/D77</f>
        <v>0.23345088333333333</v>
      </c>
      <c r="J77" s="243">
        <f>+D77-G77</f>
        <v>183971788</v>
      </c>
    </row>
    <row r="78" spans="1:171" s="55" customFormat="1" ht="69" hidden="1" customHeight="1" x14ac:dyDescent="0.2">
      <c r="E78" s="245" t="s">
        <v>350</v>
      </c>
      <c r="F78" s="255">
        <v>240000000</v>
      </c>
      <c r="G78" s="247" t="s">
        <v>285</v>
      </c>
      <c r="H78" s="248">
        <v>0.60609999999999997</v>
      </c>
      <c r="I78" s="249"/>
      <c r="J78" s="249"/>
      <c r="K78" s="48"/>
      <c r="N78" s="56"/>
      <c r="O78" s="56"/>
      <c r="P78" s="243">
        <f>+D78-M78</f>
        <v>0</v>
      </c>
    </row>
    <row r="79" spans="1:171" s="38" customFormat="1" ht="26.25" hidden="1" customHeight="1" x14ac:dyDescent="0.2">
      <c r="B79" s="240">
        <v>410114</v>
      </c>
      <c r="C79" s="256" t="s">
        <v>194</v>
      </c>
      <c r="D79" s="257">
        <f>+F80</f>
        <v>240000000</v>
      </c>
      <c r="E79" s="308">
        <v>125431185</v>
      </c>
      <c r="F79" s="243">
        <v>124231185</v>
      </c>
      <c r="G79" s="243">
        <v>108371172</v>
      </c>
      <c r="H79" s="244">
        <f>E79*$N$1/D79</f>
        <v>0.52262993749999997</v>
      </c>
      <c r="I79" s="244">
        <f>+G79*$N$1/D79</f>
        <v>0.45154654999999999</v>
      </c>
      <c r="J79" s="243">
        <f>+D79-G79</f>
        <v>131628828</v>
      </c>
    </row>
    <row r="80" spans="1:171" s="5" customFormat="1" ht="54" hidden="1" customHeight="1" x14ac:dyDescent="0.2">
      <c r="E80" s="245" t="s">
        <v>351</v>
      </c>
      <c r="F80" s="254">
        <v>240000000</v>
      </c>
      <c r="G80" s="247" t="s">
        <v>285</v>
      </c>
      <c r="H80" s="248">
        <v>0.52259999999999995</v>
      </c>
      <c r="I80" s="249"/>
      <c r="J80" s="249"/>
      <c r="K80" s="48"/>
      <c r="N80" s="50"/>
      <c r="O80" s="50"/>
      <c r="P80" s="243">
        <f>+D80-M80</f>
        <v>0</v>
      </c>
    </row>
    <row r="81" spans="2:16" s="5" customFormat="1" ht="41.25" hidden="1" customHeight="1" x14ac:dyDescent="0.2">
      <c r="B81" s="240">
        <v>410115</v>
      </c>
      <c r="C81" s="256" t="s">
        <v>197</v>
      </c>
      <c r="D81" s="257">
        <v>300000000</v>
      </c>
      <c r="E81" s="308">
        <v>299920412</v>
      </c>
      <c r="F81" s="308">
        <v>299920412</v>
      </c>
      <c r="G81" s="243">
        <v>299545298</v>
      </c>
      <c r="H81" s="244">
        <f>E81*$N$1/D81</f>
        <v>0.99973470666666664</v>
      </c>
      <c r="I81" s="244">
        <f>+G81*$N$1/D81</f>
        <v>0.99848432666666664</v>
      </c>
      <c r="J81" s="243">
        <f>+D81-G81</f>
        <v>454702</v>
      </c>
    </row>
    <row r="82" spans="2:16" s="5" customFormat="1" ht="51" hidden="1" customHeight="1" x14ac:dyDescent="0.2">
      <c r="E82" s="245" t="s">
        <v>352</v>
      </c>
      <c r="F82" s="254">
        <v>300000000</v>
      </c>
      <c r="G82" s="247" t="s">
        <v>285</v>
      </c>
      <c r="H82" s="248">
        <v>0.99444999999999995</v>
      </c>
      <c r="I82" s="249"/>
      <c r="J82" s="249"/>
      <c r="K82" s="48"/>
      <c r="N82" s="50"/>
      <c r="O82" s="50"/>
      <c r="P82" s="243">
        <f>+D82-M82</f>
        <v>0</v>
      </c>
    </row>
    <row r="83" spans="2:16" s="38" customFormat="1" ht="26.25" hidden="1" customHeight="1" x14ac:dyDescent="0.2">
      <c r="B83" s="240">
        <v>410116</v>
      </c>
      <c r="C83" s="256" t="s">
        <v>201</v>
      </c>
      <c r="D83" s="257">
        <f>SUM(F84:F88)</f>
        <v>655000000</v>
      </c>
      <c r="E83" s="308">
        <v>415126595</v>
      </c>
      <c r="F83" s="243">
        <v>412221275</v>
      </c>
      <c r="G83" s="243">
        <v>120069341</v>
      </c>
      <c r="H83" s="244">
        <f>E83*$N$1/D83</f>
        <v>0.63378106106870225</v>
      </c>
      <c r="I83" s="244">
        <f>+G83*$N$1/D83</f>
        <v>0.1833119709923664</v>
      </c>
      <c r="J83" s="243">
        <f>+D83-G83</f>
        <v>534930659</v>
      </c>
    </row>
    <row r="84" spans="2:16" s="53" customFormat="1" ht="34.5" hidden="1" customHeight="1" x14ac:dyDescent="0.2">
      <c r="E84" s="253" t="s">
        <v>353</v>
      </c>
      <c r="F84" s="254">
        <v>326693064</v>
      </c>
      <c r="G84" s="247" t="s">
        <v>285</v>
      </c>
      <c r="H84" s="248">
        <v>0.26779999999999998</v>
      </c>
      <c r="I84" s="249"/>
      <c r="J84" s="249"/>
      <c r="K84" s="48"/>
      <c r="N84" s="54"/>
      <c r="O84" s="54"/>
      <c r="P84" s="243">
        <f>+D84-M84</f>
        <v>0</v>
      </c>
    </row>
    <row r="85" spans="2:16" s="53" customFormat="1" ht="78.75" hidden="1" customHeight="1" x14ac:dyDescent="0.2">
      <c r="E85" s="253" t="s">
        <v>354</v>
      </c>
      <c r="F85" s="254">
        <v>4490200</v>
      </c>
      <c r="G85" s="247" t="s">
        <v>285</v>
      </c>
      <c r="H85" s="248">
        <v>1</v>
      </c>
      <c r="I85" s="249"/>
      <c r="J85" s="249"/>
      <c r="K85" s="48"/>
      <c r="N85" s="54"/>
      <c r="O85" s="54"/>
      <c r="P85" s="243">
        <f>+D85-M85</f>
        <v>0</v>
      </c>
    </row>
    <row r="86" spans="2:16" s="53" customFormat="1" ht="33" hidden="1" customHeight="1" x14ac:dyDescent="0.2">
      <c r="E86" s="253" t="s">
        <v>355</v>
      </c>
      <c r="F86" s="254">
        <v>94958000</v>
      </c>
      <c r="G86" s="247" t="s">
        <v>285</v>
      </c>
      <c r="H86" s="248">
        <v>1</v>
      </c>
      <c r="I86" s="249"/>
      <c r="J86" s="249"/>
      <c r="K86" s="48"/>
      <c r="N86" s="54"/>
      <c r="O86" s="54"/>
      <c r="P86" s="243">
        <f>+D86-M86</f>
        <v>0</v>
      </c>
    </row>
    <row r="87" spans="2:16" s="53" customFormat="1" ht="29.25" hidden="1" customHeight="1" x14ac:dyDescent="0.2">
      <c r="E87" s="253" t="s">
        <v>356</v>
      </c>
      <c r="F87" s="254">
        <v>150000000</v>
      </c>
      <c r="G87" s="247" t="s">
        <v>285</v>
      </c>
      <c r="H87" s="248">
        <v>0.99560000000000004</v>
      </c>
      <c r="I87" s="249"/>
      <c r="J87" s="249"/>
      <c r="K87" s="48"/>
      <c r="N87" s="54"/>
      <c r="O87" s="54"/>
      <c r="P87" s="243">
        <f>+D87-M87</f>
        <v>0</v>
      </c>
    </row>
    <row r="88" spans="2:16" s="53" customFormat="1" ht="44.25" hidden="1" customHeight="1" x14ac:dyDescent="0.2">
      <c r="E88" s="253" t="s">
        <v>357</v>
      </c>
      <c r="F88" s="254">
        <v>78858736</v>
      </c>
      <c r="G88" s="247" t="s">
        <v>285</v>
      </c>
      <c r="H88" s="248">
        <v>1</v>
      </c>
      <c r="I88" s="249"/>
      <c r="J88" s="249"/>
      <c r="K88" s="48"/>
      <c r="N88" s="54"/>
      <c r="O88" s="54"/>
      <c r="P88" s="243">
        <f>+D88-M88</f>
        <v>0</v>
      </c>
    </row>
    <row r="89" spans="2:16" s="38" customFormat="1" ht="25.5" hidden="1" customHeight="1" x14ac:dyDescent="0.2">
      <c r="B89" s="240">
        <v>410117</v>
      </c>
      <c r="C89" s="241" t="s">
        <v>204</v>
      </c>
      <c r="D89" s="250">
        <f>SUM(F90:F91)</f>
        <v>323810000</v>
      </c>
      <c r="E89" s="308">
        <v>219670731</v>
      </c>
      <c r="F89" s="243">
        <v>207590330.66999999</v>
      </c>
      <c r="G89" s="243">
        <v>200535765.90000001</v>
      </c>
      <c r="H89" s="244">
        <f>E89*$N$1/D89</f>
        <v>0.6783939069207251</v>
      </c>
      <c r="I89" s="244">
        <f>+G89*$N$1/D89</f>
        <v>0.61930071924894226</v>
      </c>
      <c r="J89" s="243">
        <f>+D89-G89</f>
        <v>123274234.09999999</v>
      </c>
    </row>
    <row r="90" spans="2:16" s="5" customFormat="1" ht="29.25" hidden="1" customHeight="1" x14ac:dyDescent="0.2">
      <c r="E90" s="245" t="s">
        <v>358</v>
      </c>
      <c r="F90" s="254">
        <v>195160000</v>
      </c>
      <c r="G90" s="247" t="s">
        <v>285</v>
      </c>
      <c r="H90" s="248">
        <v>0.61229999999999996</v>
      </c>
      <c r="I90" s="249"/>
      <c r="J90" s="249"/>
      <c r="K90" s="48"/>
      <c r="N90" s="50"/>
      <c r="O90" s="50"/>
      <c r="P90" s="243">
        <f>+D90-M90</f>
        <v>0</v>
      </c>
    </row>
    <row r="91" spans="2:16" s="5" customFormat="1" ht="29.25" hidden="1" customHeight="1" x14ac:dyDescent="0.2">
      <c r="E91" s="245" t="s">
        <v>359</v>
      </c>
      <c r="F91" s="254">
        <v>128650000</v>
      </c>
      <c r="G91" s="247" t="s">
        <v>285</v>
      </c>
      <c r="H91" s="248">
        <v>0.94520000000000004</v>
      </c>
      <c r="I91" s="249"/>
      <c r="J91" s="249"/>
      <c r="K91" s="48"/>
      <c r="N91" s="50"/>
      <c r="O91" s="50"/>
      <c r="P91" s="243">
        <f>+D91-M91</f>
        <v>0</v>
      </c>
    </row>
    <row r="92" spans="2:16" s="38" customFormat="1" ht="30.6" hidden="1" x14ac:dyDescent="0.2">
      <c r="B92" s="240">
        <v>410118</v>
      </c>
      <c r="C92" s="241" t="s">
        <v>208</v>
      </c>
      <c r="D92" s="250">
        <f>SUM(F93)</f>
        <v>280000000</v>
      </c>
      <c r="E92" s="308">
        <v>192042700</v>
      </c>
      <c r="F92" s="243">
        <v>172151852</v>
      </c>
      <c r="G92" s="243">
        <v>165114536</v>
      </c>
      <c r="H92" s="244">
        <f>E92*$N$1/D92</f>
        <v>0.68586678571428572</v>
      </c>
      <c r="I92" s="244">
        <f>+G92*$N$1/D92</f>
        <v>0.58969477142857141</v>
      </c>
      <c r="J92" s="243">
        <f>+D92-G92</f>
        <v>114885464</v>
      </c>
    </row>
    <row r="93" spans="2:16" s="5" customFormat="1" ht="35.25" hidden="1" customHeight="1" x14ac:dyDescent="0.2">
      <c r="E93" s="245" t="s">
        <v>360</v>
      </c>
      <c r="F93" s="246">
        <v>280000000</v>
      </c>
      <c r="G93" s="247" t="s">
        <v>285</v>
      </c>
      <c r="H93" s="248">
        <v>0.68589999999999995</v>
      </c>
      <c r="I93" s="249"/>
      <c r="J93" s="249"/>
      <c r="K93" s="48"/>
      <c r="P93" s="243">
        <f>+D93-M93</f>
        <v>0</v>
      </c>
    </row>
    <row r="94" spans="2:16" s="38" customFormat="1" ht="26.25" hidden="1" customHeight="1" x14ac:dyDescent="0.2">
      <c r="B94" s="240">
        <v>410119</v>
      </c>
      <c r="C94" s="241" t="s">
        <v>211</v>
      </c>
      <c r="D94" s="250">
        <f>SUM(F95)</f>
        <v>350000000</v>
      </c>
      <c r="E94" s="308">
        <v>253989839</v>
      </c>
      <c r="F94" s="243">
        <v>227989839</v>
      </c>
      <c r="G94" s="243">
        <v>224518608</v>
      </c>
      <c r="H94" s="244">
        <f>E94*$N$1/D94</f>
        <v>0.72568525428571429</v>
      </c>
      <c r="I94" s="244">
        <f>+G94*$N$1/D94</f>
        <v>0.64148173714285717</v>
      </c>
      <c r="J94" s="243">
        <f>+D94-G94</f>
        <v>125481392</v>
      </c>
    </row>
    <row r="95" spans="2:16" s="5" customFormat="1" ht="30.75" hidden="1" customHeight="1" x14ac:dyDescent="0.2">
      <c r="E95" s="245" t="s">
        <v>361</v>
      </c>
      <c r="F95" s="246">
        <v>350000000</v>
      </c>
      <c r="G95" s="247" t="s">
        <v>285</v>
      </c>
      <c r="H95" s="248">
        <v>0.97430000000000005</v>
      </c>
      <c r="I95" s="249"/>
      <c r="J95" s="249"/>
      <c r="K95" s="48"/>
      <c r="N95" s="50"/>
      <c r="O95" s="50"/>
      <c r="P95" s="243">
        <f>+D95-M95</f>
        <v>0</v>
      </c>
    </row>
    <row r="96" spans="2:16" s="38" customFormat="1" ht="26.25" hidden="1" customHeight="1" x14ac:dyDescent="0.2">
      <c r="B96" s="240">
        <v>410120</v>
      </c>
      <c r="C96" s="241" t="s">
        <v>213</v>
      </c>
      <c r="D96" s="250">
        <f>SUM(F97)</f>
        <v>1178647507.23</v>
      </c>
      <c r="E96" s="308">
        <v>804496700</v>
      </c>
      <c r="F96" s="243">
        <v>743938350</v>
      </c>
      <c r="G96" s="243">
        <v>759843150</v>
      </c>
      <c r="H96" s="244">
        <f>E96*$N$1/D96</f>
        <v>0.68255920032503103</v>
      </c>
      <c r="I96" s="244">
        <f>+G96*$N$1/D96</f>
        <v>0.64467378528271468</v>
      </c>
      <c r="J96" s="243">
        <f>+D96-G96</f>
        <v>418804357.23000002</v>
      </c>
    </row>
    <row r="97" spans="2:16" s="5" customFormat="1" ht="44.25" hidden="1" customHeight="1" x14ac:dyDescent="0.2">
      <c r="E97" s="245" t="s">
        <v>362</v>
      </c>
      <c r="F97" s="246">
        <v>1178647507.23</v>
      </c>
      <c r="G97" s="247" t="s">
        <v>285</v>
      </c>
      <c r="H97" s="248">
        <v>0.68259999999999998</v>
      </c>
      <c r="I97" s="249"/>
      <c r="J97" s="249"/>
      <c r="K97" s="48"/>
      <c r="N97" s="50"/>
      <c r="O97" s="50"/>
      <c r="P97" s="243">
        <f>+D97-M97</f>
        <v>0</v>
      </c>
    </row>
    <row r="98" spans="2:16" s="38" customFormat="1" ht="26.25" hidden="1" customHeight="1" x14ac:dyDescent="0.2">
      <c r="B98" s="240">
        <v>410122</v>
      </c>
      <c r="C98" s="241" t="s">
        <v>217</v>
      </c>
      <c r="D98" s="250">
        <f>+F99</f>
        <v>200000000</v>
      </c>
      <c r="E98" s="308">
        <v>262891164</v>
      </c>
      <c r="F98" s="308">
        <v>262891164</v>
      </c>
      <c r="G98" s="243">
        <v>260421164</v>
      </c>
      <c r="H98" s="244">
        <f>E98*$N$1/D98</f>
        <v>1.3144558200000001</v>
      </c>
      <c r="I98" s="244">
        <f>+G98*$N$1/D98</f>
        <v>1.30210582</v>
      </c>
      <c r="J98" s="243">
        <f>+D98-G98</f>
        <v>-60421164</v>
      </c>
    </row>
    <row r="99" spans="2:16" s="5" customFormat="1" ht="35.25" hidden="1" customHeight="1" x14ac:dyDescent="0.2">
      <c r="E99" s="245" t="s">
        <v>363</v>
      </c>
      <c r="F99" s="246">
        <v>200000000</v>
      </c>
      <c r="G99" s="247" t="s">
        <v>285</v>
      </c>
      <c r="H99" s="248">
        <v>0.93889999999999996</v>
      </c>
      <c r="I99" s="249"/>
      <c r="J99" s="249"/>
      <c r="K99" s="48"/>
      <c r="N99" s="50"/>
      <c r="O99" s="50"/>
      <c r="P99" s="243">
        <f>+D99-M99</f>
        <v>0</v>
      </c>
    </row>
    <row r="100" spans="2:16" s="38" customFormat="1" ht="25.5" hidden="1" customHeight="1" x14ac:dyDescent="0.2">
      <c r="B100" s="240">
        <v>410123</v>
      </c>
      <c r="C100" s="241" t="s">
        <v>364</v>
      </c>
      <c r="D100" s="250">
        <f>+F101</f>
        <v>100000000</v>
      </c>
      <c r="E100" s="308">
        <v>57656035</v>
      </c>
      <c r="F100" s="243">
        <v>45656035</v>
      </c>
      <c r="G100" s="243">
        <v>44099486</v>
      </c>
      <c r="H100" s="244">
        <f>E100*$N$1/D100</f>
        <v>0.57656035000000005</v>
      </c>
      <c r="I100" s="244">
        <f>+G100*$N$1/D100</f>
        <v>0.44099485999999999</v>
      </c>
      <c r="J100" s="243">
        <f>+D100-G100</f>
        <v>55900514</v>
      </c>
    </row>
    <row r="101" spans="2:16" s="53" customFormat="1" ht="39.75" hidden="1" customHeight="1" x14ac:dyDescent="0.2">
      <c r="E101" s="245" t="s">
        <v>365</v>
      </c>
      <c r="F101" s="246">
        <v>100000000</v>
      </c>
      <c r="G101" s="247" t="s">
        <v>285</v>
      </c>
      <c r="H101" s="248">
        <v>0.5766</v>
      </c>
      <c r="I101" s="249"/>
      <c r="J101" s="249"/>
      <c r="K101" s="48"/>
      <c r="N101" s="54"/>
      <c r="O101" s="54"/>
      <c r="P101" s="243">
        <f>+D101-M101</f>
        <v>0</v>
      </c>
    </row>
    <row r="102" spans="2:16" s="38" customFormat="1" ht="26.25" hidden="1" customHeight="1" x14ac:dyDescent="0.2">
      <c r="B102" s="240">
        <v>410124</v>
      </c>
      <c r="C102" s="241" t="s">
        <v>222</v>
      </c>
      <c r="D102" s="250">
        <f>+F103</f>
        <v>250000000</v>
      </c>
      <c r="E102" s="308">
        <v>0</v>
      </c>
      <c r="F102" s="308">
        <v>0</v>
      </c>
      <c r="G102" s="308">
        <v>0</v>
      </c>
      <c r="H102" s="244">
        <f>E102*$N$1/D102</f>
        <v>0</v>
      </c>
      <c r="I102" s="244">
        <f>+G102*$N$1/D102</f>
        <v>0</v>
      </c>
      <c r="J102" s="243">
        <f>+D102-G102</f>
        <v>250000000</v>
      </c>
    </row>
    <row r="103" spans="2:16" s="53" customFormat="1" ht="69.75" hidden="1" customHeight="1" x14ac:dyDescent="0.2">
      <c r="B103" s="57"/>
      <c r="C103" s="57"/>
      <c r="D103" s="57"/>
      <c r="E103" s="245" t="s">
        <v>366</v>
      </c>
      <c r="F103" s="246">
        <v>250000000</v>
      </c>
      <c r="G103" s="247" t="s">
        <v>285</v>
      </c>
      <c r="H103" s="248">
        <v>0</v>
      </c>
      <c r="I103" s="249"/>
      <c r="J103" s="249"/>
      <c r="K103" s="48"/>
    </row>
    <row r="104" spans="2:16" ht="25.5" customHeight="1" x14ac:dyDescent="0.2"/>
    <row r="105" spans="2:16" x14ac:dyDescent="0.2">
      <c r="D105" s="2"/>
    </row>
  </sheetData>
  <sheetProtection selectLockedCells="1" selectUnlockedCells="1"/>
  <mergeCells count="4">
    <mergeCell ref="E2:J2"/>
    <mergeCell ref="B2:B3"/>
    <mergeCell ref="C2:C3"/>
    <mergeCell ref="D2:D3"/>
  </mergeCells>
  <dataValidations count="1">
    <dataValidation showDropDown="1" showInputMessage="1" showErrorMessage="1" sqref="F68:F70" xr:uid="{00000000-0002-0000-0500-000000000000}"/>
  </dataValidations>
  <printOptions horizontalCentered="1"/>
  <pageMargins left="0.23622047244094491" right="0.23622047244094491" top="0.74803149606299213" bottom="0.74803149606299213" header="0.31496062992125984" footer="0.31496062992125984"/>
  <pageSetup paperSize="123"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A1:FG29"/>
  <sheetViews>
    <sheetView topLeftCell="A4" zoomScale="80" zoomScaleNormal="80" workbookViewId="0">
      <selection activeCell="G7" sqref="G7:G13"/>
    </sheetView>
  </sheetViews>
  <sheetFormatPr baseColWidth="10" defaultColWidth="21.33203125" defaultRowHeight="12" x14ac:dyDescent="0.25"/>
  <cols>
    <col min="1" max="1" width="0.6640625" style="2" customWidth="1"/>
    <col min="2" max="2" width="7.5546875" style="13" customWidth="1"/>
    <col min="3" max="3" width="15.5546875" style="7" customWidth="1"/>
    <col min="4" max="4" width="19.88671875" style="19" customWidth="1"/>
    <col min="5" max="5" width="18.33203125" style="10" customWidth="1"/>
    <col min="6" max="6" width="11.5546875" style="11" customWidth="1"/>
    <col min="7" max="7" width="24.109375" style="11" customWidth="1"/>
    <col min="8" max="8" width="41.109375" style="11" customWidth="1"/>
    <col min="9" max="9" width="19.33203125" style="11" customWidth="1"/>
    <col min="10" max="10" width="17.88671875" style="11" customWidth="1"/>
    <col min="11" max="11" width="23.44140625" style="11" customWidth="1"/>
    <col min="12" max="12" width="19.33203125" style="11" customWidth="1"/>
    <col min="13" max="13" width="19.33203125" style="33" customWidth="1"/>
    <col min="14" max="16384" width="21.33203125" style="2"/>
  </cols>
  <sheetData>
    <row r="1" spans="1:163" s="4" customFormat="1" ht="24" customHeight="1" x14ac:dyDescent="0.3">
      <c r="A1" s="4" t="s">
        <v>84</v>
      </c>
      <c r="B1" s="9"/>
      <c r="C1" s="6"/>
      <c r="D1" s="14"/>
      <c r="E1" s="9"/>
      <c r="F1" s="9"/>
      <c r="G1" s="9"/>
      <c r="H1" s="9"/>
      <c r="I1" s="9"/>
      <c r="J1" s="9"/>
      <c r="K1" s="9"/>
      <c r="L1" s="9"/>
      <c r="M1" s="31"/>
    </row>
    <row r="2" spans="1:163" s="4" customFormat="1" ht="16.5" customHeight="1" x14ac:dyDescent="0.3">
      <c r="B2" s="9"/>
      <c r="C2" s="6"/>
      <c r="D2" s="14"/>
      <c r="E2" s="9"/>
      <c r="F2" s="9"/>
      <c r="G2" s="9"/>
      <c r="H2" s="9"/>
      <c r="I2" s="9"/>
      <c r="J2" s="9"/>
      <c r="K2" s="9"/>
      <c r="L2" s="9"/>
      <c r="M2" s="31"/>
    </row>
    <row r="3" spans="1:163" s="3" customFormat="1" ht="36" customHeight="1" x14ac:dyDescent="0.3">
      <c r="B3" s="258" t="s">
        <v>274</v>
      </c>
      <c r="C3" s="258" t="s">
        <v>275</v>
      </c>
      <c r="D3" s="258" t="s">
        <v>367</v>
      </c>
      <c r="E3" s="258" t="s">
        <v>368</v>
      </c>
      <c r="F3" s="385" t="s">
        <v>94</v>
      </c>
      <c r="G3" s="386"/>
      <c r="H3" s="258" t="s">
        <v>369</v>
      </c>
      <c r="I3" s="259" t="s">
        <v>370</v>
      </c>
      <c r="J3" s="258" t="s">
        <v>371</v>
      </c>
      <c r="K3" s="258" t="s">
        <v>372</v>
      </c>
      <c r="L3" s="258" t="s">
        <v>373</v>
      </c>
      <c r="M3" s="258"/>
    </row>
    <row r="4" spans="1:163" s="21" customFormat="1" ht="88.5" customHeight="1" x14ac:dyDescent="0.2">
      <c r="A4" s="20"/>
      <c r="B4" s="280">
        <v>410108</v>
      </c>
      <c r="C4" s="260" t="s">
        <v>163</v>
      </c>
      <c r="D4" s="282" t="s">
        <v>374</v>
      </c>
      <c r="E4" s="261">
        <v>41726837.950000003</v>
      </c>
      <c r="F4" s="280">
        <v>50</v>
      </c>
      <c r="G4" s="260" t="s">
        <v>328</v>
      </c>
      <c r="H4" s="259" t="s">
        <v>375</v>
      </c>
      <c r="I4" s="262">
        <v>90000000</v>
      </c>
      <c r="J4" s="261"/>
      <c r="K4" s="261"/>
      <c r="L4" s="261"/>
      <c r="M4" s="261"/>
      <c r="N4" s="20"/>
      <c r="O4" s="20"/>
      <c r="P4" s="63"/>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row>
    <row r="5" spans="1:163" s="25" customFormat="1" ht="42.75" customHeight="1" x14ac:dyDescent="0.25">
      <c r="A5" s="16"/>
      <c r="B5" s="62"/>
      <c r="C5" s="62"/>
      <c r="D5" s="62"/>
      <c r="E5" s="62"/>
      <c r="F5" s="62"/>
      <c r="G5" s="62"/>
      <c r="H5" s="259"/>
      <c r="I5" s="281"/>
      <c r="J5" s="263"/>
      <c r="K5" s="263"/>
      <c r="L5" s="259"/>
      <c r="M5" s="264"/>
      <c r="N5" s="16"/>
      <c r="O5" s="16"/>
      <c r="P5" s="64"/>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row>
    <row r="6" spans="1:163" s="3" customFormat="1" ht="36" customHeight="1" x14ac:dyDescent="0.3">
      <c r="B6" s="258" t="s">
        <v>274</v>
      </c>
      <c r="C6" s="258" t="s">
        <v>275</v>
      </c>
      <c r="D6" s="258" t="s">
        <v>367</v>
      </c>
      <c r="E6" s="258" t="s">
        <v>368</v>
      </c>
      <c r="F6" s="385" t="s">
        <v>94</v>
      </c>
      <c r="G6" s="386"/>
      <c r="H6" s="258" t="s">
        <v>369</v>
      </c>
      <c r="I6" s="259" t="s">
        <v>370</v>
      </c>
      <c r="J6" s="258" t="s">
        <v>371</v>
      </c>
      <c r="K6" s="258" t="s">
        <v>372</v>
      </c>
      <c r="L6" s="258" t="s">
        <v>373</v>
      </c>
      <c r="M6" s="258"/>
      <c r="P6" s="65"/>
    </row>
    <row r="7" spans="1:163" s="21" customFormat="1" ht="66" customHeight="1" x14ac:dyDescent="0.2">
      <c r="A7" s="20"/>
      <c r="B7" s="396">
        <v>410111</v>
      </c>
      <c r="C7" s="397" t="s">
        <v>186</v>
      </c>
      <c r="D7" s="398" t="s">
        <v>35</v>
      </c>
      <c r="E7" s="399">
        <v>473934411</v>
      </c>
      <c r="F7" s="390">
        <v>1</v>
      </c>
      <c r="G7" s="393" t="s">
        <v>345</v>
      </c>
      <c r="H7" s="282" t="s">
        <v>376</v>
      </c>
      <c r="I7" s="309">
        <v>3849293</v>
      </c>
      <c r="J7" s="310"/>
      <c r="K7" s="261"/>
      <c r="L7" s="261"/>
      <c r="M7" s="264"/>
      <c r="N7" s="20"/>
      <c r="O7" s="20"/>
      <c r="P7" s="63"/>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row>
    <row r="8" spans="1:163" s="21" customFormat="1" ht="80.25" customHeight="1" x14ac:dyDescent="0.2">
      <c r="A8" s="20"/>
      <c r="B8" s="396"/>
      <c r="C8" s="397"/>
      <c r="D8" s="398"/>
      <c r="E8" s="399"/>
      <c r="F8" s="391"/>
      <c r="G8" s="394"/>
      <c r="H8" s="282" t="s">
        <v>377</v>
      </c>
      <c r="I8" s="309">
        <v>6132773</v>
      </c>
      <c r="J8" s="310"/>
      <c r="K8" s="261"/>
      <c r="L8" s="261"/>
      <c r="M8" s="264"/>
      <c r="N8" s="20"/>
      <c r="O8" s="20"/>
      <c r="P8" s="63"/>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row>
    <row r="9" spans="1:163" s="21" customFormat="1" ht="70.5" customHeight="1" x14ac:dyDescent="0.2">
      <c r="A9" s="20"/>
      <c r="B9" s="396"/>
      <c r="C9" s="397"/>
      <c r="D9" s="398"/>
      <c r="E9" s="399"/>
      <c r="F9" s="391"/>
      <c r="G9" s="394"/>
      <c r="H9" s="282" t="s">
        <v>378</v>
      </c>
      <c r="I9" s="309">
        <v>6654711</v>
      </c>
      <c r="J9" s="310"/>
      <c r="K9" s="261"/>
      <c r="L9" s="261"/>
      <c r="M9" s="264"/>
      <c r="N9" s="20"/>
      <c r="O9" s="20"/>
      <c r="P9" s="63"/>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row>
    <row r="10" spans="1:163" s="21" customFormat="1" ht="70.5" customHeight="1" x14ac:dyDescent="0.2">
      <c r="A10" s="20"/>
      <c r="B10" s="396"/>
      <c r="C10" s="397"/>
      <c r="D10" s="398"/>
      <c r="E10" s="399"/>
      <c r="F10" s="391"/>
      <c r="G10" s="394"/>
      <c r="H10" s="282" t="s">
        <v>379</v>
      </c>
      <c r="I10" s="309">
        <v>6654711</v>
      </c>
      <c r="J10" s="310"/>
      <c r="K10" s="261"/>
      <c r="L10" s="261"/>
      <c r="M10" s="264"/>
      <c r="N10" s="20"/>
      <c r="O10" s="20"/>
      <c r="P10" s="63"/>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row>
    <row r="11" spans="1:163" s="21" customFormat="1" ht="70.5" customHeight="1" x14ac:dyDescent="0.2">
      <c r="A11" s="20"/>
      <c r="B11" s="396"/>
      <c r="C11" s="397"/>
      <c r="D11" s="398"/>
      <c r="E11" s="399"/>
      <c r="F11" s="391"/>
      <c r="G11" s="394"/>
      <c r="H11" s="282" t="s">
        <v>380</v>
      </c>
      <c r="I11" s="309">
        <v>6654711</v>
      </c>
      <c r="J11" s="310"/>
      <c r="K11" s="261"/>
      <c r="L11" s="261"/>
      <c r="M11" s="264"/>
      <c r="N11" s="20"/>
      <c r="O11" s="20"/>
      <c r="P11" s="63"/>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row>
    <row r="12" spans="1:163" s="21" customFormat="1" ht="70.5" customHeight="1" x14ac:dyDescent="0.2">
      <c r="A12" s="20"/>
      <c r="B12" s="396"/>
      <c r="C12" s="397"/>
      <c r="D12" s="398"/>
      <c r="E12" s="399"/>
      <c r="F12" s="391"/>
      <c r="G12" s="394"/>
      <c r="H12" s="282" t="s">
        <v>381</v>
      </c>
      <c r="I12" s="309">
        <v>6654711</v>
      </c>
      <c r="J12" s="310"/>
      <c r="K12" s="261"/>
      <c r="L12" s="261"/>
      <c r="M12" s="264"/>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row>
    <row r="13" spans="1:163" s="21" customFormat="1" ht="70.5" customHeight="1" x14ac:dyDescent="0.2">
      <c r="A13" s="20"/>
      <c r="B13" s="396"/>
      <c r="C13" s="397"/>
      <c r="D13" s="398"/>
      <c r="E13" s="399"/>
      <c r="F13" s="392"/>
      <c r="G13" s="395"/>
      <c r="H13" s="282" t="s">
        <v>382</v>
      </c>
      <c r="I13" s="309">
        <v>8843950</v>
      </c>
      <c r="J13" s="310"/>
      <c r="K13" s="311"/>
      <c r="L13" s="261"/>
      <c r="M13" s="264"/>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row>
    <row r="14" spans="1:163" s="17" customFormat="1" ht="65.25" customHeight="1" x14ac:dyDescent="0.2">
      <c r="B14" s="396"/>
      <c r="C14" s="397"/>
      <c r="D14" s="398"/>
      <c r="E14" s="399"/>
      <c r="F14" s="390">
        <v>28</v>
      </c>
      <c r="G14" s="387" t="s">
        <v>346</v>
      </c>
      <c r="H14" s="282" t="s">
        <v>383</v>
      </c>
      <c r="I14" s="309">
        <v>5882494</v>
      </c>
      <c r="J14" s="312"/>
      <c r="K14" s="313"/>
      <c r="L14" s="281"/>
      <c r="M14" s="281"/>
    </row>
    <row r="15" spans="1:163" s="17" customFormat="1" ht="65.25" customHeight="1" x14ac:dyDescent="0.2">
      <c r="B15" s="396"/>
      <c r="C15" s="397"/>
      <c r="D15" s="398"/>
      <c r="E15" s="399"/>
      <c r="F15" s="391"/>
      <c r="G15" s="388"/>
      <c r="H15" s="282" t="s">
        <v>384</v>
      </c>
      <c r="I15" s="309">
        <v>6153000</v>
      </c>
      <c r="J15" s="312"/>
      <c r="K15" s="313"/>
      <c r="L15" s="281"/>
      <c r="M15" s="281"/>
    </row>
    <row r="16" spans="1:163" s="17" customFormat="1" ht="65.25" customHeight="1" x14ac:dyDescent="0.2">
      <c r="B16" s="396"/>
      <c r="C16" s="397"/>
      <c r="D16" s="398"/>
      <c r="E16" s="399"/>
      <c r="F16" s="391"/>
      <c r="G16" s="388"/>
      <c r="H16" s="282" t="s">
        <v>385</v>
      </c>
      <c r="I16" s="309">
        <v>3361425</v>
      </c>
      <c r="J16" s="312"/>
      <c r="K16" s="313"/>
      <c r="L16" s="281"/>
      <c r="M16" s="281"/>
    </row>
    <row r="17" spans="2:13" s="17" customFormat="1" ht="65.25" customHeight="1" x14ac:dyDescent="0.2">
      <c r="B17" s="396"/>
      <c r="C17" s="397"/>
      <c r="D17" s="398"/>
      <c r="E17" s="399"/>
      <c r="F17" s="391"/>
      <c r="G17" s="388"/>
      <c r="H17" s="282" t="s">
        <v>386</v>
      </c>
      <c r="I17" s="309">
        <v>4201782</v>
      </c>
      <c r="J17" s="312"/>
      <c r="K17" s="313"/>
      <c r="L17" s="281"/>
      <c r="M17" s="281"/>
    </row>
    <row r="18" spans="2:13" s="17" customFormat="1" ht="65.25" customHeight="1" x14ac:dyDescent="0.2">
      <c r="B18" s="396"/>
      <c r="C18" s="397"/>
      <c r="D18" s="398"/>
      <c r="E18" s="399"/>
      <c r="F18" s="392"/>
      <c r="G18" s="389"/>
      <c r="H18" s="282" t="s">
        <v>387</v>
      </c>
      <c r="I18" s="309">
        <v>4201782</v>
      </c>
      <c r="J18" s="312"/>
      <c r="K18" s="313"/>
      <c r="L18" s="281"/>
      <c r="M18" s="281"/>
    </row>
    <row r="19" spans="2:13" s="17" customFormat="1" ht="60.75" customHeight="1" x14ac:dyDescent="0.2">
      <c r="B19" s="396"/>
      <c r="C19" s="397"/>
      <c r="D19" s="398"/>
      <c r="E19" s="399"/>
      <c r="F19" s="390">
        <v>2</v>
      </c>
      <c r="G19" s="387" t="s">
        <v>347</v>
      </c>
      <c r="H19" s="282" t="s">
        <v>388</v>
      </c>
      <c r="I19" s="314">
        <v>63192100</v>
      </c>
      <c r="J19" s="315"/>
      <c r="K19" s="316"/>
      <c r="L19" s="317"/>
      <c r="M19" s="317"/>
    </row>
    <row r="20" spans="2:13" s="16" customFormat="1" ht="84" customHeight="1" x14ac:dyDescent="0.2">
      <c r="B20" s="396"/>
      <c r="C20" s="397"/>
      <c r="D20" s="398"/>
      <c r="E20" s="399"/>
      <c r="F20" s="391"/>
      <c r="G20" s="388"/>
      <c r="H20" s="282" t="s">
        <v>389</v>
      </c>
      <c r="I20" s="318">
        <v>3439800</v>
      </c>
      <c r="J20" s="319"/>
      <c r="K20" s="319"/>
      <c r="L20" s="320"/>
      <c r="M20" s="321"/>
    </row>
    <row r="21" spans="2:13" ht="51" customHeight="1" x14ac:dyDescent="0.2">
      <c r="B21" s="396"/>
      <c r="C21" s="397"/>
      <c r="D21" s="398"/>
      <c r="E21" s="399"/>
      <c r="F21" s="391"/>
      <c r="G21" s="388"/>
      <c r="H21" s="282" t="s">
        <v>390</v>
      </c>
      <c r="I21" s="318">
        <v>22874400</v>
      </c>
      <c r="J21" s="322"/>
      <c r="K21" s="322"/>
      <c r="L21" s="323"/>
      <c r="M21" s="324"/>
    </row>
    <row r="22" spans="2:13" ht="51" customHeight="1" x14ac:dyDescent="0.2">
      <c r="B22" s="396"/>
      <c r="C22" s="397"/>
      <c r="D22" s="398"/>
      <c r="E22" s="399"/>
      <c r="F22" s="391"/>
      <c r="G22" s="388"/>
      <c r="H22" s="282" t="s">
        <v>391</v>
      </c>
      <c r="I22" s="318">
        <v>7090200</v>
      </c>
      <c r="J22" s="322"/>
      <c r="K22" s="322"/>
      <c r="L22" s="323"/>
      <c r="M22" s="324"/>
    </row>
    <row r="23" spans="2:13" ht="51" customHeight="1" x14ac:dyDescent="0.2">
      <c r="B23" s="396"/>
      <c r="C23" s="397"/>
      <c r="D23" s="398"/>
      <c r="E23" s="399"/>
      <c r="F23" s="391"/>
      <c r="G23" s="388"/>
      <c r="H23" s="282" t="s">
        <v>392</v>
      </c>
      <c r="I23" s="318">
        <v>8729000</v>
      </c>
      <c r="J23" s="322"/>
      <c r="K23" s="322"/>
      <c r="L23" s="323"/>
      <c r="M23" s="324"/>
    </row>
    <row r="24" spans="2:13" ht="51" customHeight="1" x14ac:dyDescent="0.2">
      <c r="B24" s="396"/>
      <c r="C24" s="397"/>
      <c r="D24" s="398"/>
      <c r="E24" s="399"/>
      <c r="F24" s="391"/>
      <c r="G24" s="388"/>
      <c r="H24" s="282" t="s">
        <v>393</v>
      </c>
      <c r="I24" s="318">
        <v>5304600</v>
      </c>
      <c r="J24" s="322"/>
      <c r="K24" s="322"/>
      <c r="L24" s="323"/>
      <c r="M24" s="324"/>
    </row>
    <row r="25" spans="2:13" ht="51" customHeight="1" x14ac:dyDescent="0.2">
      <c r="B25" s="396"/>
      <c r="C25" s="397"/>
      <c r="D25" s="398"/>
      <c r="E25" s="399"/>
      <c r="F25" s="391"/>
      <c r="G25" s="388"/>
      <c r="H25" s="282" t="s">
        <v>394</v>
      </c>
      <c r="I25" s="318">
        <v>15522000</v>
      </c>
      <c r="J25" s="322"/>
      <c r="K25" s="322"/>
      <c r="L25" s="323"/>
      <c r="M25" s="324"/>
    </row>
    <row r="26" spans="2:13" ht="51" customHeight="1" x14ac:dyDescent="0.2">
      <c r="B26" s="396"/>
      <c r="C26" s="397"/>
      <c r="D26" s="398"/>
      <c r="E26" s="399"/>
      <c r="F26" s="391"/>
      <c r="G26" s="388"/>
      <c r="H26" s="282" t="s">
        <v>395</v>
      </c>
      <c r="I26" s="318">
        <v>5138500</v>
      </c>
      <c r="J26" s="322"/>
      <c r="K26" s="322"/>
      <c r="L26" s="323"/>
      <c r="M26" s="324"/>
    </row>
    <row r="27" spans="2:13" ht="51" customHeight="1" x14ac:dyDescent="0.2">
      <c r="B27" s="396"/>
      <c r="C27" s="397"/>
      <c r="D27" s="398"/>
      <c r="E27" s="399"/>
      <c r="F27" s="391"/>
      <c r="G27" s="388"/>
      <c r="H27" s="282" t="s">
        <v>396</v>
      </c>
      <c r="I27" s="318">
        <v>29837800</v>
      </c>
      <c r="J27" s="322"/>
      <c r="K27" s="322"/>
      <c r="L27" s="323"/>
      <c r="M27" s="324"/>
    </row>
    <row r="28" spans="2:13" ht="51" customHeight="1" x14ac:dyDescent="0.2">
      <c r="B28" s="396"/>
      <c r="C28" s="397"/>
      <c r="D28" s="398"/>
      <c r="E28" s="399"/>
      <c r="F28" s="391"/>
      <c r="G28" s="388"/>
      <c r="H28" s="282" t="s">
        <v>397</v>
      </c>
      <c r="I28" s="318">
        <v>15519600</v>
      </c>
      <c r="J28" s="322"/>
      <c r="K28" s="322"/>
      <c r="L28" s="323"/>
      <c r="M28" s="324"/>
    </row>
    <row r="29" spans="2:13" ht="51" customHeight="1" x14ac:dyDescent="0.2">
      <c r="B29" s="396"/>
      <c r="C29" s="397"/>
      <c r="D29" s="398"/>
      <c r="E29" s="399"/>
      <c r="F29" s="392"/>
      <c r="G29" s="389"/>
      <c r="H29" s="282" t="s">
        <v>398</v>
      </c>
      <c r="I29" s="318">
        <v>701950</v>
      </c>
      <c r="J29" s="322"/>
      <c r="K29" s="322"/>
      <c r="L29" s="323"/>
      <c r="M29" s="324"/>
    </row>
  </sheetData>
  <sheetProtection selectLockedCells="1" selectUnlockedCells="1"/>
  <autoFilter ref="A1:GH23" xr:uid="{00000000-0009-0000-0000-000006000000}"/>
  <mergeCells count="12">
    <mergeCell ref="F19:F29"/>
    <mergeCell ref="G19:G29"/>
    <mergeCell ref="B7:B29"/>
    <mergeCell ref="C7:C29"/>
    <mergeCell ref="D7:D29"/>
    <mergeCell ref="E7:E29"/>
    <mergeCell ref="F3:G3"/>
    <mergeCell ref="F6:G6"/>
    <mergeCell ref="G14:G18"/>
    <mergeCell ref="F14:F18"/>
    <mergeCell ref="G7:G13"/>
    <mergeCell ref="F7:F13"/>
  </mergeCells>
  <printOptions horizontalCentered="1"/>
  <pageMargins left="0.23622047244094491" right="0.23622047244094491" top="0.74803149606299213" bottom="0.74803149606299213" header="0.31496062992125984" footer="0.31496062992125984"/>
  <pageSetup paperSize="123"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G61"/>
  <sheetViews>
    <sheetView topLeftCell="A29" zoomScale="90" zoomScaleNormal="90" workbookViewId="0">
      <selection activeCell="C50" sqref="C50"/>
    </sheetView>
  </sheetViews>
  <sheetFormatPr baseColWidth="10" defaultColWidth="21.33203125" defaultRowHeight="12" x14ac:dyDescent="0.25"/>
  <cols>
    <col min="1" max="1" width="0.6640625" style="2" customWidth="1"/>
    <col min="2" max="2" width="7.5546875" style="13" customWidth="1"/>
    <col min="3" max="3" width="37.44140625" style="7" customWidth="1"/>
    <col min="4" max="4" width="19.88671875" style="19" customWidth="1"/>
    <col min="5" max="9" width="19.33203125" style="11" customWidth="1"/>
    <col min="10" max="10" width="19.33203125" style="33" customWidth="1"/>
    <col min="11" max="70" width="21.33203125" style="75"/>
    <col min="71" max="16384" width="21.33203125" style="2"/>
  </cols>
  <sheetData>
    <row r="1" spans="1:163" s="4" customFormat="1" ht="24" customHeight="1" x14ac:dyDescent="0.3">
      <c r="A1" s="4" t="s">
        <v>84</v>
      </c>
      <c r="B1" s="9"/>
      <c r="C1" s="6"/>
      <c r="D1" s="14"/>
      <c r="E1" s="9"/>
      <c r="F1" s="9"/>
      <c r="G1" s="9"/>
      <c r="H1" s="9"/>
      <c r="I1" s="9"/>
      <c r="J1" s="31"/>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row>
    <row r="2" spans="1:163" s="6" customFormat="1" ht="25.5" customHeight="1" x14ac:dyDescent="0.25">
      <c r="B2" s="34"/>
      <c r="C2" s="34"/>
      <c r="D2" s="34"/>
      <c r="E2" s="8"/>
      <c r="F2" s="8"/>
      <c r="G2" s="8"/>
      <c r="H2" s="8"/>
      <c r="I2" s="8"/>
      <c r="J2" s="8"/>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row>
    <row r="3" spans="1:163" s="6" customFormat="1" ht="44.25" customHeight="1" x14ac:dyDescent="0.25">
      <c r="B3" s="401" t="s">
        <v>0</v>
      </c>
      <c r="C3" s="401"/>
      <c r="D3" s="401"/>
      <c r="E3" s="401"/>
      <c r="F3" s="401"/>
      <c r="G3" s="401"/>
      <c r="H3" s="401"/>
      <c r="I3" s="401"/>
      <c r="J3" s="401"/>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row>
    <row r="4" spans="1:163" s="4" customFormat="1" ht="16.5" customHeight="1" x14ac:dyDescent="0.3">
      <c r="B4" s="9"/>
      <c r="C4" s="6"/>
      <c r="D4" s="14"/>
      <c r="E4" s="9"/>
      <c r="F4" s="9"/>
      <c r="G4" s="9"/>
      <c r="H4" s="9"/>
      <c r="I4" s="9"/>
      <c r="J4" s="31"/>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row>
    <row r="5" spans="1:163" s="4" customFormat="1" ht="17.25" customHeight="1" x14ac:dyDescent="0.3">
      <c r="B5" s="9"/>
      <c r="C5" s="402" t="s">
        <v>399</v>
      </c>
      <c r="D5" s="402"/>
      <c r="E5" s="9"/>
      <c r="F5" s="9"/>
      <c r="G5" s="9"/>
      <c r="H5" s="9"/>
      <c r="I5" s="9"/>
      <c r="J5" s="31"/>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row>
    <row r="6" spans="1:163" s="4" customFormat="1" ht="17.25" customHeight="1" x14ac:dyDescent="0.3">
      <c r="B6" s="9"/>
      <c r="C6" s="402" t="s">
        <v>400</v>
      </c>
      <c r="D6" s="402"/>
      <c r="E6" s="9"/>
      <c r="F6" s="9"/>
      <c r="G6" s="9"/>
      <c r="H6" s="9"/>
      <c r="I6" s="9"/>
      <c r="J6" s="31"/>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row>
    <row r="7" spans="1:163" s="4" customFormat="1" ht="16.5" customHeight="1" x14ac:dyDescent="0.3">
      <c r="B7" s="9"/>
      <c r="C7" s="6"/>
      <c r="D7" s="14"/>
      <c r="E7" s="9"/>
      <c r="F7" s="9"/>
      <c r="G7" s="9"/>
      <c r="H7" s="9"/>
      <c r="I7" s="9"/>
      <c r="J7" s="31"/>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row>
    <row r="8" spans="1:163" ht="15" customHeight="1" x14ac:dyDescent="0.3">
      <c r="A8" s="3"/>
      <c r="B8" s="403" t="s">
        <v>274</v>
      </c>
      <c r="C8" s="403" t="s">
        <v>275</v>
      </c>
      <c r="D8" s="403" t="s">
        <v>276</v>
      </c>
      <c r="E8" s="405"/>
      <c r="F8" s="405"/>
      <c r="G8" s="405"/>
      <c r="H8" s="405"/>
      <c r="I8" s="405"/>
      <c r="J8" s="406"/>
    </row>
    <row r="9" spans="1:163" s="3" customFormat="1" ht="36" customHeight="1" x14ac:dyDescent="0.3">
      <c r="B9" s="404"/>
      <c r="C9" s="404"/>
      <c r="D9" s="404"/>
      <c r="E9" s="325" t="s">
        <v>401</v>
      </c>
      <c r="F9" s="325" t="s">
        <v>402</v>
      </c>
      <c r="G9" s="325" t="s">
        <v>403</v>
      </c>
      <c r="H9" s="325" t="s">
        <v>404</v>
      </c>
      <c r="I9" s="326" t="s">
        <v>405</v>
      </c>
      <c r="J9" s="327"/>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row>
    <row r="10" spans="1:163" s="20" customFormat="1" ht="26.25" customHeight="1" x14ac:dyDescent="0.2">
      <c r="B10" s="328">
        <v>410103</v>
      </c>
      <c r="C10" s="329" t="s">
        <v>108</v>
      </c>
      <c r="D10" s="330">
        <f>SUM(E10:J10)</f>
        <v>326868548.22999996</v>
      </c>
      <c r="E10" s="331">
        <v>100000000</v>
      </c>
      <c r="F10" s="331">
        <v>13576578</v>
      </c>
      <c r="G10" s="331">
        <v>196136782.88999999</v>
      </c>
      <c r="H10" s="331">
        <v>16466487.34</v>
      </c>
      <c r="I10" s="332">
        <v>688700</v>
      </c>
      <c r="J10" s="333"/>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row>
    <row r="11" spans="1:163" s="20" customFormat="1" ht="26.25" customHeight="1" x14ac:dyDescent="0.2">
      <c r="B11" s="328"/>
      <c r="C11" s="329"/>
      <c r="D11" s="82" t="s">
        <v>371</v>
      </c>
      <c r="E11" s="331">
        <f>SUM(E12:E15)</f>
        <v>30281091</v>
      </c>
      <c r="F11" s="331">
        <f>SUM(F12:F15)</f>
        <v>0</v>
      </c>
      <c r="G11" s="331">
        <f>SUM(G12:G15)</f>
        <v>16416487</v>
      </c>
      <c r="H11" s="331">
        <f>SUM(H12:H15)</f>
        <v>0</v>
      </c>
      <c r="I11" s="331">
        <f>SUM(I12:I15)</f>
        <v>0</v>
      </c>
      <c r="J11" s="331"/>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row>
    <row r="12" spans="1:163" s="72" customFormat="1" ht="78" customHeight="1" x14ac:dyDescent="0.3">
      <c r="A12" s="334"/>
      <c r="B12" s="334"/>
      <c r="C12" s="335" t="s">
        <v>406</v>
      </c>
      <c r="D12" s="336">
        <v>26807578</v>
      </c>
      <c r="E12" s="337">
        <v>26807578</v>
      </c>
      <c r="F12" s="338"/>
      <c r="G12" s="338"/>
      <c r="H12" s="338"/>
      <c r="I12" s="339"/>
      <c r="J12" s="340"/>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341"/>
      <c r="BT12" s="334"/>
      <c r="BU12" s="334"/>
      <c r="BV12" s="334"/>
      <c r="BW12" s="334"/>
      <c r="BX12" s="334"/>
      <c r="BY12" s="334"/>
      <c r="BZ12" s="334"/>
      <c r="CA12" s="334"/>
      <c r="CB12" s="334"/>
      <c r="CC12" s="334"/>
      <c r="CD12" s="334"/>
      <c r="CE12" s="334"/>
      <c r="CF12" s="334"/>
      <c r="CG12" s="334"/>
      <c r="CH12" s="334"/>
      <c r="CI12" s="334"/>
      <c r="CJ12" s="334"/>
      <c r="CK12" s="334"/>
      <c r="CL12" s="334"/>
      <c r="CM12" s="334"/>
      <c r="CN12" s="334"/>
      <c r="CO12" s="334"/>
      <c r="CP12" s="334"/>
      <c r="CQ12" s="334"/>
      <c r="CR12" s="334"/>
      <c r="CS12" s="334"/>
      <c r="CT12" s="334"/>
      <c r="CU12" s="334"/>
      <c r="CV12" s="334"/>
      <c r="CW12" s="334"/>
      <c r="CX12" s="334"/>
      <c r="CY12" s="334"/>
      <c r="CZ12" s="334"/>
      <c r="DA12" s="334"/>
      <c r="DB12" s="334"/>
      <c r="DC12" s="334"/>
      <c r="DD12" s="334"/>
      <c r="DE12" s="334"/>
      <c r="DF12" s="334"/>
      <c r="DG12" s="334"/>
      <c r="DH12" s="334"/>
      <c r="DI12" s="334"/>
      <c r="DJ12" s="334"/>
      <c r="DK12" s="334"/>
      <c r="DL12" s="334"/>
      <c r="DM12" s="334"/>
      <c r="DN12" s="334"/>
      <c r="DO12" s="334"/>
      <c r="DP12" s="334"/>
      <c r="DQ12" s="334"/>
      <c r="DR12" s="334"/>
      <c r="DS12" s="334"/>
      <c r="DT12" s="334"/>
      <c r="DU12" s="334"/>
      <c r="DV12" s="334"/>
      <c r="DW12" s="334"/>
      <c r="DX12" s="334"/>
      <c r="DY12" s="334"/>
      <c r="DZ12" s="334"/>
      <c r="EA12" s="334"/>
      <c r="EB12" s="334"/>
      <c r="EC12" s="334"/>
      <c r="ED12" s="334"/>
      <c r="EE12" s="334"/>
      <c r="EF12" s="334"/>
      <c r="EG12" s="334"/>
      <c r="EH12" s="334"/>
      <c r="EI12" s="334"/>
      <c r="EJ12" s="334"/>
      <c r="EK12" s="334"/>
      <c r="EL12" s="334"/>
      <c r="EM12" s="334"/>
      <c r="EN12" s="334"/>
      <c r="EO12" s="334"/>
      <c r="EP12" s="334"/>
      <c r="EQ12" s="334"/>
      <c r="ER12" s="334"/>
      <c r="ES12" s="334"/>
      <c r="ET12" s="334"/>
      <c r="EU12" s="334"/>
      <c r="EV12" s="334"/>
      <c r="EW12" s="334"/>
      <c r="EX12" s="334"/>
      <c r="EY12" s="334"/>
      <c r="EZ12" s="334"/>
      <c r="FA12" s="334"/>
      <c r="FB12" s="334"/>
      <c r="FC12" s="334"/>
      <c r="FD12" s="334"/>
      <c r="FE12" s="334"/>
      <c r="FF12" s="334"/>
      <c r="FG12" s="334"/>
    </row>
    <row r="13" spans="1:163" s="72" customFormat="1" ht="50.25" customHeight="1" x14ac:dyDescent="0.3">
      <c r="A13" s="334"/>
      <c r="B13" s="334"/>
      <c r="C13" s="335" t="s">
        <v>407</v>
      </c>
      <c r="D13" s="336">
        <v>3473513</v>
      </c>
      <c r="E13" s="337">
        <v>3473513</v>
      </c>
      <c r="F13" s="338"/>
      <c r="G13" s="338"/>
      <c r="H13" s="338"/>
      <c r="I13" s="339"/>
      <c r="J13" s="340"/>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341"/>
      <c r="BT13" s="334"/>
      <c r="BU13" s="334"/>
      <c r="BV13" s="334"/>
      <c r="BW13" s="334"/>
      <c r="BX13" s="334"/>
      <c r="BY13" s="334"/>
      <c r="BZ13" s="334"/>
      <c r="CA13" s="334"/>
      <c r="CB13" s="334"/>
      <c r="CC13" s="334"/>
      <c r="CD13" s="334"/>
      <c r="CE13" s="334"/>
      <c r="CF13" s="334"/>
      <c r="CG13" s="334"/>
      <c r="CH13" s="334"/>
      <c r="CI13" s="334"/>
      <c r="CJ13" s="334"/>
      <c r="CK13" s="334"/>
      <c r="CL13" s="334"/>
      <c r="CM13" s="334"/>
      <c r="CN13" s="334"/>
      <c r="CO13" s="334"/>
      <c r="CP13" s="334"/>
      <c r="CQ13" s="334"/>
      <c r="CR13" s="334"/>
      <c r="CS13" s="334"/>
      <c r="CT13" s="334"/>
      <c r="CU13" s="334"/>
      <c r="CV13" s="334"/>
      <c r="CW13" s="334"/>
      <c r="CX13" s="334"/>
      <c r="CY13" s="334"/>
      <c r="CZ13" s="334"/>
      <c r="DA13" s="334"/>
      <c r="DB13" s="334"/>
      <c r="DC13" s="334"/>
      <c r="DD13" s="334"/>
      <c r="DE13" s="334"/>
      <c r="DF13" s="334"/>
      <c r="DG13" s="334"/>
      <c r="DH13" s="334"/>
      <c r="DI13" s="334"/>
      <c r="DJ13" s="334"/>
      <c r="DK13" s="334"/>
      <c r="DL13" s="334"/>
      <c r="DM13" s="334"/>
      <c r="DN13" s="334"/>
      <c r="DO13" s="334"/>
      <c r="DP13" s="334"/>
      <c r="DQ13" s="334"/>
      <c r="DR13" s="334"/>
      <c r="DS13" s="334"/>
      <c r="DT13" s="334"/>
      <c r="DU13" s="334"/>
      <c r="DV13" s="334"/>
      <c r="DW13" s="334"/>
      <c r="DX13" s="334"/>
      <c r="DY13" s="334"/>
      <c r="DZ13" s="334"/>
      <c r="EA13" s="334"/>
      <c r="EB13" s="334"/>
      <c r="EC13" s="334"/>
      <c r="ED13" s="334"/>
      <c r="EE13" s="334"/>
      <c r="EF13" s="334"/>
      <c r="EG13" s="334"/>
      <c r="EH13" s="334"/>
      <c r="EI13" s="334"/>
      <c r="EJ13" s="334"/>
      <c r="EK13" s="334"/>
      <c r="EL13" s="334"/>
      <c r="EM13" s="334"/>
      <c r="EN13" s="334"/>
      <c r="EO13" s="334"/>
      <c r="EP13" s="334"/>
      <c r="EQ13" s="334"/>
      <c r="ER13" s="334"/>
      <c r="ES13" s="334"/>
      <c r="ET13" s="334"/>
      <c r="EU13" s="334"/>
      <c r="EV13" s="334"/>
      <c r="EW13" s="334"/>
      <c r="EX13" s="334"/>
      <c r="EY13" s="334"/>
      <c r="EZ13" s="334"/>
      <c r="FA13" s="334"/>
      <c r="FB13" s="334"/>
      <c r="FC13" s="334"/>
      <c r="FD13" s="334"/>
      <c r="FE13" s="334"/>
      <c r="FF13" s="334"/>
      <c r="FG13" s="334"/>
    </row>
    <row r="14" spans="1:163" s="72" customFormat="1" ht="52.5" customHeight="1" x14ac:dyDescent="0.3">
      <c r="A14" s="334"/>
      <c r="B14" s="334"/>
      <c r="C14" s="335" t="s">
        <v>407</v>
      </c>
      <c r="D14" s="336">
        <v>16466487</v>
      </c>
      <c r="E14" s="337"/>
      <c r="F14" s="337"/>
      <c r="G14" s="337">
        <v>16416487</v>
      </c>
      <c r="H14" s="338"/>
      <c r="I14" s="339"/>
      <c r="J14" s="340"/>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341"/>
      <c r="BT14" s="334"/>
      <c r="BU14" s="334"/>
      <c r="BV14" s="334"/>
      <c r="BW14" s="334"/>
      <c r="BX14" s="334"/>
      <c r="BY14" s="334"/>
      <c r="BZ14" s="334"/>
      <c r="CA14" s="334"/>
      <c r="CB14" s="334"/>
      <c r="CC14" s="334"/>
      <c r="CD14" s="334"/>
      <c r="CE14" s="334"/>
      <c r="CF14" s="334"/>
      <c r="CG14" s="334"/>
      <c r="CH14" s="334"/>
      <c r="CI14" s="334"/>
      <c r="CJ14" s="334"/>
      <c r="CK14" s="334"/>
      <c r="CL14" s="334"/>
      <c r="CM14" s="334"/>
      <c r="CN14" s="334"/>
      <c r="CO14" s="334"/>
      <c r="CP14" s="334"/>
      <c r="CQ14" s="334"/>
      <c r="CR14" s="334"/>
      <c r="CS14" s="334"/>
      <c r="CT14" s="334"/>
      <c r="CU14" s="334"/>
      <c r="CV14" s="334"/>
      <c r="CW14" s="334"/>
      <c r="CX14" s="334"/>
      <c r="CY14" s="334"/>
      <c r="CZ14" s="334"/>
      <c r="DA14" s="334"/>
      <c r="DB14" s="334"/>
      <c r="DC14" s="334"/>
      <c r="DD14" s="334"/>
      <c r="DE14" s="334"/>
      <c r="DF14" s="334"/>
      <c r="DG14" s="334"/>
      <c r="DH14" s="334"/>
      <c r="DI14" s="334"/>
      <c r="DJ14" s="334"/>
      <c r="DK14" s="334"/>
      <c r="DL14" s="334"/>
      <c r="DM14" s="334"/>
      <c r="DN14" s="334"/>
      <c r="DO14" s="334"/>
      <c r="DP14" s="334"/>
      <c r="DQ14" s="334"/>
      <c r="DR14" s="334"/>
      <c r="DS14" s="334"/>
      <c r="DT14" s="334"/>
      <c r="DU14" s="334"/>
      <c r="DV14" s="334"/>
      <c r="DW14" s="334"/>
      <c r="DX14" s="334"/>
      <c r="DY14" s="334"/>
      <c r="DZ14" s="334"/>
      <c r="EA14" s="334"/>
      <c r="EB14" s="334"/>
      <c r="EC14" s="334"/>
      <c r="ED14" s="334"/>
      <c r="EE14" s="334"/>
      <c r="EF14" s="334"/>
      <c r="EG14" s="334"/>
      <c r="EH14" s="334"/>
      <c r="EI14" s="334"/>
      <c r="EJ14" s="334"/>
      <c r="EK14" s="334"/>
      <c r="EL14" s="334"/>
      <c r="EM14" s="334"/>
      <c r="EN14" s="334"/>
      <c r="EO14" s="334"/>
      <c r="EP14" s="334"/>
      <c r="EQ14" s="334"/>
      <c r="ER14" s="334"/>
      <c r="ES14" s="334"/>
      <c r="ET14" s="334"/>
      <c r="EU14" s="334"/>
      <c r="EV14" s="334"/>
      <c r="EW14" s="334"/>
      <c r="EX14" s="334"/>
      <c r="EY14" s="334"/>
      <c r="EZ14" s="334"/>
      <c r="FA14" s="334"/>
      <c r="FB14" s="334"/>
      <c r="FC14" s="334"/>
      <c r="FD14" s="334"/>
      <c r="FE14" s="334"/>
      <c r="FF14" s="334"/>
      <c r="FG14" s="334"/>
    </row>
    <row r="15" spans="1:163" s="72" customFormat="1" ht="74.25" customHeight="1" x14ac:dyDescent="0.3">
      <c r="A15" s="334"/>
      <c r="B15" s="334"/>
      <c r="C15" s="335" t="s">
        <v>408</v>
      </c>
      <c r="D15" s="336">
        <v>195300128</v>
      </c>
      <c r="E15" s="336"/>
      <c r="F15" s="338"/>
      <c r="G15" s="338"/>
      <c r="H15" s="338"/>
      <c r="I15" s="339"/>
      <c r="J15" s="340"/>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341"/>
      <c r="BT15" s="334"/>
      <c r="BU15" s="334"/>
      <c r="BV15" s="334"/>
      <c r="BW15" s="334"/>
      <c r="BX15" s="334"/>
      <c r="BY15" s="334"/>
      <c r="BZ15" s="334"/>
      <c r="CA15" s="334"/>
      <c r="CB15" s="334"/>
      <c r="CC15" s="334"/>
      <c r="CD15" s="334"/>
      <c r="CE15" s="334"/>
      <c r="CF15" s="334"/>
      <c r="CG15" s="334"/>
      <c r="CH15" s="334"/>
      <c r="CI15" s="334"/>
      <c r="CJ15" s="334"/>
      <c r="CK15" s="334"/>
      <c r="CL15" s="334"/>
      <c r="CM15" s="334"/>
      <c r="CN15" s="334"/>
      <c r="CO15" s="334"/>
      <c r="CP15" s="334"/>
      <c r="CQ15" s="334"/>
      <c r="CR15" s="334"/>
      <c r="CS15" s="334"/>
      <c r="CT15" s="334"/>
      <c r="CU15" s="334"/>
      <c r="CV15" s="334"/>
      <c r="CW15" s="334"/>
      <c r="CX15" s="334"/>
      <c r="CY15" s="334"/>
      <c r="CZ15" s="334"/>
      <c r="DA15" s="334"/>
      <c r="DB15" s="334"/>
      <c r="DC15" s="334"/>
      <c r="DD15" s="334"/>
      <c r="DE15" s="334"/>
      <c r="DF15" s="334"/>
      <c r="DG15" s="334"/>
      <c r="DH15" s="334"/>
      <c r="DI15" s="334"/>
      <c r="DJ15" s="334"/>
      <c r="DK15" s="334"/>
      <c r="DL15" s="334"/>
      <c r="DM15" s="334"/>
      <c r="DN15" s="334"/>
      <c r="DO15" s="334"/>
      <c r="DP15" s="334"/>
      <c r="DQ15" s="334"/>
      <c r="DR15" s="334"/>
      <c r="DS15" s="334"/>
      <c r="DT15" s="334"/>
      <c r="DU15" s="334"/>
      <c r="DV15" s="334"/>
      <c r="DW15" s="334"/>
      <c r="DX15" s="334"/>
      <c r="DY15" s="334"/>
      <c r="DZ15" s="334"/>
      <c r="EA15" s="334"/>
      <c r="EB15" s="334"/>
      <c r="EC15" s="334"/>
      <c r="ED15" s="334"/>
      <c r="EE15" s="334"/>
      <c r="EF15" s="334"/>
      <c r="EG15" s="334"/>
      <c r="EH15" s="334"/>
      <c r="EI15" s="334"/>
      <c r="EJ15" s="334"/>
      <c r="EK15" s="334"/>
      <c r="EL15" s="334"/>
      <c r="EM15" s="334"/>
      <c r="EN15" s="334"/>
      <c r="EO15" s="334"/>
      <c r="EP15" s="334"/>
      <c r="EQ15" s="334"/>
      <c r="ER15" s="334"/>
      <c r="ES15" s="334"/>
      <c r="ET15" s="334"/>
      <c r="EU15" s="334"/>
      <c r="EV15" s="334"/>
      <c r="EW15" s="334"/>
      <c r="EX15" s="334"/>
      <c r="EY15" s="334"/>
      <c r="EZ15" s="334"/>
      <c r="FA15" s="334"/>
      <c r="FB15" s="334"/>
      <c r="FC15" s="334"/>
      <c r="FD15" s="334"/>
      <c r="FE15" s="334"/>
      <c r="FF15" s="334"/>
      <c r="FG15" s="334"/>
    </row>
    <row r="16" spans="1:163" s="21" customFormat="1" ht="26.25" customHeight="1" x14ac:dyDescent="0.2">
      <c r="A16" s="22"/>
      <c r="B16" s="68">
        <v>410104</v>
      </c>
      <c r="C16" s="69" t="s">
        <v>138</v>
      </c>
      <c r="D16" s="70">
        <f>SUM(E16:J16)</f>
        <v>248023901.22999999</v>
      </c>
      <c r="E16" s="71">
        <v>100000000</v>
      </c>
      <c r="F16" s="71">
        <v>13576578</v>
      </c>
      <c r="G16" s="71">
        <v>110980831.89</v>
      </c>
      <c r="H16" s="71">
        <v>22777791.34</v>
      </c>
      <c r="I16" s="71">
        <v>688700</v>
      </c>
      <c r="J16" s="333"/>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row>
    <row r="17" spans="1:163" s="21" customFormat="1" ht="26.25" customHeight="1" x14ac:dyDescent="0.2">
      <c r="A17" s="22"/>
      <c r="B17" s="68"/>
      <c r="C17" s="69"/>
      <c r="D17" s="82" t="s">
        <v>371</v>
      </c>
      <c r="E17" s="71">
        <f>SUM(E18:E21)</f>
        <v>21091000</v>
      </c>
      <c r="F17" s="71">
        <f>SUM(F18:F21)</f>
        <v>0</v>
      </c>
      <c r="G17" s="71">
        <f>SUM(G18:G21)</f>
        <v>0</v>
      </c>
      <c r="H17" s="71">
        <f>SUM(H18:H21)</f>
        <v>0</v>
      </c>
      <c r="I17" s="71">
        <f>SUM(I18:I21)</f>
        <v>0</v>
      </c>
      <c r="J17" s="333"/>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row>
    <row r="18" spans="1:163" s="21" customFormat="1" ht="30.75" customHeight="1" x14ac:dyDescent="0.3">
      <c r="A18" s="22"/>
      <c r="B18" s="79"/>
      <c r="C18" s="342" t="s">
        <v>409</v>
      </c>
      <c r="D18" s="343">
        <v>75000000</v>
      </c>
      <c r="E18" s="80"/>
      <c r="F18" s="80"/>
      <c r="G18" s="80"/>
      <c r="H18" s="80"/>
      <c r="I18" s="81"/>
      <c r="J18" s="344"/>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row>
    <row r="19" spans="1:163" s="21" customFormat="1" ht="30.75" customHeight="1" x14ac:dyDescent="0.3">
      <c r="A19" s="22"/>
      <c r="B19" s="79"/>
      <c r="C19" s="342" t="s">
        <v>409</v>
      </c>
      <c r="D19" s="343">
        <v>110980831</v>
      </c>
      <c r="E19" s="80"/>
      <c r="F19" s="80"/>
      <c r="G19" s="80"/>
      <c r="H19" s="80"/>
      <c r="I19" s="81"/>
      <c r="J19" s="344"/>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row>
    <row r="20" spans="1:163" s="63" customFormat="1" ht="30.75" customHeight="1" x14ac:dyDescent="0.3">
      <c r="A20" s="67"/>
      <c r="B20" s="345"/>
      <c r="C20" s="342" t="s">
        <v>410</v>
      </c>
      <c r="D20" s="343">
        <v>21091000</v>
      </c>
      <c r="E20" s="83">
        <v>21091000</v>
      </c>
      <c r="F20" s="346"/>
      <c r="G20" s="346"/>
      <c r="H20" s="346"/>
      <c r="I20" s="347"/>
      <c r="J20" s="344"/>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row>
    <row r="21" spans="1:163" s="63" customFormat="1" ht="26.25" customHeight="1" x14ac:dyDescent="0.2">
      <c r="A21" s="67"/>
      <c r="B21" s="345"/>
      <c r="C21" s="348"/>
      <c r="D21" s="349"/>
      <c r="E21" s="346"/>
      <c r="F21" s="346"/>
      <c r="G21" s="346"/>
      <c r="H21" s="346"/>
      <c r="I21" s="347"/>
      <c r="J21" s="344"/>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row>
    <row r="22" spans="1:163" s="20" customFormat="1" ht="26.25" customHeight="1" x14ac:dyDescent="0.2">
      <c r="A22" s="22"/>
      <c r="B22" s="350">
        <v>410105</v>
      </c>
      <c r="C22" s="351" t="s">
        <v>145</v>
      </c>
      <c r="D22" s="352">
        <f>SUM(E22:J22)</f>
        <v>630685977.23000002</v>
      </c>
      <c r="E22" s="353">
        <v>100000000</v>
      </c>
      <c r="F22" s="353">
        <v>13576578</v>
      </c>
      <c r="G22" s="353">
        <v>468508785.88999999</v>
      </c>
      <c r="H22" s="353">
        <v>47911913.340000004</v>
      </c>
      <c r="I22" s="71">
        <v>688700</v>
      </c>
      <c r="J22" s="333"/>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row>
    <row r="23" spans="1:163" s="20" customFormat="1" ht="26.25" customHeight="1" x14ac:dyDescent="0.2">
      <c r="A23" s="22"/>
      <c r="B23" s="350"/>
      <c r="C23" s="351"/>
      <c r="D23" s="82" t="s">
        <v>371</v>
      </c>
      <c r="E23" s="353">
        <f>SUM(E24:E25)</f>
        <v>0</v>
      </c>
      <c r="F23" s="353">
        <f>SUM(F24:F25)</f>
        <v>0</v>
      </c>
      <c r="G23" s="353">
        <f>SUM(G24:G25)</f>
        <v>26100000</v>
      </c>
      <c r="H23" s="353">
        <f>SUM(H24:H25)</f>
        <v>0</v>
      </c>
      <c r="I23" s="353">
        <f>SUM(I24:I25)</f>
        <v>0</v>
      </c>
      <c r="J23" s="333"/>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row>
    <row r="24" spans="1:163" s="63" customFormat="1" ht="59.25" customHeight="1" x14ac:dyDescent="0.2">
      <c r="A24" s="67"/>
      <c r="B24" s="345"/>
      <c r="C24" s="335" t="s">
        <v>411</v>
      </c>
      <c r="D24" s="343">
        <v>348750000</v>
      </c>
      <c r="E24" s="346"/>
      <c r="F24" s="346"/>
      <c r="G24" s="346"/>
      <c r="H24" s="346"/>
      <c r="I24" s="347"/>
      <c r="J24" s="344"/>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row>
    <row r="25" spans="1:163" s="63" customFormat="1" ht="126" customHeight="1" x14ac:dyDescent="0.2">
      <c r="A25" s="67"/>
      <c r="B25" s="345"/>
      <c r="C25" s="335" t="s">
        <v>412</v>
      </c>
      <c r="D25" s="343">
        <v>30400000</v>
      </c>
      <c r="E25" s="84"/>
      <c r="F25" s="346"/>
      <c r="G25" s="84">
        <v>26100000</v>
      </c>
      <c r="H25" s="346"/>
      <c r="I25" s="347"/>
      <c r="J25" s="344"/>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row>
    <row r="26" spans="1:163" s="21" customFormat="1" ht="26.25" customHeight="1" x14ac:dyDescent="0.2">
      <c r="A26" s="20"/>
      <c r="B26" s="350">
        <v>410106</v>
      </c>
      <c r="C26" s="351" t="s">
        <v>148</v>
      </c>
      <c r="D26" s="352">
        <f>SUM(E26:J26)</f>
        <v>1591374233.1600001</v>
      </c>
      <c r="E26" s="353">
        <v>400000000</v>
      </c>
      <c r="F26" s="353">
        <v>54306313</v>
      </c>
      <c r="G26" s="353">
        <v>837526860.84000003</v>
      </c>
      <c r="H26" s="353">
        <v>296786259.31999999</v>
      </c>
      <c r="I26" s="71">
        <v>2754800</v>
      </c>
      <c r="J26" s="333"/>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row>
    <row r="27" spans="1:163" s="21" customFormat="1" ht="26.25" customHeight="1" x14ac:dyDescent="0.2">
      <c r="A27" s="20"/>
      <c r="B27" s="350"/>
      <c r="C27" s="351"/>
      <c r="D27" s="82" t="s">
        <v>371</v>
      </c>
      <c r="E27" s="353"/>
      <c r="F27" s="353"/>
      <c r="G27" s="353"/>
      <c r="H27" s="353"/>
      <c r="I27" s="85"/>
      <c r="J27" s="333"/>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row>
    <row r="28" spans="1:163" s="63" customFormat="1" ht="103.5" customHeight="1" x14ac:dyDescent="0.2">
      <c r="B28" s="345"/>
      <c r="C28" s="335" t="s">
        <v>413</v>
      </c>
      <c r="D28" s="336">
        <v>109000000</v>
      </c>
      <c r="E28" s="346"/>
      <c r="F28" s="346"/>
      <c r="G28" s="346"/>
      <c r="H28" s="346"/>
      <c r="I28" s="86"/>
      <c r="J28" s="344"/>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row>
    <row r="29" spans="1:163" s="63" customFormat="1" ht="68.25" customHeight="1" x14ac:dyDescent="0.2">
      <c r="B29" s="345"/>
      <c r="C29" s="335" t="s">
        <v>414</v>
      </c>
      <c r="D29" s="336">
        <v>828116</v>
      </c>
      <c r="E29" s="336">
        <v>828116</v>
      </c>
      <c r="F29" s="346"/>
      <c r="G29" s="346"/>
      <c r="H29" s="346"/>
      <c r="I29" s="86"/>
      <c r="J29" s="344"/>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row>
    <row r="30" spans="1:163" s="63" customFormat="1" ht="103.5" customHeight="1" x14ac:dyDescent="0.2">
      <c r="B30" s="345"/>
      <c r="C30" s="335" t="s">
        <v>415</v>
      </c>
      <c r="D30" s="336">
        <v>8755000</v>
      </c>
      <c r="E30" s="346"/>
      <c r="F30" s="83"/>
      <c r="G30" s="346"/>
      <c r="H30" s="336">
        <v>8755000</v>
      </c>
      <c r="I30" s="86"/>
      <c r="J30" s="344"/>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row>
    <row r="31" spans="1:163" s="63" customFormat="1" ht="51.75" customHeight="1" x14ac:dyDescent="0.2">
      <c r="B31" s="345"/>
      <c r="C31" s="335" t="s">
        <v>416</v>
      </c>
      <c r="D31" s="336">
        <v>675000000</v>
      </c>
      <c r="E31" s="346"/>
      <c r="F31" s="346"/>
      <c r="G31" s="346"/>
      <c r="H31" s="346"/>
      <c r="I31" s="86"/>
      <c r="J31" s="344"/>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row>
    <row r="32" spans="1:163" s="63" customFormat="1" ht="68.25" customHeight="1" x14ac:dyDescent="0.2">
      <c r="B32" s="345"/>
      <c r="C32" s="335" t="s">
        <v>417</v>
      </c>
      <c r="D32" s="336">
        <v>36000000</v>
      </c>
      <c r="E32" s="346"/>
      <c r="F32" s="346"/>
      <c r="G32" s="346"/>
      <c r="H32" s="346"/>
      <c r="I32" s="86"/>
      <c r="J32" s="344"/>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row>
    <row r="33" spans="2:70" s="63" customFormat="1" ht="68.25" customHeight="1" x14ac:dyDescent="0.2">
      <c r="B33" s="345"/>
      <c r="C33" s="335" t="s">
        <v>417</v>
      </c>
      <c r="D33" s="336">
        <v>68000000</v>
      </c>
      <c r="E33" s="346"/>
      <c r="F33" s="346"/>
      <c r="G33" s="346"/>
      <c r="H33" s="346"/>
      <c r="I33" s="86"/>
      <c r="J33" s="344"/>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row>
    <row r="34" spans="2:70" s="63" customFormat="1" ht="144" customHeight="1" x14ac:dyDescent="0.2">
      <c r="B34" s="345"/>
      <c r="C34" s="335" t="s">
        <v>418</v>
      </c>
      <c r="D34" s="336">
        <v>28700000</v>
      </c>
      <c r="E34" s="346"/>
      <c r="F34" s="346"/>
      <c r="G34" s="346"/>
      <c r="H34" s="346"/>
      <c r="I34" s="86"/>
      <c r="J34" s="344"/>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row>
    <row r="35" spans="2:70" s="63" customFormat="1" ht="111" customHeight="1" x14ac:dyDescent="0.2">
      <c r="B35" s="345"/>
      <c r="C35" s="335" t="s">
        <v>419</v>
      </c>
      <c r="D35" s="336">
        <v>15870000</v>
      </c>
      <c r="E35" s="346"/>
      <c r="F35" s="346"/>
      <c r="G35" s="346"/>
      <c r="H35" s="346"/>
      <c r="I35" s="86"/>
      <c r="J35" s="344"/>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row>
    <row r="36" spans="2:70" s="63" customFormat="1" ht="68.25" customHeight="1" x14ac:dyDescent="0.2">
      <c r="B36" s="345"/>
      <c r="C36" s="335" t="s">
        <v>420</v>
      </c>
      <c r="D36" s="336">
        <v>74441700</v>
      </c>
      <c r="E36" s="346"/>
      <c r="F36" s="346"/>
      <c r="G36" s="346"/>
      <c r="H36" s="346"/>
      <c r="I36" s="86"/>
      <c r="J36" s="344"/>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row>
    <row r="37" spans="2:70" s="63" customFormat="1" ht="80.25" customHeight="1" x14ac:dyDescent="0.2">
      <c r="B37" s="345"/>
      <c r="C37" s="335" t="s">
        <v>421</v>
      </c>
      <c r="D37" s="336">
        <v>19980000</v>
      </c>
      <c r="E37" s="346"/>
      <c r="F37" s="346"/>
      <c r="G37" s="346"/>
      <c r="H37" s="346"/>
      <c r="I37" s="86"/>
      <c r="J37" s="344"/>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row>
    <row r="38" spans="2:70" s="63" customFormat="1" ht="80.25" customHeight="1" x14ac:dyDescent="0.2">
      <c r="B38" s="345"/>
      <c r="C38" s="335" t="s">
        <v>422</v>
      </c>
      <c r="D38" s="336">
        <v>591400</v>
      </c>
      <c r="E38" s="346"/>
      <c r="F38" s="346"/>
      <c r="G38" s="346"/>
      <c r="H38" s="346"/>
      <c r="I38" s="86"/>
      <c r="J38" s="344"/>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row>
    <row r="39" spans="2:70" s="63" customFormat="1" ht="80.25" customHeight="1" x14ac:dyDescent="0.2">
      <c r="B39" s="345"/>
      <c r="C39" s="335" t="s">
        <v>423</v>
      </c>
      <c r="D39" s="336">
        <v>3712000</v>
      </c>
      <c r="E39" s="346"/>
      <c r="F39" s="346"/>
      <c r="G39" s="346"/>
      <c r="H39" s="346"/>
      <c r="I39" s="86"/>
      <c r="J39" s="344"/>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row>
    <row r="40" spans="2:70" s="63" customFormat="1" ht="80.25" customHeight="1" x14ac:dyDescent="0.2">
      <c r="B40" s="345"/>
      <c r="C40" s="335" t="s">
        <v>424</v>
      </c>
      <c r="D40" s="336">
        <v>11000000</v>
      </c>
      <c r="E40" s="346"/>
      <c r="F40" s="346"/>
      <c r="G40" s="346"/>
      <c r="H40" s="346"/>
      <c r="I40" s="86"/>
      <c r="J40" s="344"/>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row>
    <row r="41" spans="2:70" s="63" customFormat="1" ht="80.25" customHeight="1" x14ac:dyDescent="0.2">
      <c r="B41" s="345"/>
      <c r="C41" s="335" t="s">
        <v>425</v>
      </c>
      <c r="D41" s="336">
        <v>112237002</v>
      </c>
      <c r="E41" s="346"/>
      <c r="F41" s="346"/>
      <c r="G41" s="346"/>
      <c r="H41" s="346"/>
      <c r="I41" s="86"/>
      <c r="J41" s="344"/>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row>
    <row r="42" spans="2:70" s="63" customFormat="1" ht="80.25" customHeight="1" x14ac:dyDescent="0.2">
      <c r="B42" s="345"/>
      <c r="C42" s="335" t="s">
        <v>426</v>
      </c>
      <c r="D42" s="336">
        <v>11541896</v>
      </c>
      <c r="E42" s="346"/>
      <c r="F42" s="346"/>
      <c r="G42" s="346"/>
      <c r="H42" s="346"/>
      <c r="I42" s="86"/>
      <c r="J42" s="344"/>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row>
    <row r="43" spans="2:70" s="63" customFormat="1" ht="80.25" customHeight="1" x14ac:dyDescent="0.2">
      <c r="B43" s="345"/>
      <c r="C43" s="335" t="s">
        <v>427</v>
      </c>
      <c r="D43" s="336">
        <v>2056560</v>
      </c>
      <c r="E43" s="346"/>
      <c r="F43" s="346"/>
      <c r="G43" s="346"/>
      <c r="H43" s="346"/>
      <c r="I43" s="86"/>
      <c r="J43" s="344"/>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row>
    <row r="44" spans="2:70" s="63" customFormat="1" ht="80.25" customHeight="1" x14ac:dyDescent="0.2">
      <c r="B44" s="345"/>
      <c r="C44" s="335" t="s">
        <v>428</v>
      </c>
      <c r="D44" s="336">
        <v>2754800</v>
      </c>
      <c r="E44" s="346"/>
      <c r="F44" s="346"/>
      <c r="G44" s="346"/>
      <c r="H44" s="346"/>
      <c r="I44" s="86"/>
      <c r="J44" s="344"/>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row>
    <row r="45" spans="2:70" s="63" customFormat="1" ht="80.25" customHeight="1" x14ac:dyDescent="0.2">
      <c r="B45" s="345"/>
      <c r="C45" s="335" t="s">
        <v>428</v>
      </c>
      <c r="D45" s="336">
        <v>6148076</v>
      </c>
      <c r="E45" s="346"/>
      <c r="F45" s="346"/>
      <c r="G45" s="346"/>
      <c r="H45" s="346"/>
      <c r="I45" s="86"/>
      <c r="J45" s="344"/>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row>
    <row r="46" spans="2:70" s="63" customFormat="1" ht="80.25" customHeight="1" x14ac:dyDescent="0.2">
      <c r="B46" s="345"/>
      <c r="C46" s="335" t="s">
        <v>429</v>
      </c>
      <c r="D46" s="336">
        <v>37151750</v>
      </c>
      <c r="E46" s="346"/>
      <c r="F46" s="346"/>
      <c r="G46" s="346"/>
      <c r="H46" s="346"/>
      <c r="I46" s="86"/>
      <c r="J46" s="344"/>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row>
    <row r="47" spans="2:70" s="63" customFormat="1" ht="80.25" customHeight="1" x14ac:dyDescent="0.2">
      <c r="B47" s="345"/>
      <c r="C47" s="335" t="s">
        <v>430</v>
      </c>
      <c r="D47" s="336">
        <v>15128174</v>
      </c>
      <c r="E47" s="346"/>
      <c r="F47" s="346"/>
      <c r="G47" s="346"/>
      <c r="H47" s="346"/>
      <c r="I47" s="86"/>
      <c r="J47" s="344"/>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row>
    <row r="48" spans="2:70" s="63" customFormat="1" ht="80.25" customHeight="1" x14ac:dyDescent="0.2">
      <c r="B48" s="345"/>
      <c r="C48" s="335" t="s">
        <v>431</v>
      </c>
      <c r="D48" s="336">
        <v>19534187</v>
      </c>
      <c r="E48" s="346"/>
      <c r="F48" s="346"/>
      <c r="G48" s="346"/>
      <c r="H48" s="346"/>
      <c r="I48" s="86"/>
      <c r="J48" s="344"/>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row>
    <row r="49" spans="1:159" s="63" customFormat="1" ht="96" customHeight="1" x14ac:dyDescent="0.2">
      <c r="B49" s="345"/>
      <c r="C49" s="335" t="s">
        <v>432</v>
      </c>
      <c r="D49" s="336">
        <v>34683358</v>
      </c>
      <c r="E49" s="346"/>
      <c r="F49" s="346"/>
      <c r="G49" s="346"/>
      <c r="H49" s="346"/>
      <c r="I49" s="86"/>
      <c r="J49" s="344"/>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row>
    <row r="50" spans="1:159" s="63" customFormat="1" ht="96" customHeight="1" x14ac:dyDescent="0.2">
      <c r="B50" s="345"/>
      <c r="C50" s="335" t="s">
        <v>433</v>
      </c>
      <c r="D50" s="336">
        <v>36255670</v>
      </c>
      <c r="E50" s="346"/>
      <c r="F50" s="346"/>
      <c r="G50" s="346"/>
      <c r="H50" s="346"/>
      <c r="I50" s="86"/>
      <c r="J50" s="344"/>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row>
    <row r="51" spans="1:159" s="63" customFormat="1" ht="96" customHeight="1" x14ac:dyDescent="0.2">
      <c r="B51" s="345"/>
      <c r="C51" s="335" t="s">
        <v>434</v>
      </c>
      <c r="D51" s="336">
        <v>20162592</v>
      </c>
      <c r="E51" s="346"/>
      <c r="F51" s="346"/>
      <c r="G51" s="346"/>
      <c r="H51" s="346"/>
      <c r="I51" s="347"/>
      <c r="J51" s="344"/>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row>
    <row r="52" spans="1:159" s="63" customFormat="1" ht="96" customHeight="1" x14ac:dyDescent="0.2">
      <c r="B52" s="345"/>
      <c r="C52" s="335" t="s">
        <v>435</v>
      </c>
      <c r="D52" s="336">
        <v>10129104</v>
      </c>
      <c r="E52" s="346"/>
      <c r="F52" s="346"/>
      <c r="G52" s="346"/>
      <c r="H52" s="346"/>
      <c r="I52" s="347"/>
      <c r="J52" s="344"/>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row>
    <row r="53" spans="1:159" s="21" customFormat="1" ht="26.25" customHeight="1" x14ac:dyDescent="0.2">
      <c r="A53" s="20"/>
      <c r="B53" s="350">
        <v>410108</v>
      </c>
      <c r="C53" s="351" t="s">
        <v>163</v>
      </c>
      <c r="D53" s="352">
        <f>SUM(E53:J53)</f>
        <v>1493122177.02</v>
      </c>
      <c r="E53" s="353">
        <v>600000000</v>
      </c>
      <c r="F53" s="353">
        <v>81459470</v>
      </c>
      <c r="G53" s="353">
        <v>724497544.03999996</v>
      </c>
      <c r="H53" s="353">
        <v>41306125.030000001</v>
      </c>
      <c r="I53" s="354">
        <v>4132200</v>
      </c>
      <c r="J53" s="353">
        <v>41726837.950000003</v>
      </c>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20"/>
      <c r="ET53" s="20"/>
      <c r="EU53" s="20"/>
      <c r="EV53" s="20"/>
      <c r="EW53" s="20"/>
      <c r="EX53" s="20"/>
      <c r="EY53" s="20"/>
      <c r="EZ53" s="20"/>
      <c r="FA53" s="20"/>
      <c r="FB53" s="20"/>
      <c r="FC53" s="20"/>
    </row>
    <row r="54" spans="1:159" s="63" customFormat="1" ht="26.25" customHeight="1" x14ac:dyDescent="0.2">
      <c r="B54" s="345"/>
      <c r="C54" s="348"/>
      <c r="D54" s="349"/>
      <c r="E54" s="346"/>
      <c r="F54" s="346"/>
      <c r="G54" s="346"/>
      <c r="H54" s="346"/>
      <c r="I54" s="355"/>
      <c r="J54" s="346"/>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row>
    <row r="55" spans="1:159" s="20" customFormat="1" ht="27" customHeight="1" x14ac:dyDescent="0.2">
      <c r="B55" s="350">
        <v>410109</v>
      </c>
      <c r="C55" s="351" t="s">
        <v>177</v>
      </c>
      <c r="D55" s="352">
        <f>SUM(E55:J55)</f>
        <v>1290964856.49</v>
      </c>
      <c r="E55" s="353">
        <v>600000000</v>
      </c>
      <c r="F55" s="353">
        <v>81459470</v>
      </c>
      <c r="G55" s="353">
        <v>554486180.25999999</v>
      </c>
      <c r="H55" s="353">
        <v>50887006.229999997</v>
      </c>
      <c r="I55" s="356">
        <v>4132200</v>
      </c>
      <c r="J55" s="333"/>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row>
    <row r="56" spans="1:159" s="63" customFormat="1" ht="27" customHeight="1" x14ac:dyDescent="0.2">
      <c r="B56" s="345"/>
      <c r="C56" s="348"/>
      <c r="D56" s="349"/>
      <c r="E56" s="346"/>
      <c r="F56" s="346"/>
      <c r="G56" s="346"/>
      <c r="H56" s="346"/>
      <c r="I56" s="347"/>
      <c r="J56" s="344"/>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row>
    <row r="57" spans="1:159" s="20" customFormat="1" ht="26.25" customHeight="1" x14ac:dyDescent="0.2">
      <c r="B57" s="350">
        <v>410120</v>
      </c>
      <c r="C57" s="351" t="s">
        <v>213</v>
      </c>
      <c r="D57" s="352">
        <f>SUM(E57:J57)</f>
        <v>210149190.22999999</v>
      </c>
      <c r="E57" s="353">
        <v>100000000</v>
      </c>
      <c r="F57" s="353">
        <v>13576578</v>
      </c>
      <c r="G57" s="353">
        <v>95415903.890000001</v>
      </c>
      <c r="H57" s="353">
        <v>468008.34</v>
      </c>
      <c r="I57" s="356">
        <v>688700</v>
      </c>
      <c r="J57" s="333"/>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row>
    <row r="58" spans="1:159" s="63" customFormat="1" ht="26.25" customHeight="1" x14ac:dyDescent="0.2">
      <c r="B58" s="345"/>
      <c r="C58" s="348"/>
      <c r="D58" s="349"/>
      <c r="E58" s="357"/>
      <c r="F58" s="357"/>
      <c r="G58" s="357"/>
      <c r="H58" s="357"/>
      <c r="I58" s="358"/>
      <c r="J58" s="344"/>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row>
    <row r="59" spans="1:159" s="16" customFormat="1" ht="28.5" customHeight="1" x14ac:dyDescent="0.2">
      <c r="B59" s="400"/>
      <c r="C59" s="400"/>
      <c r="D59" s="18"/>
      <c r="E59" s="359"/>
      <c r="F59" s="359"/>
      <c r="G59" s="359"/>
      <c r="H59" s="359"/>
      <c r="I59" s="360"/>
      <c r="J59" s="361"/>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5"/>
      <c r="BR59" s="175"/>
    </row>
    <row r="60" spans="1:159" s="16" customFormat="1" ht="25.5" customHeight="1" x14ac:dyDescent="0.2">
      <c r="B60" s="28"/>
      <c r="C60" s="29"/>
      <c r="D60" s="19"/>
      <c r="E60" s="30"/>
      <c r="F60" s="30"/>
      <c r="G60" s="30"/>
      <c r="H60" s="30"/>
      <c r="I60" s="30"/>
      <c r="J60" s="32"/>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5"/>
      <c r="BR60" s="175"/>
    </row>
    <row r="61" spans="1:159" x14ac:dyDescent="0.25">
      <c r="D61" s="16"/>
    </row>
  </sheetData>
  <sheetProtection selectLockedCells="1" selectUnlockedCells="1"/>
  <autoFilter ref="A1:GD63" xr:uid="{00000000-0009-0000-0000-000007000000}"/>
  <mergeCells count="8">
    <mergeCell ref="B59:C59"/>
    <mergeCell ref="B3:J3"/>
    <mergeCell ref="C5:D5"/>
    <mergeCell ref="C6:D6"/>
    <mergeCell ref="B8:B9"/>
    <mergeCell ref="C8:C9"/>
    <mergeCell ref="D8:D9"/>
    <mergeCell ref="E8:J8"/>
  </mergeCells>
  <printOptions horizontalCentered="1"/>
  <pageMargins left="0.23622047244094491" right="0.23622047244094491" top="0.74803149606299213" bottom="0.74803149606299213" header="0.31496062992125984" footer="0.31496062992125984"/>
  <pageSetup paperSize="121"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FN60"/>
  <sheetViews>
    <sheetView view="pageBreakPreview" zoomScale="70" zoomScaleNormal="90" zoomScaleSheetLayoutView="70" workbookViewId="0">
      <pane xSplit="2" topLeftCell="C1" activePane="topRight" state="frozen"/>
      <selection pane="topRight" activeCell="W1" sqref="W1"/>
    </sheetView>
  </sheetViews>
  <sheetFormatPr baseColWidth="10" defaultColWidth="21.33203125" defaultRowHeight="18" x14ac:dyDescent="0.35"/>
  <cols>
    <col min="1" max="1" width="2.109375" style="2" customWidth="1"/>
    <col min="2" max="2" width="53.88671875" customWidth="1"/>
    <col min="3" max="28" width="21.109375" style="2" customWidth="1"/>
    <col min="29" max="29" width="2.33203125" style="101" customWidth="1"/>
    <col min="30" max="16384" width="21.33203125" style="2"/>
  </cols>
  <sheetData>
    <row r="1" spans="2:29" s="4" customFormat="1" x14ac:dyDescent="0.35">
      <c r="B1" s="9"/>
      <c r="C1" s="6"/>
      <c r="D1" s="14"/>
      <c r="E1" s="9"/>
      <c r="F1" s="9"/>
      <c r="G1" s="9"/>
      <c r="H1" s="9"/>
      <c r="I1" s="9"/>
      <c r="J1" s="9"/>
      <c r="K1" s="9"/>
      <c r="L1" s="9"/>
      <c r="M1" s="9"/>
      <c r="N1" s="9"/>
      <c r="O1" s="9"/>
      <c r="P1" s="9"/>
      <c r="Q1" s="9"/>
      <c r="R1" s="9"/>
      <c r="S1" s="9"/>
      <c r="T1" s="9"/>
      <c r="U1" s="9"/>
      <c r="V1" s="9"/>
      <c r="W1" s="9"/>
      <c r="X1" s="9"/>
      <c r="Y1" s="9"/>
      <c r="Z1" s="9"/>
      <c r="AA1" s="9"/>
      <c r="AC1" s="100"/>
    </row>
    <row r="2" spans="2:29" s="6" customFormat="1" ht="11.25" customHeight="1" x14ac:dyDescent="0.35">
      <c r="B2" s="111"/>
      <c r="C2" s="111"/>
      <c r="D2" s="111"/>
      <c r="E2" s="113"/>
      <c r="F2" s="113"/>
      <c r="G2" s="9"/>
      <c r="H2" s="113"/>
      <c r="I2" s="113"/>
      <c r="J2" s="113"/>
      <c r="K2" s="113"/>
      <c r="L2" s="113"/>
      <c r="M2" s="113"/>
      <c r="N2" s="113"/>
      <c r="O2" s="113"/>
      <c r="P2" s="113"/>
      <c r="Q2" s="113"/>
      <c r="R2" s="113"/>
      <c r="S2" s="113"/>
      <c r="T2" s="113"/>
      <c r="U2" s="113"/>
      <c r="V2" s="113"/>
      <c r="W2" s="113"/>
      <c r="X2" s="113"/>
      <c r="Y2" s="113"/>
      <c r="Z2" s="113"/>
      <c r="AA2" s="113"/>
      <c r="AC2" s="100"/>
    </row>
    <row r="3" spans="2:29" s="6" customFormat="1" ht="35.25" customHeight="1" x14ac:dyDescent="0.35">
      <c r="B3" s="373" t="s">
        <v>0</v>
      </c>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100"/>
    </row>
    <row r="4" spans="2:29" s="4" customFormat="1" ht="33.6" customHeight="1" x14ac:dyDescent="0.35">
      <c r="B4" s="114"/>
      <c r="C4" s="114"/>
      <c r="D4" s="114"/>
      <c r="E4" s="114"/>
      <c r="F4" s="114"/>
      <c r="G4" s="9"/>
      <c r="H4" s="9"/>
      <c r="I4" s="9"/>
      <c r="J4" s="9"/>
      <c r="K4" s="9"/>
      <c r="L4" s="9"/>
      <c r="M4" s="9"/>
      <c r="N4" s="9"/>
      <c r="O4" s="9"/>
      <c r="P4" s="9"/>
      <c r="Q4" s="9"/>
      <c r="R4" s="9"/>
      <c r="S4" s="9"/>
      <c r="T4" s="9"/>
      <c r="U4" s="9"/>
      <c r="V4" s="9"/>
      <c r="W4" s="9"/>
      <c r="X4" s="9"/>
      <c r="Y4" s="9"/>
      <c r="Z4" s="9"/>
      <c r="AA4" s="9"/>
      <c r="AC4" s="100"/>
    </row>
    <row r="5" spans="2:29" s="4" customFormat="1" ht="24.75" customHeight="1" x14ac:dyDescent="0.35">
      <c r="B5" s="189" t="s">
        <v>1</v>
      </c>
      <c r="C5" s="190" t="s">
        <v>2</v>
      </c>
      <c r="E5" s="9"/>
      <c r="F5" s="9"/>
      <c r="G5" s="9"/>
      <c r="H5" s="9"/>
      <c r="I5" s="9"/>
      <c r="J5" s="9"/>
      <c r="K5" s="9"/>
      <c r="L5" s="9"/>
      <c r="M5" s="9"/>
      <c r="N5" s="9"/>
      <c r="O5" s="9"/>
      <c r="P5" s="9"/>
      <c r="Q5" s="9"/>
      <c r="R5" s="9"/>
      <c r="S5" s="9"/>
      <c r="T5" s="9"/>
      <c r="U5" s="9"/>
      <c r="V5" s="9"/>
      <c r="W5" s="9"/>
      <c r="X5" s="9"/>
      <c r="Y5" s="9"/>
      <c r="Z5" s="9"/>
      <c r="AA5" s="9"/>
      <c r="AC5" s="100"/>
    </row>
    <row r="6" spans="2:29" s="4" customFormat="1" ht="24.75" customHeight="1" x14ac:dyDescent="0.35">
      <c r="B6" s="283" t="s">
        <v>3</v>
      </c>
      <c r="C6" s="191">
        <v>2</v>
      </c>
      <c r="E6" s="9"/>
      <c r="F6" s="9"/>
      <c r="G6" s="9"/>
      <c r="H6" s="9"/>
      <c r="I6" s="9"/>
      <c r="J6" s="9"/>
      <c r="K6" s="9"/>
      <c r="L6" s="9"/>
      <c r="M6" s="9"/>
      <c r="N6" s="9"/>
      <c r="O6" s="9"/>
      <c r="P6" s="9"/>
      <c r="Q6" s="9"/>
      <c r="R6" s="9"/>
      <c r="S6" s="9"/>
      <c r="T6" s="9"/>
      <c r="U6" s="9"/>
      <c r="V6" s="9"/>
      <c r="W6" s="9"/>
      <c r="X6" s="9"/>
      <c r="Y6" s="9"/>
      <c r="Z6" s="9"/>
      <c r="AA6" s="9"/>
      <c r="AC6" s="100"/>
    </row>
    <row r="7" spans="2:29" s="4" customFormat="1" x14ac:dyDescent="0.35">
      <c r="B7" s="88"/>
      <c r="C7" s="89"/>
      <c r="E7" s="9"/>
      <c r="F7" s="9"/>
      <c r="G7" s="9"/>
      <c r="H7" s="9"/>
      <c r="I7" s="9"/>
      <c r="J7" s="9"/>
      <c r="K7" s="9"/>
      <c r="L7" s="9"/>
      <c r="M7" s="9"/>
      <c r="N7" s="9"/>
      <c r="O7" s="9"/>
      <c r="P7" s="9"/>
      <c r="Q7" s="9"/>
      <c r="R7" s="9"/>
      <c r="S7" s="9"/>
      <c r="T7" s="9"/>
      <c r="U7" s="9"/>
      <c r="V7" s="9"/>
      <c r="W7" s="9"/>
      <c r="X7" s="9"/>
      <c r="Y7" s="9"/>
      <c r="Z7" s="9"/>
      <c r="AA7" s="9"/>
      <c r="AC7" s="100"/>
    </row>
    <row r="8" spans="2:29" s="4" customFormat="1" ht="15" customHeight="1" x14ac:dyDescent="0.35">
      <c r="B8" s="284" t="s">
        <v>4</v>
      </c>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85"/>
      <c r="AC8" s="100"/>
    </row>
    <row r="9" spans="2:29" s="5" customFormat="1" ht="19.95" customHeight="1" x14ac:dyDescent="0.2">
      <c r="B9" s="368" t="s">
        <v>5</v>
      </c>
      <c r="C9" s="363" t="s">
        <v>6</v>
      </c>
      <c r="D9" s="364"/>
      <c r="E9" s="364"/>
      <c r="F9" s="364"/>
      <c r="G9" s="364"/>
      <c r="H9" s="365"/>
      <c r="I9" s="370" t="s">
        <v>7</v>
      </c>
      <c r="J9" s="366" t="s">
        <v>8</v>
      </c>
      <c r="K9" s="366"/>
      <c r="L9" s="366"/>
      <c r="M9" s="366"/>
      <c r="N9" s="366"/>
      <c r="O9" s="366"/>
      <c r="P9" s="366"/>
      <c r="Q9" s="366"/>
      <c r="R9" s="366"/>
      <c r="S9" s="366"/>
      <c r="T9" s="366"/>
      <c r="U9" s="366"/>
      <c r="V9" s="366"/>
      <c r="W9" s="366"/>
      <c r="X9" s="366"/>
      <c r="Y9" s="366"/>
      <c r="Z9" s="367"/>
      <c r="AA9" s="371" t="s">
        <v>9</v>
      </c>
      <c r="AB9" s="374" t="s">
        <v>10</v>
      </c>
    </row>
    <row r="10" spans="2:29" s="5" customFormat="1" ht="31.95" customHeight="1" x14ac:dyDescent="0.2">
      <c r="B10" s="368"/>
      <c r="C10" s="363" t="s">
        <v>11</v>
      </c>
      <c r="D10" s="364"/>
      <c r="E10" s="364"/>
      <c r="F10" s="364"/>
      <c r="G10" s="364"/>
      <c r="H10" s="365"/>
      <c r="I10" s="370"/>
      <c r="J10" s="273" t="s">
        <v>12</v>
      </c>
      <c r="K10" s="278" t="s">
        <v>13</v>
      </c>
      <c r="L10" s="278" t="s">
        <v>14</v>
      </c>
      <c r="M10" s="363" t="s">
        <v>15</v>
      </c>
      <c r="N10" s="364"/>
      <c r="O10" s="364"/>
      <c r="P10" s="364"/>
      <c r="Q10" s="364"/>
      <c r="R10" s="364"/>
      <c r="S10" s="364"/>
      <c r="T10" s="365"/>
      <c r="U10" s="276" t="s">
        <v>436</v>
      </c>
      <c r="V10" s="363" t="s">
        <v>437</v>
      </c>
      <c r="W10" s="364"/>
      <c r="X10" s="364"/>
      <c r="Y10" s="364"/>
      <c r="Z10" s="365"/>
      <c r="AA10" s="371"/>
      <c r="AB10" s="374"/>
    </row>
    <row r="11" spans="2:29" s="5" customFormat="1" ht="80.400000000000006" customHeight="1" x14ac:dyDescent="0.2">
      <c r="B11" s="369"/>
      <c r="C11" s="123" t="s">
        <v>17</v>
      </c>
      <c r="D11" s="123" t="s">
        <v>18</v>
      </c>
      <c r="E11" s="123" t="s">
        <v>19</v>
      </c>
      <c r="F11" s="123" t="s">
        <v>20</v>
      </c>
      <c r="G11" s="123" t="s">
        <v>21</v>
      </c>
      <c r="H11" s="123" t="s">
        <v>22</v>
      </c>
      <c r="I11" s="370"/>
      <c r="J11" s="279" t="s">
        <v>23</v>
      </c>
      <c r="K11" s="123" t="s">
        <v>24</v>
      </c>
      <c r="L11" s="123" t="s">
        <v>23</v>
      </c>
      <c r="M11" s="123" t="s">
        <v>25</v>
      </c>
      <c r="N11" s="123" t="s">
        <v>26</v>
      </c>
      <c r="O11" s="123" t="s">
        <v>27</v>
      </c>
      <c r="P11" s="123" t="s">
        <v>28</v>
      </c>
      <c r="Q11" s="123" t="s">
        <v>29</v>
      </c>
      <c r="R11" s="123" t="s">
        <v>30</v>
      </c>
      <c r="S11" s="277" t="s">
        <v>31</v>
      </c>
      <c r="T11" s="278" t="s">
        <v>32</v>
      </c>
      <c r="U11" s="278" t="s">
        <v>23</v>
      </c>
      <c r="V11" s="279" t="s">
        <v>33</v>
      </c>
      <c r="W11" s="279" t="s">
        <v>34</v>
      </c>
      <c r="X11" s="279" t="s">
        <v>35</v>
      </c>
      <c r="Y11" s="279" t="s">
        <v>36</v>
      </c>
      <c r="Z11" s="279" t="s">
        <v>37</v>
      </c>
      <c r="AA11" s="372"/>
      <c r="AB11" s="370"/>
    </row>
    <row r="12" spans="2:29" s="5" customFormat="1" ht="29.25" customHeight="1" x14ac:dyDescent="0.2">
      <c r="B12" s="286" t="s">
        <v>38</v>
      </c>
      <c r="C12" s="192">
        <v>0</v>
      </c>
      <c r="D12" s="192">
        <v>0</v>
      </c>
      <c r="E12" s="192">
        <v>0</v>
      </c>
      <c r="F12" s="193">
        <v>301772125</v>
      </c>
      <c r="G12" s="192">
        <v>0</v>
      </c>
      <c r="H12" s="194">
        <v>0</v>
      </c>
      <c r="I12" s="193">
        <f>SUM(C12:H12)</f>
        <v>301772125</v>
      </c>
      <c r="J12" s="194">
        <v>0</v>
      </c>
      <c r="K12" s="194">
        <v>0</v>
      </c>
      <c r="L12" s="194">
        <v>0</v>
      </c>
      <c r="M12" s="194">
        <v>0</v>
      </c>
      <c r="N12" s="194">
        <v>0</v>
      </c>
      <c r="O12" s="194">
        <v>0</v>
      </c>
      <c r="P12" s="194">
        <v>0</v>
      </c>
      <c r="Q12" s="194">
        <v>0</v>
      </c>
      <c r="R12" s="194">
        <v>0</v>
      </c>
      <c r="S12" s="194">
        <v>0</v>
      </c>
      <c r="T12" s="194">
        <v>0</v>
      </c>
      <c r="U12" s="195">
        <v>150000000</v>
      </c>
      <c r="V12" s="194">
        <v>0</v>
      </c>
      <c r="W12" s="194">
        <v>0</v>
      </c>
      <c r="X12" s="194">
        <v>0</v>
      </c>
      <c r="Y12" s="194">
        <v>0</v>
      </c>
      <c r="Z12" s="194">
        <v>0</v>
      </c>
      <c r="AA12" s="193">
        <f>SUM(J12:Z12)</f>
        <v>150000000</v>
      </c>
      <c r="AB12" s="196">
        <f>+AA12+I12</f>
        <v>451772125</v>
      </c>
    </row>
    <row r="13" spans="2:29" s="5" customFormat="1" ht="29.25" customHeight="1" x14ac:dyDescent="0.2">
      <c r="B13" s="286" t="s">
        <v>39</v>
      </c>
      <c r="C13" s="192">
        <v>0</v>
      </c>
      <c r="D13" s="192">
        <v>0</v>
      </c>
      <c r="E13" s="192">
        <v>0</v>
      </c>
      <c r="F13" s="195">
        <v>123960000</v>
      </c>
      <c r="G13" s="192">
        <v>0</v>
      </c>
      <c r="H13" s="192">
        <v>0</v>
      </c>
      <c r="I13" s="193">
        <f t="shared" ref="I13:I34" si="0">SUM(C13:H13)</f>
        <v>123960000</v>
      </c>
      <c r="J13" s="192">
        <v>0</v>
      </c>
      <c r="K13" s="192">
        <v>0</v>
      </c>
      <c r="L13" s="192">
        <v>0</v>
      </c>
      <c r="M13" s="192">
        <v>0</v>
      </c>
      <c r="N13" s="192">
        <v>0</v>
      </c>
      <c r="O13" s="192">
        <v>0</v>
      </c>
      <c r="P13" s="194">
        <v>0</v>
      </c>
      <c r="Q13" s="192">
        <v>0</v>
      </c>
      <c r="R13" s="194">
        <v>0</v>
      </c>
      <c r="S13" s="194">
        <v>0</v>
      </c>
      <c r="T13" s="194">
        <v>0</v>
      </c>
      <c r="U13" s="195">
        <v>491976808.25</v>
      </c>
      <c r="V13" s="194">
        <v>0</v>
      </c>
      <c r="W13" s="194">
        <v>0</v>
      </c>
      <c r="X13" s="194">
        <v>0</v>
      </c>
      <c r="Y13" s="194">
        <v>0</v>
      </c>
      <c r="Z13" s="194">
        <v>0</v>
      </c>
      <c r="AA13" s="193">
        <f t="shared" ref="AA13:AA34" si="1">SUM(J13:Z13)</f>
        <v>491976808.25</v>
      </c>
      <c r="AB13" s="196">
        <f t="shared" ref="AB13:AB34" si="2">+AA13+I13</f>
        <v>615936808.25</v>
      </c>
    </row>
    <row r="14" spans="2:29" s="5" customFormat="1" ht="29.25" customHeight="1" x14ac:dyDescent="0.2">
      <c r="B14" s="286" t="s">
        <v>40</v>
      </c>
      <c r="C14" s="192">
        <v>0</v>
      </c>
      <c r="D14" s="195">
        <v>100123950</v>
      </c>
      <c r="E14" s="192">
        <v>0</v>
      </c>
      <c r="F14" s="193">
        <v>116673015</v>
      </c>
      <c r="G14" s="192">
        <v>0</v>
      </c>
      <c r="H14" s="194">
        <v>0</v>
      </c>
      <c r="I14" s="193">
        <f t="shared" si="0"/>
        <v>216796965</v>
      </c>
      <c r="J14" s="194">
        <v>0</v>
      </c>
      <c r="K14" s="194">
        <v>0</v>
      </c>
      <c r="L14" s="194">
        <v>0</v>
      </c>
      <c r="M14" s="195">
        <v>231516347.16999999</v>
      </c>
      <c r="N14" s="192">
        <v>0</v>
      </c>
      <c r="O14" s="195">
        <v>69701625</v>
      </c>
      <c r="P14" s="194">
        <v>0</v>
      </c>
      <c r="Q14" s="194">
        <v>0</v>
      </c>
      <c r="R14" s="195">
        <v>185272950.5</v>
      </c>
      <c r="S14" s="194">
        <v>0</v>
      </c>
      <c r="T14" s="194">
        <v>0</v>
      </c>
      <c r="U14" s="195">
        <v>3246011972.25</v>
      </c>
      <c r="V14" s="194">
        <v>0</v>
      </c>
      <c r="W14" s="195">
        <v>2840000</v>
      </c>
      <c r="X14" s="194">
        <v>0</v>
      </c>
      <c r="Y14" s="195">
        <v>39625118</v>
      </c>
      <c r="Z14" s="194">
        <v>0</v>
      </c>
      <c r="AA14" s="193">
        <f t="shared" si="1"/>
        <v>3774968012.9200001</v>
      </c>
      <c r="AB14" s="196">
        <f t="shared" si="2"/>
        <v>3991764977.9200001</v>
      </c>
    </row>
    <row r="15" spans="2:29" ht="29.25" customHeight="1" x14ac:dyDescent="0.2">
      <c r="B15" s="286" t="s">
        <v>41</v>
      </c>
      <c r="C15" s="192">
        <v>0</v>
      </c>
      <c r="D15" s="195">
        <v>100123950</v>
      </c>
      <c r="E15" s="192">
        <v>0</v>
      </c>
      <c r="F15" s="195">
        <f>571802263+522384450</f>
        <v>1094186713</v>
      </c>
      <c r="G15" s="195">
        <v>185000000</v>
      </c>
      <c r="H15" s="192">
        <v>0</v>
      </c>
      <c r="I15" s="193">
        <f>SUM(C15:H15)</f>
        <v>1379310663</v>
      </c>
      <c r="J15" s="192">
        <v>0</v>
      </c>
      <c r="K15" s="192">
        <v>0</v>
      </c>
      <c r="L15" s="192">
        <v>0</v>
      </c>
      <c r="M15" s="195">
        <v>151336988.16999999</v>
      </c>
      <c r="N15" s="192">
        <v>0</v>
      </c>
      <c r="O15" s="192">
        <v>0</v>
      </c>
      <c r="P15" s="194">
        <v>0</v>
      </c>
      <c r="Q15" s="194">
        <v>0</v>
      </c>
      <c r="R15" s="194">
        <v>0</v>
      </c>
      <c r="S15" s="194">
        <v>0</v>
      </c>
      <c r="T15" s="194">
        <v>0</v>
      </c>
      <c r="U15" s="193">
        <v>1080270685.0799999</v>
      </c>
      <c r="V15" s="194">
        <v>0</v>
      </c>
      <c r="W15" s="194">
        <v>0</v>
      </c>
      <c r="X15" s="194">
        <v>0</v>
      </c>
      <c r="Y15" s="195">
        <v>39625118</v>
      </c>
      <c r="Z15" s="194">
        <v>0</v>
      </c>
      <c r="AA15" s="193">
        <f t="shared" si="1"/>
        <v>1271232791.25</v>
      </c>
      <c r="AB15" s="196">
        <f t="shared" si="2"/>
        <v>2650543454.25</v>
      </c>
      <c r="AC15" s="118"/>
    </row>
    <row r="16" spans="2:29" ht="29.25" customHeight="1" x14ac:dyDescent="0.2">
      <c r="B16" s="286" t="s">
        <v>42</v>
      </c>
      <c r="C16" s="192">
        <v>0</v>
      </c>
      <c r="D16" s="195">
        <v>100123950</v>
      </c>
      <c r="E16" s="192">
        <v>0</v>
      </c>
      <c r="F16" s="193">
        <v>3176050</v>
      </c>
      <c r="G16" s="192">
        <v>0</v>
      </c>
      <c r="H16" s="194">
        <v>0</v>
      </c>
      <c r="I16" s="193">
        <f t="shared" si="0"/>
        <v>103300000</v>
      </c>
      <c r="J16" s="194">
        <v>0</v>
      </c>
      <c r="K16" s="194">
        <v>0</v>
      </c>
      <c r="L16" s="194">
        <v>0</v>
      </c>
      <c r="M16" s="195">
        <v>278425098.17000002</v>
      </c>
      <c r="N16" s="192">
        <v>0</v>
      </c>
      <c r="O16" s="192">
        <v>0</v>
      </c>
      <c r="P16" s="194">
        <v>0</v>
      </c>
      <c r="Q16" s="194">
        <v>0</v>
      </c>
      <c r="R16" s="194">
        <v>0</v>
      </c>
      <c r="S16" s="194">
        <v>0</v>
      </c>
      <c r="T16" s="194">
        <v>0</v>
      </c>
      <c r="U16" s="194">
        <v>0</v>
      </c>
      <c r="V16" s="194">
        <v>0</v>
      </c>
      <c r="W16" s="194">
        <v>0</v>
      </c>
      <c r="X16" s="194">
        <v>0</v>
      </c>
      <c r="Y16" s="195">
        <v>39625118</v>
      </c>
      <c r="Z16" s="194">
        <v>0</v>
      </c>
      <c r="AA16" s="193">
        <f t="shared" si="1"/>
        <v>318050216.17000002</v>
      </c>
      <c r="AB16" s="196">
        <f t="shared" si="2"/>
        <v>421350216.17000002</v>
      </c>
      <c r="AC16" s="118"/>
    </row>
    <row r="17" spans="1:170" s="38" customFormat="1" ht="29.25" customHeight="1" x14ac:dyDescent="0.2">
      <c r="B17" s="286" t="s">
        <v>43</v>
      </c>
      <c r="C17" s="195">
        <v>122953640</v>
      </c>
      <c r="D17" s="195">
        <v>400495800</v>
      </c>
      <c r="E17" s="192">
        <v>0</v>
      </c>
      <c r="F17" s="195">
        <f>632504203+166940272</f>
        <v>799444475</v>
      </c>
      <c r="G17" s="192">
        <v>0</v>
      </c>
      <c r="H17" s="192">
        <v>0</v>
      </c>
      <c r="I17" s="193">
        <f>SUM(C17:H17)</f>
        <v>1322893915</v>
      </c>
      <c r="J17" s="192">
        <v>0</v>
      </c>
      <c r="K17" s="192">
        <v>0</v>
      </c>
      <c r="L17" s="192">
        <v>0</v>
      </c>
      <c r="M17" s="195">
        <v>805037682.85000002</v>
      </c>
      <c r="N17" s="192">
        <v>0</v>
      </c>
      <c r="O17" s="195">
        <v>537297980</v>
      </c>
      <c r="P17" s="194">
        <v>0</v>
      </c>
      <c r="Q17" s="194">
        <v>0</v>
      </c>
      <c r="R17" s="194">
        <v>0</v>
      </c>
      <c r="S17" s="194">
        <v>0</v>
      </c>
      <c r="T17" s="194">
        <v>0</v>
      </c>
      <c r="U17" s="194">
        <v>0</v>
      </c>
      <c r="V17" s="194">
        <v>0</v>
      </c>
      <c r="W17" s="194">
        <v>0</v>
      </c>
      <c r="X17" s="194">
        <v>0</v>
      </c>
      <c r="Y17" s="195">
        <v>158500473.62</v>
      </c>
      <c r="Z17" s="194">
        <v>0</v>
      </c>
      <c r="AA17" s="193">
        <f t="shared" si="1"/>
        <v>1500836136.4699998</v>
      </c>
      <c r="AB17" s="196">
        <f t="shared" si="2"/>
        <v>2823730051.4699998</v>
      </c>
      <c r="AC17" s="119"/>
    </row>
    <row r="18" spans="1:170" s="41" customFormat="1" ht="29.25" customHeight="1" x14ac:dyDescent="0.2">
      <c r="A18" s="38"/>
      <c r="B18" s="286" t="s">
        <v>44</v>
      </c>
      <c r="C18" s="192">
        <v>0</v>
      </c>
      <c r="D18" s="192">
        <v>0</v>
      </c>
      <c r="E18" s="192">
        <v>0</v>
      </c>
      <c r="F18" s="193">
        <v>46485000</v>
      </c>
      <c r="G18" s="192">
        <v>0</v>
      </c>
      <c r="H18" s="194">
        <v>0</v>
      </c>
      <c r="I18" s="193">
        <f t="shared" si="0"/>
        <v>46485000</v>
      </c>
      <c r="J18" s="194">
        <v>0</v>
      </c>
      <c r="K18" s="194">
        <v>0</v>
      </c>
      <c r="L18" s="194">
        <v>0</v>
      </c>
      <c r="M18" s="192"/>
      <c r="N18" s="192">
        <v>0</v>
      </c>
      <c r="O18" s="192">
        <v>0</v>
      </c>
      <c r="P18" s="194">
        <v>0</v>
      </c>
      <c r="Q18" s="194">
        <v>0</v>
      </c>
      <c r="R18" s="194">
        <v>0</v>
      </c>
      <c r="S18" s="194">
        <v>0</v>
      </c>
      <c r="T18" s="194">
        <v>0</v>
      </c>
      <c r="U18" s="195">
        <v>551700000</v>
      </c>
      <c r="V18" s="194">
        <v>0</v>
      </c>
      <c r="W18" s="194">
        <v>0</v>
      </c>
      <c r="X18" s="194">
        <v>0</v>
      </c>
      <c r="Y18" s="194">
        <v>0</v>
      </c>
      <c r="Z18" s="194">
        <v>0</v>
      </c>
      <c r="AA18" s="193">
        <f t="shared" si="1"/>
        <v>551700000</v>
      </c>
      <c r="AB18" s="196">
        <f t="shared" si="2"/>
        <v>598185000</v>
      </c>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38"/>
      <c r="FE18" s="38"/>
      <c r="FF18" s="38"/>
      <c r="FG18" s="38"/>
      <c r="FH18" s="38"/>
      <c r="FI18" s="38"/>
      <c r="FJ18" s="38"/>
    </row>
    <row r="19" spans="1:170" s="38" customFormat="1" ht="29.25" customHeight="1" x14ac:dyDescent="0.2">
      <c r="B19" s="286" t="s">
        <v>45</v>
      </c>
      <c r="C19" s="192">
        <v>0</v>
      </c>
      <c r="D19" s="195">
        <v>600743700.5</v>
      </c>
      <c r="E19" s="192">
        <v>0</v>
      </c>
      <c r="F19" s="195">
        <v>308503148</v>
      </c>
      <c r="G19" s="192">
        <v>0</v>
      </c>
      <c r="H19" s="192">
        <v>0</v>
      </c>
      <c r="I19" s="193">
        <f t="shared" si="0"/>
        <v>909246848.5</v>
      </c>
      <c r="J19" s="192">
        <v>0</v>
      </c>
      <c r="K19" s="192">
        <v>0</v>
      </c>
      <c r="L19" s="192">
        <v>0</v>
      </c>
      <c r="M19" s="195">
        <v>2149508566.6999998</v>
      </c>
      <c r="N19" s="192">
        <v>0</v>
      </c>
      <c r="O19" s="195">
        <v>8183794824.5900002</v>
      </c>
      <c r="P19" s="194">
        <v>0</v>
      </c>
      <c r="Q19" s="192"/>
      <c r="R19" s="195">
        <v>105431416.5</v>
      </c>
      <c r="S19" s="194">
        <v>0</v>
      </c>
      <c r="T19" s="194">
        <v>0</v>
      </c>
      <c r="U19" s="195">
        <v>11052853771.27</v>
      </c>
      <c r="V19" s="194">
        <v>0</v>
      </c>
      <c r="W19" s="194">
        <v>0</v>
      </c>
      <c r="X19" s="194">
        <v>0</v>
      </c>
      <c r="Y19" s="194">
        <v>0</v>
      </c>
      <c r="Z19" s="194">
        <v>0</v>
      </c>
      <c r="AA19" s="193">
        <f t="shared" si="1"/>
        <v>21491588579.060001</v>
      </c>
      <c r="AB19" s="196">
        <f t="shared" si="2"/>
        <v>22400835427.560001</v>
      </c>
    </row>
    <row r="20" spans="1:170" s="41" customFormat="1" ht="29.25" customHeight="1" x14ac:dyDescent="0.2">
      <c r="A20" s="38"/>
      <c r="B20" s="286" t="s">
        <v>46</v>
      </c>
      <c r="C20" s="192">
        <v>0</v>
      </c>
      <c r="D20" s="195">
        <v>600743700.5</v>
      </c>
      <c r="E20" s="193">
        <v>489574246</v>
      </c>
      <c r="F20" s="193">
        <f>359651130+1100000000</f>
        <v>1459651130</v>
      </c>
      <c r="G20" s="192">
        <v>0</v>
      </c>
      <c r="H20" s="194">
        <v>0</v>
      </c>
      <c r="I20" s="193">
        <f t="shared" si="0"/>
        <v>2549969076.5</v>
      </c>
      <c r="J20" s="195">
        <v>2400000000</v>
      </c>
      <c r="K20" s="192">
        <v>0</v>
      </c>
      <c r="L20" s="192">
        <v>0</v>
      </c>
      <c r="M20" s="195">
        <v>870103340.74000001</v>
      </c>
      <c r="N20" s="195">
        <v>43660351.170000002</v>
      </c>
      <c r="O20" s="192"/>
      <c r="P20" s="194">
        <v>0</v>
      </c>
      <c r="Q20" s="194">
        <v>0</v>
      </c>
      <c r="R20" s="195">
        <v>81910138.599999994</v>
      </c>
      <c r="S20" s="194">
        <v>0</v>
      </c>
      <c r="T20" s="194">
        <v>0</v>
      </c>
      <c r="U20" s="194">
        <v>0</v>
      </c>
      <c r="V20" s="194">
        <v>0</v>
      </c>
      <c r="W20" s="194">
        <v>0</v>
      </c>
      <c r="X20" s="195">
        <v>938077721</v>
      </c>
      <c r="Y20" s="195">
        <v>237750710.43000001</v>
      </c>
      <c r="Z20" s="194">
        <v>0</v>
      </c>
      <c r="AA20" s="193">
        <f t="shared" si="1"/>
        <v>4571502261.9400005</v>
      </c>
      <c r="AB20" s="196">
        <f t="shared" si="2"/>
        <v>7121471338.4400005</v>
      </c>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row>
    <row r="21" spans="1:170" s="38" customFormat="1" ht="29.25" customHeight="1" x14ac:dyDescent="0.2">
      <c r="B21" s="286" t="s">
        <v>47</v>
      </c>
      <c r="C21" s="195">
        <v>361550000</v>
      </c>
      <c r="D21" s="192">
        <v>0</v>
      </c>
      <c r="E21" s="192">
        <v>0</v>
      </c>
      <c r="F21" s="192">
        <v>0</v>
      </c>
      <c r="G21" s="195">
        <v>1563999165</v>
      </c>
      <c r="H21" s="192" t="s">
        <v>48</v>
      </c>
      <c r="I21" s="193">
        <f t="shared" si="0"/>
        <v>1925549165</v>
      </c>
      <c r="J21" s="192" t="s">
        <v>48</v>
      </c>
      <c r="K21" s="192" t="s">
        <v>48</v>
      </c>
      <c r="L21" s="192" t="s">
        <v>48</v>
      </c>
      <c r="M21" s="192" t="s">
        <v>48</v>
      </c>
      <c r="N21" s="192" t="s">
        <v>48</v>
      </c>
      <c r="O21" s="192" t="s">
        <v>48</v>
      </c>
      <c r="P21" s="192" t="s">
        <v>48</v>
      </c>
      <c r="Q21" s="195">
        <v>120484429.27</v>
      </c>
      <c r="R21" s="194">
        <v>0</v>
      </c>
      <c r="S21" s="194">
        <v>0</v>
      </c>
      <c r="T21" s="194">
        <v>0</v>
      </c>
      <c r="U21" s="194">
        <v>0</v>
      </c>
      <c r="V21" s="194">
        <v>0</v>
      </c>
      <c r="W21" s="194">
        <v>0</v>
      </c>
      <c r="X21" s="194">
        <v>0</v>
      </c>
      <c r="Y21" s="194">
        <v>0</v>
      </c>
      <c r="Z21" s="194">
        <v>0</v>
      </c>
      <c r="AA21" s="193">
        <f t="shared" si="1"/>
        <v>120484429.27</v>
      </c>
      <c r="AB21" s="196">
        <f>+AA21+I21</f>
        <v>2046033594.27</v>
      </c>
    </row>
    <row r="22" spans="1:170" s="41" customFormat="1" ht="29.25" customHeight="1" x14ac:dyDescent="0.2">
      <c r="A22" s="38"/>
      <c r="B22" s="286" t="s">
        <v>49</v>
      </c>
      <c r="C22" s="192">
        <v>0</v>
      </c>
      <c r="D22" s="192">
        <v>0</v>
      </c>
      <c r="E22" s="192">
        <v>0</v>
      </c>
      <c r="F22" s="192">
        <v>0</v>
      </c>
      <c r="G22" s="192">
        <v>0</v>
      </c>
      <c r="H22" s="193">
        <v>123960000</v>
      </c>
      <c r="I22" s="193">
        <f t="shared" si="0"/>
        <v>123960000</v>
      </c>
      <c r="J22" s="192" t="s">
        <v>48</v>
      </c>
      <c r="K22" s="192" t="s">
        <v>48</v>
      </c>
      <c r="L22" s="192" t="s">
        <v>48</v>
      </c>
      <c r="M22" s="192" t="s">
        <v>48</v>
      </c>
      <c r="N22" s="192" t="s">
        <v>48</v>
      </c>
      <c r="O22" s="192" t="s">
        <v>48</v>
      </c>
      <c r="P22" s="194">
        <v>0</v>
      </c>
      <c r="Q22" s="194">
        <v>0</v>
      </c>
      <c r="R22" s="194">
        <v>0</v>
      </c>
      <c r="S22" s="194">
        <v>0</v>
      </c>
      <c r="T22" s="194">
        <v>0</v>
      </c>
      <c r="U22" s="194">
        <v>0</v>
      </c>
      <c r="V22" s="194">
        <v>0</v>
      </c>
      <c r="W22" s="194">
        <v>0</v>
      </c>
      <c r="X22" s="194">
        <v>0</v>
      </c>
      <c r="Y22" s="194">
        <v>0</v>
      </c>
      <c r="Z22" s="194">
        <v>0</v>
      </c>
      <c r="AA22" s="193">
        <f t="shared" si="1"/>
        <v>0</v>
      </c>
      <c r="AB22" s="196">
        <f t="shared" si="2"/>
        <v>123960000</v>
      </c>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row>
    <row r="23" spans="1:170" s="38" customFormat="1" ht="29.25" customHeight="1" x14ac:dyDescent="0.2">
      <c r="B23" s="286" t="s">
        <v>50</v>
      </c>
      <c r="C23" s="192">
        <v>0</v>
      </c>
      <c r="D23" s="192">
        <v>0</v>
      </c>
      <c r="E23" s="192">
        <v>0</v>
      </c>
      <c r="F23" s="192">
        <v>0</v>
      </c>
      <c r="G23" s="192">
        <v>0</v>
      </c>
      <c r="H23" s="195">
        <v>123960000</v>
      </c>
      <c r="I23" s="193">
        <f t="shared" si="0"/>
        <v>123960000</v>
      </c>
      <c r="J23" s="192" t="s">
        <v>48</v>
      </c>
      <c r="K23" s="192" t="s">
        <v>48</v>
      </c>
      <c r="L23" s="192" t="s">
        <v>48</v>
      </c>
      <c r="M23" s="192" t="s">
        <v>48</v>
      </c>
      <c r="N23" s="192" t="s">
        <v>48</v>
      </c>
      <c r="O23" s="192" t="s">
        <v>48</v>
      </c>
      <c r="P23" s="194">
        <v>0</v>
      </c>
      <c r="Q23" s="194">
        <v>0</v>
      </c>
      <c r="R23" s="194">
        <v>0</v>
      </c>
      <c r="S23" s="194">
        <v>0</v>
      </c>
      <c r="T23" s="194">
        <v>0</v>
      </c>
      <c r="U23" s="192"/>
      <c r="V23" s="194">
        <v>0</v>
      </c>
      <c r="W23" s="194">
        <v>0</v>
      </c>
      <c r="X23" s="194">
        <v>0</v>
      </c>
      <c r="Y23" s="194">
        <v>0</v>
      </c>
      <c r="Z23" s="194">
        <v>0</v>
      </c>
      <c r="AA23" s="193">
        <f t="shared" si="1"/>
        <v>0</v>
      </c>
      <c r="AB23" s="196">
        <f t="shared" si="2"/>
        <v>123960000</v>
      </c>
    </row>
    <row r="24" spans="1:170" s="41" customFormat="1" ht="29.25" customHeight="1" x14ac:dyDescent="0.2">
      <c r="A24" s="38"/>
      <c r="B24" s="286" t="s">
        <v>51</v>
      </c>
      <c r="C24" s="192">
        <v>0</v>
      </c>
      <c r="D24" s="192">
        <v>0</v>
      </c>
      <c r="E24" s="192">
        <v>0</v>
      </c>
      <c r="F24" s="192">
        <v>0</v>
      </c>
      <c r="G24" s="192">
        <v>0</v>
      </c>
      <c r="H24" s="193">
        <v>154950000</v>
      </c>
      <c r="I24" s="193">
        <f t="shared" si="0"/>
        <v>154950000</v>
      </c>
      <c r="J24" s="192" t="s">
        <v>48</v>
      </c>
      <c r="K24" s="192" t="s">
        <v>48</v>
      </c>
      <c r="L24" s="192" t="s">
        <v>48</v>
      </c>
      <c r="M24" s="192" t="s">
        <v>48</v>
      </c>
      <c r="N24" s="192" t="s">
        <v>48</v>
      </c>
      <c r="O24" s="192" t="s">
        <v>48</v>
      </c>
      <c r="P24" s="194">
        <v>0</v>
      </c>
      <c r="Q24" s="194">
        <v>0</v>
      </c>
      <c r="R24" s="194">
        <v>0</v>
      </c>
      <c r="S24" s="194">
        <v>0</v>
      </c>
      <c r="T24" s="194">
        <v>0</v>
      </c>
      <c r="U24" s="192"/>
      <c r="V24" s="194">
        <v>0</v>
      </c>
      <c r="W24" s="194">
        <v>0</v>
      </c>
      <c r="X24" s="194">
        <v>0</v>
      </c>
      <c r="Y24" s="194">
        <v>0</v>
      </c>
      <c r="Z24" s="194">
        <v>0</v>
      </c>
      <c r="AA24" s="193">
        <f t="shared" si="1"/>
        <v>0</v>
      </c>
      <c r="AB24" s="196">
        <f t="shared" si="2"/>
        <v>154950000</v>
      </c>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38"/>
      <c r="FE24" s="38"/>
      <c r="FF24" s="38"/>
      <c r="FG24" s="38"/>
      <c r="FH24" s="38"/>
      <c r="FI24" s="38"/>
      <c r="FJ24" s="38"/>
    </row>
    <row r="25" spans="1:170" s="38" customFormat="1" ht="29.25" customHeight="1" x14ac:dyDescent="0.2">
      <c r="B25" s="286" t="s">
        <v>52</v>
      </c>
      <c r="C25" s="192">
        <v>0</v>
      </c>
      <c r="D25" s="192">
        <v>0</v>
      </c>
      <c r="E25" s="192">
        <v>0</v>
      </c>
      <c r="F25" s="193">
        <v>30000000</v>
      </c>
      <c r="G25" s="192">
        <v>0</v>
      </c>
      <c r="H25" s="195">
        <v>309900000</v>
      </c>
      <c r="I25" s="193">
        <f t="shared" si="0"/>
        <v>339900000</v>
      </c>
      <c r="J25" s="192" t="s">
        <v>48</v>
      </c>
      <c r="K25" s="192" t="s">
        <v>48</v>
      </c>
      <c r="L25" s="192" t="s">
        <v>48</v>
      </c>
      <c r="M25" s="192" t="s">
        <v>48</v>
      </c>
      <c r="N25" s="192" t="s">
        <v>48</v>
      </c>
      <c r="O25" s="192" t="s">
        <v>48</v>
      </c>
      <c r="P25" s="194">
        <v>0</v>
      </c>
      <c r="Q25" s="194">
        <v>0</v>
      </c>
      <c r="R25" s="194">
        <v>0</v>
      </c>
      <c r="S25" s="194">
        <v>0</v>
      </c>
      <c r="T25" s="194">
        <v>0</v>
      </c>
      <c r="U25" s="195">
        <v>620000000</v>
      </c>
      <c r="V25" s="194">
        <v>0</v>
      </c>
      <c r="W25" s="194">
        <v>0</v>
      </c>
      <c r="X25" s="194">
        <v>0</v>
      </c>
      <c r="Y25" s="194">
        <v>0</v>
      </c>
      <c r="Z25" s="194">
        <v>0</v>
      </c>
      <c r="AA25" s="193">
        <f t="shared" si="1"/>
        <v>620000000</v>
      </c>
      <c r="AB25" s="196">
        <f t="shared" si="2"/>
        <v>959900000</v>
      </c>
    </row>
    <row r="26" spans="1:170" s="41" customFormat="1" ht="29.25" customHeight="1" x14ac:dyDescent="0.2">
      <c r="A26" s="38"/>
      <c r="B26" s="286" t="s">
        <v>53</v>
      </c>
      <c r="C26" s="192">
        <v>0</v>
      </c>
      <c r="D26" s="192">
        <v>0</v>
      </c>
      <c r="E26" s="192">
        <v>0</v>
      </c>
      <c r="F26" s="192">
        <v>0</v>
      </c>
      <c r="G26" s="192">
        <v>0</v>
      </c>
      <c r="H26" s="193">
        <v>154950000</v>
      </c>
      <c r="I26" s="193">
        <f t="shared" si="0"/>
        <v>154950000</v>
      </c>
      <c r="J26" s="192" t="s">
        <v>48</v>
      </c>
      <c r="K26" s="192" t="s">
        <v>48</v>
      </c>
      <c r="L26" s="192" t="s">
        <v>48</v>
      </c>
      <c r="M26" s="192" t="s">
        <v>48</v>
      </c>
      <c r="N26" s="192" t="s">
        <v>48</v>
      </c>
      <c r="O26" s="192" t="s">
        <v>48</v>
      </c>
      <c r="P26" s="194">
        <v>0</v>
      </c>
      <c r="Q26" s="194">
        <v>0</v>
      </c>
      <c r="R26" s="194">
        <v>0</v>
      </c>
      <c r="S26" s="194">
        <v>0</v>
      </c>
      <c r="T26" s="194">
        <v>0</v>
      </c>
      <c r="U26" s="192"/>
      <c r="V26" s="194">
        <v>0</v>
      </c>
      <c r="W26" s="194">
        <v>0</v>
      </c>
      <c r="X26" s="194">
        <v>0</v>
      </c>
      <c r="Y26" s="194">
        <v>0</v>
      </c>
      <c r="Z26" s="194">
        <v>0</v>
      </c>
      <c r="AA26" s="193">
        <f t="shared" si="1"/>
        <v>0</v>
      </c>
      <c r="AB26" s="196">
        <f t="shared" si="2"/>
        <v>154950000</v>
      </c>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row>
    <row r="27" spans="1:170" s="38" customFormat="1" ht="29.25" customHeight="1" x14ac:dyDescent="0.2">
      <c r="B27" s="286" t="s">
        <v>54</v>
      </c>
      <c r="C27" s="192">
        <v>0</v>
      </c>
      <c r="D27" s="192">
        <v>0</v>
      </c>
      <c r="E27" s="192">
        <v>0</v>
      </c>
      <c r="F27" s="192">
        <v>0</v>
      </c>
      <c r="G27" s="192">
        <v>0</v>
      </c>
      <c r="H27" s="195">
        <v>206600000</v>
      </c>
      <c r="I27" s="193">
        <f t="shared" si="0"/>
        <v>206600000</v>
      </c>
      <c r="J27" s="192" t="s">
        <v>48</v>
      </c>
      <c r="K27" s="192" t="s">
        <v>48</v>
      </c>
      <c r="L27" s="192" t="s">
        <v>48</v>
      </c>
      <c r="M27" s="192" t="s">
        <v>48</v>
      </c>
      <c r="N27" s="192" t="s">
        <v>48</v>
      </c>
      <c r="O27" s="192" t="s">
        <v>48</v>
      </c>
      <c r="P27" s="194">
        <v>0</v>
      </c>
      <c r="Q27" s="194">
        <v>0</v>
      </c>
      <c r="R27" s="194">
        <v>0</v>
      </c>
      <c r="S27" s="194">
        <v>0</v>
      </c>
      <c r="T27" s="194">
        <v>0</v>
      </c>
      <c r="U27" s="195">
        <v>100000000</v>
      </c>
      <c r="V27" s="194">
        <v>0</v>
      </c>
      <c r="W27" s="194">
        <v>0</v>
      </c>
      <c r="X27" s="194">
        <v>0</v>
      </c>
      <c r="Y27" s="194">
        <v>0</v>
      </c>
      <c r="Z27" s="194">
        <v>0</v>
      </c>
      <c r="AA27" s="193">
        <f t="shared" si="1"/>
        <v>100000000</v>
      </c>
      <c r="AB27" s="196">
        <f t="shared" si="2"/>
        <v>306600000</v>
      </c>
    </row>
    <row r="28" spans="1:170" s="38" customFormat="1" ht="29.25" customHeight="1" x14ac:dyDescent="0.2">
      <c r="B28" s="286" t="s">
        <v>55</v>
      </c>
      <c r="C28" s="195">
        <v>8265832</v>
      </c>
      <c r="D28" s="192">
        <v>0</v>
      </c>
      <c r="E28" s="192">
        <v>0</v>
      </c>
      <c r="F28" s="192">
        <v>0</v>
      </c>
      <c r="G28" s="193">
        <v>58184090</v>
      </c>
      <c r="H28" s="193">
        <v>140150078</v>
      </c>
      <c r="I28" s="193">
        <f t="shared" si="0"/>
        <v>206600000</v>
      </c>
      <c r="J28" s="192" t="s">
        <v>48</v>
      </c>
      <c r="K28" s="192" t="s">
        <v>48</v>
      </c>
      <c r="L28" s="192" t="s">
        <v>48</v>
      </c>
      <c r="M28" s="192" t="s">
        <v>48</v>
      </c>
      <c r="N28" s="192" t="s">
        <v>48</v>
      </c>
      <c r="O28" s="192" t="s">
        <v>48</v>
      </c>
      <c r="P28" s="194">
        <v>0</v>
      </c>
      <c r="Q28" s="194">
        <v>0</v>
      </c>
      <c r="R28" s="194">
        <v>0</v>
      </c>
      <c r="S28" s="194">
        <v>0</v>
      </c>
      <c r="T28" s="194">
        <v>0</v>
      </c>
      <c r="U28" s="194">
        <v>0</v>
      </c>
      <c r="V28" s="194">
        <v>0</v>
      </c>
      <c r="W28" s="194">
        <v>0</v>
      </c>
      <c r="X28" s="194">
        <v>0</v>
      </c>
      <c r="Y28" s="194">
        <v>0</v>
      </c>
      <c r="Z28" s="194">
        <v>0</v>
      </c>
      <c r="AA28" s="193">
        <f t="shared" si="1"/>
        <v>0</v>
      </c>
      <c r="AB28" s="196">
        <f t="shared" si="2"/>
        <v>206600000</v>
      </c>
    </row>
    <row r="29" spans="1:170" s="38" customFormat="1" ht="29.25" customHeight="1" x14ac:dyDescent="0.2">
      <c r="B29" s="286" t="s">
        <v>56</v>
      </c>
      <c r="C29" s="192">
        <v>0</v>
      </c>
      <c r="D29" s="192">
        <v>0</v>
      </c>
      <c r="E29" s="192">
        <v>0</v>
      </c>
      <c r="F29" s="192">
        <v>0</v>
      </c>
      <c r="G29" s="193">
        <v>176550000</v>
      </c>
      <c r="H29" s="192">
        <v>0</v>
      </c>
      <c r="I29" s="193">
        <f t="shared" si="0"/>
        <v>176550000</v>
      </c>
      <c r="J29" s="192">
        <v>0</v>
      </c>
      <c r="K29" s="192">
        <v>0</v>
      </c>
      <c r="L29" s="192">
        <v>0</v>
      </c>
      <c r="M29" s="192">
        <v>0</v>
      </c>
      <c r="N29" s="192">
        <v>0</v>
      </c>
      <c r="O29" s="192">
        <v>0</v>
      </c>
      <c r="P29" s="192">
        <v>0</v>
      </c>
      <c r="Q29" s="192">
        <v>0</v>
      </c>
      <c r="R29" s="194">
        <v>0</v>
      </c>
      <c r="S29" s="194">
        <v>0</v>
      </c>
      <c r="T29" s="194">
        <v>0</v>
      </c>
      <c r="U29" s="194">
        <v>0</v>
      </c>
      <c r="V29" s="194">
        <v>0</v>
      </c>
      <c r="W29" s="194">
        <v>0</v>
      </c>
      <c r="X29" s="194">
        <v>0</v>
      </c>
      <c r="Y29" s="194">
        <v>0</v>
      </c>
      <c r="Z29" s="194">
        <v>0</v>
      </c>
      <c r="AA29" s="193">
        <f t="shared" si="1"/>
        <v>0</v>
      </c>
      <c r="AB29" s="196">
        <f t="shared" si="2"/>
        <v>176550000</v>
      </c>
    </row>
    <row r="30" spans="1:170" s="5" customFormat="1" ht="29.25" customHeight="1" x14ac:dyDescent="0.2">
      <c r="B30" s="286" t="s">
        <v>57</v>
      </c>
      <c r="C30" s="195">
        <v>135210640</v>
      </c>
      <c r="D30" s="195">
        <v>100123951</v>
      </c>
      <c r="E30" s="192">
        <v>0</v>
      </c>
      <c r="F30" s="193">
        <v>163405921</v>
      </c>
      <c r="G30" s="193">
        <v>674626048</v>
      </c>
      <c r="H30" s="194" t="s">
        <v>48</v>
      </c>
      <c r="I30" s="193">
        <f>SUM(C30:H30)</f>
        <v>1073366560</v>
      </c>
      <c r="J30" s="194" t="s">
        <v>48</v>
      </c>
      <c r="K30" s="195">
        <v>456450000</v>
      </c>
      <c r="L30" s="195">
        <v>228225000</v>
      </c>
      <c r="M30" s="195">
        <v>123859988.17</v>
      </c>
      <c r="N30" s="192">
        <v>0</v>
      </c>
      <c r="O30" s="192">
        <v>0</v>
      </c>
      <c r="P30" s="194">
        <v>0</v>
      </c>
      <c r="Q30" s="192">
        <v>0</v>
      </c>
      <c r="R30" s="195">
        <v>204337852.69999999</v>
      </c>
      <c r="S30" s="194">
        <v>0</v>
      </c>
      <c r="T30" s="194">
        <v>0</v>
      </c>
      <c r="U30" s="194">
        <v>0</v>
      </c>
      <c r="V30" s="195">
        <v>12685502</v>
      </c>
      <c r="W30" s="195">
        <v>335381</v>
      </c>
      <c r="X30" s="194">
        <v>0</v>
      </c>
      <c r="Y30" s="195">
        <v>39625118</v>
      </c>
      <c r="Z30" s="194">
        <v>0</v>
      </c>
      <c r="AA30" s="193">
        <f t="shared" si="1"/>
        <v>1065518841.8699999</v>
      </c>
      <c r="AB30" s="196">
        <f t="shared" si="2"/>
        <v>2138885401.8699999</v>
      </c>
    </row>
    <row r="31" spans="1:170" s="38" customFormat="1" ht="29.25" customHeight="1" x14ac:dyDescent="0.2">
      <c r="B31" s="286" t="s">
        <v>58</v>
      </c>
      <c r="C31" s="192">
        <v>0</v>
      </c>
      <c r="D31" s="192">
        <v>0</v>
      </c>
      <c r="E31" s="192">
        <v>0</v>
      </c>
      <c r="F31" s="195">
        <v>200000000</v>
      </c>
      <c r="G31" s="192">
        <v>0</v>
      </c>
      <c r="H31" s="192">
        <v>0</v>
      </c>
      <c r="I31" s="193">
        <f t="shared" si="0"/>
        <v>200000000</v>
      </c>
      <c r="J31" s="192">
        <v>0</v>
      </c>
      <c r="K31" s="192">
        <v>0</v>
      </c>
      <c r="L31" s="192">
        <v>0</v>
      </c>
      <c r="M31" s="192">
        <v>0</v>
      </c>
      <c r="N31" s="192">
        <v>0</v>
      </c>
      <c r="O31" s="192">
        <v>0</v>
      </c>
      <c r="P31" s="192">
        <v>0</v>
      </c>
      <c r="Q31" s="192">
        <v>0</v>
      </c>
      <c r="R31" s="194">
        <v>0</v>
      </c>
      <c r="S31" s="194">
        <v>0</v>
      </c>
      <c r="T31" s="194">
        <v>0</v>
      </c>
      <c r="U31" s="195">
        <v>150000000</v>
      </c>
      <c r="V31" s="194">
        <v>0</v>
      </c>
      <c r="W31" s="194">
        <v>0</v>
      </c>
      <c r="X31" s="194">
        <v>0</v>
      </c>
      <c r="Y31" s="194">
        <v>0</v>
      </c>
      <c r="Z31" s="194">
        <v>0</v>
      </c>
      <c r="AA31" s="193">
        <f t="shared" si="1"/>
        <v>150000000</v>
      </c>
      <c r="AB31" s="196">
        <f t="shared" si="2"/>
        <v>350000000</v>
      </c>
    </row>
    <row r="32" spans="1:170" s="38" customFormat="1" ht="29.25" customHeight="1" x14ac:dyDescent="0.2">
      <c r="B32" s="286" t="s">
        <v>59</v>
      </c>
      <c r="C32" s="195">
        <f>30150000+61835720</f>
        <v>91985720</v>
      </c>
      <c r="D32" s="192">
        <v>0</v>
      </c>
      <c r="E32" s="192">
        <v>0</v>
      </c>
      <c r="F32" s="193">
        <f>170495703+28164280</f>
        <v>198659983</v>
      </c>
      <c r="G32" s="193">
        <v>5954297</v>
      </c>
      <c r="H32" s="194" t="s">
        <v>48</v>
      </c>
      <c r="I32" s="193">
        <f t="shared" si="0"/>
        <v>296600000</v>
      </c>
      <c r="J32" s="192">
        <v>0</v>
      </c>
      <c r="K32" s="192">
        <v>0</v>
      </c>
      <c r="L32" s="192">
        <v>0</v>
      </c>
      <c r="M32" s="192">
        <v>0</v>
      </c>
      <c r="N32" s="192">
        <v>0</v>
      </c>
      <c r="O32" s="192">
        <v>0</v>
      </c>
      <c r="P32" s="192">
        <v>0</v>
      </c>
      <c r="Q32" s="192">
        <v>0</v>
      </c>
      <c r="R32" s="194">
        <v>0</v>
      </c>
      <c r="S32" s="194">
        <v>0</v>
      </c>
      <c r="T32" s="194">
        <v>0</v>
      </c>
      <c r="U32" s="195">
        <v>500000000</v>
      </c>
      <c r="V32" s="194">
        <v>0</v>
      </c>
      <c r="W32" s="194">
        <v>0</v>
      </c>
      <c r="X32" s="194">
        <v>0</v>
      </c>
      <c r="Y32" s="194">
        <v>0</v>
      </c>
      <c r="Z32" s="194">
        <v>0</v>
      </c>
      <c r="AA32" s="193">
        <f t="shared" si="1"/>
        <v>500000000</v>
      </c>
      <c r="AB32" s="196">
        <f t="shared" si="2"/>
        <v>796600000</v>
      </c>
    </row>
    <row r="33" spans="2:29" s="38" customFormat="1" ht="29.25" customHeight="1" x14ac:dyDescent="0.2">
      <c r="B33" s="286" t="s">
        <v>60</v>
      </c>
      <c r="C33" s="192">
        <v>0</v>
      </c>
      <c r="D33" s="192">
        <v>0</v>
      </c>
      <c r="E33" s="192">
        <v>0</v>
      </c>
      <c r="F33" s="192">
        <v>0</v>
      </c>
      <c r="G33" s="192">
        <v>0</v>
      </c>
      <c r="H33" s="195">
        <v>103300000</v>
      </c>
      <c r="I33" s="193">
        <f t="shared" si="0"/>
        <v>103300000</v>
      </c>
      <c r="J33" s="192">
        <v>0</v>
      </c>
      <c r="K33" s="192">
        <v>0</v>
      </c>
      <c r="L33" s="192">
        <v>0</v>
      </c>
      <c r="M33" s="192">
        <v>0</v>
      </c>
      <c r="N33" s="192">
        <v>0</v>
      </c>
      <c r="O33" s="192">
        <v>0</v>
      </c>
      <c r="P33" s="192">
        <v>0</v>
      </c>
      <c r="Q33" s="194">
        <v>0</v>
      </c>
      <c r="R33" s="194">
        <v>0</v>
      </c>
      <c r="S33" s="194">
        <v>0</v>
      </c>
      <c r="T33" s="194">
        <v>0</v>
      </c>
      <c r="U33" s="194">
        <v>0</v>
      </c>
      <c r="V33" s="194">
        <v>0</v>
      </c>
      <c r="W33" s="194">
        <v>0</v>
      </c>
      <c r="X33" s="194">
        <v>0</v>
      </c>
      <c r="Y33" s="194">
        <v>0</v>
      </c>
      <c r="Z33" s="194">
        <v>0</v>
      </c>
      <c r="AA33" s="193">
        <f t="shared" si="1"/>
        <v>0</v>
      </c>
      <c r="AB33" s="196">
        <f t="shared" si="2"/>
        <v>103300000</v>
      </c>
    </row>
    <row r="34" spans="2:29" s="38" customFormat="1" ht="29.25" customHeight="1" x14ac:dyDescent="0.2">
      <c r="B34" s="286" t="s">
        <v>61</v>
      </c>
      <c r="C34" s="192">
        <v>0</v>
      </c>
      <c r="D34" s="192">
        <v>0</v>
      </c>
      <c r="E34" s="192">
        <v>0</v>
      </c>
      <c r="F34" s="192">
        <v>0</v>
      </c>
      <c r="G34" s="192">
        <v>0</v>
      </c>
      <c r="H34" s="192">
        <v>0</v>
      </c>
      <c r="I34" s="193">
        <f t="shared" si="0"/>
        <v>0</v>
      </c>
      <c r="J34" s="192">
        <v>0</v>
      </c>
      <c r="K34" s="192">
        <v>0</v>
      </c>
      <c r="L34" s="192">
        <v>0</v>
      </c>
      <c r="M34" s="192">
        <v>0</v>
      </c>
      <c r="N34" s="192">
        <v>0</v>
      </c>
      <c r="O34" s="192">
        <v>0</v>
      </c>
      <c r="P34" s="195">
        <v>600987648.96000004</v>
      </c>
      <c r="Q34" s="194">
        <v>0</v>
      </c>
      <c r="R34" s="194">
        <v>0</v>
      </c>
      <c r="S34" s="194">
        <v>0</v>
      </c>
      <c r="T34" s="194">
        <v>0</v>
      </c>
      <c r="U34" s="194">
        <v>0</v>
      </c>
      <c r="V34" s="194">
        <v>0</v>
      </c>
      <c r="W34" s="194">
        <v>0</v>
      </c>
      <c r="X34" s="194">
        <v>0</v>
      </c>
      <c r="Y34" s="194">
        <v>0</v>
      </c>
      <c r="Z34" s="194">
        <v>0</v>
      </c>
      <c r="AA34" s="193">
        <f t="shared" si="1"/>
        <v>600987648.96000004</v>
      </c>
      <c r="AB34" s="196">
        <f t="shared" si="2"/>
        <v>600987648.96000004</v>
      </c>
    </row>
    <row r="35" spans="2:29" s="38" customFormat="1" ht="10.199999999999999" x14ac:dyDescent="0.2">
      <c r="B35" s="120"/>
      <c r="C35" s="120"/>
      <c r="D35" s="120"/>
      <c r="E35" s="120"/>
      <c r="F35" s="121"/>
      <c r="G35" s="122"/>
      <c r="H35" s="121"/>
      <c r="I35" s="121"/>
      <c r="J35" s="121"/>
      <c r="K35" s="121"/>
      <c r="L35" s="121"/>
      <c r="M35" s="121"/>
      <c r="N35" s="121"/>
      <c r="O35" s="121"/>
      <c r="P35" s="121"/>
      <c r="Q35" s="121"/>
      <c r="R35" s="121"/>
      <c r="S35" s="121"/>
      <c r="T35" s="121"/>
      <c r="U35" s="121"/>
      <c r="V35" s="121"/>
      <c r="W35" s="121"/>
      <c r="X35" s="121"/>
      <c r="Y35" s="121"/>
      <c r="Z35" s="121"/>
      <c r="AA35" s="121"/>
      <c r="AB35" s="121"/>
    </row>
    <row r="36" spans="2:29" s="38" customFormat="1" ht="15" customHeight="1" x14ac:dyDescent="0.2">
      <c r="B36" s="287" t="s">
        <v>62</v>
      </c>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88"/>
    </row>
    <row r="37" spans="2:29" s="38" customFormat="1" ht="21" customHeight="1" x14ac:dyDescent="0.2">
      <c r="B37" s="368" t="s">
        <v>5</v>
      </c>
      <c r="C37" s="363" t="s">
        <v>6</v>
      </c>
      <c r="D37" s="364"/>
      <c r="E37" s="364"/>
      <c r="F37" s="364"/>
      <c r="G37" s="364"/>
      <c r="H37" s="365"/>
      <c r="I37" s="370" t="s">
        <v>7</v>
      </c>
      <c r="J37" s="366" t="s">
        <v>8</v>
      </c>
      <c r="K37" s="366"/>
      <c r="L37" s="366"/>
      <c r="M37" s="366"/>
      <c r="N37" s="366"/>
      <c r="O37" s="366"/>
      <c r="P37" s="366"/>
      <c r="Q37" s="366"/>
      <c r="R37" s="366"/>
      <c r="S37" s="366"/>
      <c r="T37" s="366"/>
      <c r="U37" s="366"/>
      <c r="V37" s="366"/>
      <c r="W37" s="366"/>
      <c r="X37" s="366"/>
      <c r="Y37" s="366"/>
      <c r="Z37" s="367"/>
      <c r="AA37" s="371" t="s">
        <v>9</v>
      </c>
      <c r="AB37" s="370" t="s">
        <v>10</v>
      </c>
    </row>
    <row r="38" spans="2:29" s="38" customFormat="1" ht="24.6" customHeight="1" x14ac:dyDescent="0.2">
      <c r="B38" s="368"/>
      <c r="C38" s="363" t="s">
        <v>16</v>
      </c>
      <c r="D38" s="364"/>
      <c r="E38" s="364"/>
      <c r="F38" s="364"/>
      <c r="G38" s="364"/>
      <c r="H38" s="365"/>
      <c r="I38" s="370"/>
      <c r="J38" s="278" t="s">
        <v>12</v>
      </c>
      <c r="K38" s="278" t="s">
        <v>13</v>
      </c>
      <c r="L38" s="278" t="s">
        <v>14</v>
      </c>
      <c r="M38" s="363" t="s">
        <v>15</v>
      </c>
      <c r="N38" s="364"/>
      <c r="O38" s="364"/>
      <c r="P38" s="364"/>
      <c r="Q38" s="364"/>
      <c r="R38" s="364"/>
      <c r="S38" s="364"/>
      <c r="T38" s="365"/>
      <c r="U38" s="289" t="s">
        <v>16</v>
      </c>
      <c r="V38" s="363" t="s">
        <v>16</v>
      </c>
      <c r="W38" s="364"/>
      <c r="X38" s="364"/>
      <c r="Y38" s="364"/>
      <c r="Z38" s="365"/>
      <c r="AA38" s="371"/>
      <c r="AB38" s="370"/>
    </row>
    <row r="39" spans="2:29" s="38" customFormat="1" ht="72" x14ac:dyDescent="0.2">
      <c r="B39" s="369"/>
      <c r="C39" s="123" t="s">
        <v>17</v>
      </c>
      <c r="D39" s="123" t="s">
        <v>18</v>
      </c>
      <c r="E39" s="123" t="s">
        <v>19</v>
      </c>
      <c r="F39" s="123" t="s">
        <v>20</v>
      </c>
      <c r="G39" s="123" t="s">
        <v>21</v>
      </c>
      <c r="H39" s="123" t="s">
        <v>22</v>
      </c>
      <c r="I39" s="370"/>
      <c r="J39" s="123" t="s">
        <v>23</v>
      </c>
      <c r="K39" s="123" t="s">
        <v>63</v>
      </c>
      <c r="L39" s="123" t="s">
        <v>23</v>
      </c>
      <c r="M39" s="123" t="s">
        <v>64</v>
      </c>
      <c r="N39" s="123" t="s">
        <v>26</v>
      </c>
      <c r="O39" s="123" t="s">
        <v>27</v>
      </c>
      <c r="P39" s="123" t="s">
        <v>28</v>
      </c>
      <c r="Q39" s="123" t="s">
        <v>29</v>
      </c>
      <c r="R39" s="123" t="s">
        <v>30</v>
      </c>
      <c r="S39" s="277" t="s">
        <v>31</v>
      </c>
      <c r="T39" s="278" t="s">
        <v>65</v>
      </c>
      <c r="U39" s="278" t="s">
        <v>23</v>
      </c>
      <c r="V39" s="279" t="s">
        <v>33</v>
      </c>
      <c r="W39" s="279" t="s">
        <v>34</v>
      </c>
      <c r="X39" s="279" t="s">
        <v>66</v>
      </c>
      <c r="Y39" s="279" t="s">
        <v>36</v>
      </c>
      <c r="Z39" s="279" t="s">
        <v>37</v>
      </c>
      <c r="AA39" s="372"/>
      <c r="AB39" s="370"/>
    </row>
    <row r="40" spans="2:29" s="38" customFormat="1" ht="29.25" customHeight="1" x14ac:dyDescent="0.2">
      <c r="B40" s="286" t="s">
        <v>67</v>
      </c>
      <c r="C40" s="192">
        <v>0</v>
      </c>
      <c r="D40" s="197">
        <v>13576578</v>
      </c>
      <c r="E40" s="192">
        <v>0</v>
      </c>
      <c r="F40" s="192">
        <v>0</v>
      </c>
      <c r="G40" s="192">
        <v>0</v>
      </c>
      <c r="H40" s="192">
        <v>0</v>
      </c>
      <c r="I40" s="193">
        <f t="shared" ref="I40:I46" si="3">SUM(C40:H40)</f>
        <v>13576578</v>
      </c>
      <c r="J40" s="192">
        <v>0</v>
      </c>
      <c r="K40" s="192">
        <v>0</v>
      </c>
      <c r="L40" s="192">
        <v>0</v>
      </c>
      <c r="M40" s="192">
        <v>0</v>
      </c>
      <c r="N40" s="192">
        <v>0</v>
      </c>
      <c r="O40" s="192">
        <v>0</v>
      </c>
      <c r="P40" s="192">
        <v>0</v>
      </c>
      <c r="Q40" s="192">
        <v>0</v>
      </c>
      <c r="R40" s="192">
        <v>0</v>
      </c>
      <c r="S40" s="195">
        <v>3139268.43</v>
      </c>
      <c r="T40" s="192">
        <v>0</v>
      </c>
      <c r="U40" s="192">
        <v>0</v>
      </c>
      <c r="V40" s="192">
        <v>0</v>
      </c>
      <c r="W40" s="192">
        <v>0</v>
      </c>
      <c r="X40" s="192">
        <v>0</v>
      </c>
      <c r="Y40" s="192">
        <v>0</v>
      </c>
      <c r="Z40" s="195">
        <v>2182110.9</v>
      </c>
      <c r="AA40" s="193">
        <f>SUM(J40:Z40)</f>
        <v>5321379.33</v>
      </c>
      <c r="AB40" s="196">
        <f t="shared" ref="AB40:AB46" si="4">+AA40+I40</f>
        <v>18897957.329999998</v>
      </c>
    </row>
    <row r="41" spans="2:29" ht="29.25" customHeight="1" x14ac:dyDescent="0.2">
      <c r="B41" s="286" t="s">
        <v>68</v>
      </c>
      <c r="C41" s="192">
        <v>0</v>
      </c>
      <c r="D41" s="197">
        <v>13576578</v>
      </c>
      <c r="E41" s="192">
        <v>0</v>
      </c>
      <c r="F41" s="192">
        <v>0</v>
      </c>
      <c r="G41" s="192">
        <v>0</v>
      </c>
      <c r="H41" s="192">
        <v>0</v>
      </c>
      <c r="I41" s="193">
        <f t="shared" si="3"/>
        <v>13576578</v>
      </c>
      <c r="J41" s="192">
        <v>0</v>
      </c>
      <c r="K41" s="192">
        <v>0</v>
      </c>
      <c r="L41" s="192">
        <v>0</v>
      </c>
      <c r="M41" s="192">
        <v>0</v>
      </c>
      <c r="N41" s="192">
        <v>0</v>
      </c>
      <c r="O41" s="192">
        <v>0</v>
      </c>
      <c r="P41" s="192">
        <v>0</v>
      </c>
      <c r="Q41" s="192">
        <v>0</v>
      </c>
      <c r="R41" s="192">
        <v>0</v>
      </c>
      <c r="S41" s="195">
        <v>17466125.43</v>
      </c>
      <c r="T41" s="192">
        <v>0</v>
      </c>
      <c r="U41" s="192">
        <v>0</v>
      </c>
      <c r="V41" s="192">
        <v>0</v>
      </c>
      <c r="W41" s="192">
        <v>0</v>
      </c>
      <c r="X41" s="192">
        <v>0</v>
      </c>
      <c r="Y41" s="192">
        <v>0</v>
      </c>
      <c r="Z41" s="195">
        <v>2182110.9</v>
      </c>
      <c r="AA41" s="193">
        <f>SUM(J41:Z41)</f>
        <v>19648236.329999998</v>
      </c>
      <c r="AB41" s="196">
        <f t="shared" si="4"/>
        <v>33224814.329999998</v>
      </c>
      <c r="AC41" s="2"/>
    </row>
    <row r="42" spans="2:29" ht="29.25" customHeight="1" x14ac:dyDescent="0.2">
      <c r="B42" s="286" t="s">
        <v>69</v>
      </c>
      <c r="C42" s="192">
        <v>0</v>
      </c>
      <c r="D42" s="197">
        <v>13576578</v>
      </c>
      <c r="E42" s="192">
        <v>0</v>
      </c>
      <c r="F42" s="192">
        <v>0</v>
      </c>
      <c r="G42" s="192">
        <v>0</v>
      </c>
      <c r="H42" s="192">
        <v>0</v>
      </c>
      <c r="I42" s="193">
        <f t="shared" si="3"/>
        <v>13576578</v>
      </c>
      <c r="J42" s="192">
        <v>0</v>
      </c>
      <c r="K42" s="192">
        <v>0</v>
      </c>
      <c r="L42" s="192">
        <v>0</v>
      </c>
      <c r="M42" s="192">
        <v>0</v>
      </c>
      <c r="N42" s="192">
        <v>0</v>
      </c>
      <c r="O42" s="192">
        <v>0</v>
      </c>
      <c r="P42" s="192">
        <v>0</v>
      </c>
      <c r="Q42" s="192">
        <v>0</v>
      </c>
      <c r="R42" s="192">
        <v>0</v>
      </c>
      <c r="S42" s="195">
        <v>19704990.43</v>
      </c>
      <c r="T42" s="192">
        <v>0</v>
      </c>
      <c r="U42" s="192">
        <v>0</v>
      </c>
      <c r="V42" s="192">
        <v>0</v>
      </c>
      <c r="W42" s="192">
        <v>0</v>
      </c>
      <c r="X42" s="192">
        <v>0</v>
      </c>
      <c r="Y42" s="192">
        <v>0</v>
      </c>
      <c r="Z42" s="195">
        <v>2182110.9</v>
      </c>
      <c r="AA42" s="193">
        <f t="shared" ref="AA42:AA46" si="5">SUM(J42:Z42)</f>
        <v>21887101.329999998</v>
      </c>
      <c r="AB42" s="196">
        <f t="shared" si="4"/>
        <v>35463679.329999998</v>
      </c>
      <c r="AC42" s="2"/>
    </row>
    <row r="43" spans="2:29" ht="29.25" customHeight="1" x14ac:dyDescent="0.2">
      <c r="B43" s="290" t="s">
        <v>70</v>
      </c>
      <c r="C43" s="192">
        <v>0</v>
      </c>
      <c r="D43" s="197">
        <v>54306312</v>
      </c>
      <c r="E43" s="192">
        <v>0</v>
      </c>
      <c r="F43" s="192">
        <v>0</v>
      </c>
      <c r="G43" s="192">
        <v>0</v>
      </c>
      <c r="H43" s="192">
        <v>0</v>
      </c>
      <c r="I43" s="193">
        <f t="shared" si="3"/>
        <v>54306312</v>
      </c>
      <c r="J43" s="192">
        <v>0</v>
      </c>
      <c r="K43" s="192">
        <v>0</v>
      </c>
      <c r="L43" s="192">
        <v>0</v>
      </c>
      <c r="M43" s="192">
        <v>0</v>
      </c>
      <c r="N43" s="192">
        <v>0</v>
      </c>
      <c r="O43" s="192">
        <v>0</v>
      </c>
      <c r="P43" s="192">
        <v>0</v>
      </c>
      <c r="Q43" s="192">
        <v>0</v>
      </c>
      <c r="R43" s="192">
        <v>0</v>
      </c>
      <c r="S43" s="195">
        <v>213705355.06999999</v>
      </c>
      <c r="T43" s="192">
        <v>0</v>
      </c>
      <c r="U43" s="192">
        <v>0</v>
      </c>
      <c r="V43" s="192">
        <v>0</v>
      </c>
      <c r="W43" s="192">
        <v>0</v>
      </c>
      <c r="X43" s="192">
        <v>0</v>
      </c>
      <c r="Y43" s="192">
        <v>0</v>
      </c>
      <c r="Z43" s="195">
        <v>8728443.5999999996</v>
      </c>
      <c r="AA43" s="193">
        <f t="shared" si="5"/>
        <v>222433798.66999999</v>
      </c>
      <c r="AB43" s="196">
        <f t="shared" si="4"/>
        <v>276740110.66999996</v>
      </c>
      <c r="AC43" s="2"/>
    </row>
    <row r="44" spans="2:29" ht="29.25" customHeight="1" x14ac:dyDescent="0.2">
      <c r="B44" s="290" t="s">
        <v>71</v>
      </c>
      <c r="C44" s="192">
        <v>0</v>
      </c>
      <c r="D44" s="197">
        <v>81459467</v>
      </c>
      <c r="E44" s="192">
        <v>0</v>
      </c>
      <c r="F44" s="192">
        <v>0</v>
      </c>
      <c r="G44" s="192">
        <v>0</v>
      </c>
      <c r="H44" s="192">
        <v>0</v>
      </c>
      <c r="I44" s="193">
        <f t="shared" si="3"/>
        <v>81459467</v>
      </c>
      <c r="J44" s="192">
        <v>0</v>
      </c>
      <c r="K44" s="192">
        <v>0</v>
      </c>
      <c r="L44" s="192">
        <v>0</v>
      </c>
      <c r="M44" s="192">
        <v>0</v>
      </c>
      <c r="N44" s="192">
        <v>0</v>
      </c>
      <c r="O44" s="192">
        <v>0</v>
      </c>
      <c r="P44" s="192">
        <v>0</v>
      </c>
      <c r="Q44" s="192">
        <v>0</v>
      </c>
      <c r="R44" s="192">
        <v>0</v>
      </c>
      <c r="S44" s="195">
        <v>41798281.600000001</v>
      </c>
      <c r="T44" s="192">
        <v>0</v>
      </c>
      <c r="U44" s="192">
        <v>0</v>
      </c>
      <c r="V44" s="192">
        <v>0</v>
      </c>
      <c r="W44" s="192">
        <v>0</v>
      </c>
      <c r="X44" s="192">
        <v>0</v>
      </c>
      <c r="Y44" s="192">
        <v>0</v>
      </c>
      <c r="Z44" s="195">
        <v>13092665.4</v>
      </c>
      <c r="AA44" s="193">
        <f t="shared" si="5"/>
        <v>54890947</v>
      </c>
      <c r="AB44" s="196">
        <f t="shared" si="4"/>
        <v>136350414</v>
      </c>
      <c r="AC44" s="2"/>
    </row>
    <row r="45" spans="2:29" ht="29.25" customHeight="1" x14ac:dyDescent="0.2">
      <c r="B45" s="290" t="s">
        <v>72</v>
      </c>
      <c r="C45" s="192">
        <v>0</v>
      </c>
      <c r="D45" s="197">
        <v>81459467</v>
      </c>
      <c r="E45" s="192">
        <v>0</v>
      </c>
      <c r="F45" s="192">
        <v>0</v>
      </c>
      <c r="G45" s="192">
        <v>0</v>
      </c>
      <c r="H45" s="192">
        <v>0</v>
      </c>
      <c r="I45" s="193">
        <f t="shared" si="3"/>
        <v>81459467</v>
      </c>
      <c r="J45" s="192">
        <v>0</v>
      </c>
      <c r="K45" s="192">
        <v>0</v>
      </c>
      <c r="L45" s="192">
        <v>0</v>
      </c>
      <c r="M45" s="192">
        <v>0</v>
      </c>
      <c r="N45" s="192">
        <v>0</v>
      </c>
      <c r="O45" s="192">
        <v>0</v>
      </c>
      <c r="P45" s="192">
        <v>0</v>
      </c>
      <c r="Q45" s="192">
        <v>0</v>
      </c>
      <c r="R45" s="192">
        <v>0</v>
      </c>
      <c r="S45" s="195">
        <v>51545909.799999997</v>
      </c>
      <c r="T45" s="192">
        <v>0</v>
      </c>
      <c r="U45" s="192">
        <v>0</v>
      </c>
      <c r="V45" s="192">
        <v>0</v>
      </c>
      <c r="W45" s="192">
        <v>0</v>
      </c>
      <c r="X45" s="192">
        <v>0</v>
      </c>
      <c r="Y45" s="192">
        <v>0</v>
      </c>
      <c r="Z45" s="195">
        <v>13092665.4</v>
      </c>
      <c r="AA45" s="193">
        <f t="shared" si="5"/>
        <v>64638575.199999996</v>
      </c>
      <c r="AB45" s="196">
        <f t="shared" si="4"/>
        <v>146098042.19999999</v>
      </c>
      <c r="AC45" s="2"/>
    </row>
    <row r="46" spans="2:29" ht="29.25" customHeight="1" x14ac:dyDescent="0.2">
      <c r="B46" s="286" t="s">
        <v>73</v>
      </c>
      <c r="C46" s="192">
        <v>0</v>
      </c>
      <c r="D46" s="197">
        <v>13576578</v>
      </c>
      <c r="E46" s="192">
        <v>0</v>
      </c>
      <c r="F46" s="192">
        <v>0</v>
      </c>
      <c r="G46" s="192">
        <v>0</v>
      </c>
      <c r="H46" s="192">
        <v>0</v>
      </c>
      <c r="I46" s="193">
        <f t="shared" si="3"/>
        <v>13576578</v>
      </c>
      <c r="J46" s="192">
        <v>0</v>
      </c>
      <c r="K46" s="192">
        <v>0</v>
      </c>
      <c r="L46" s="192">
        <v>0</v>
      </c>
      <c r="M46" s="192">
        <v>0</v>
      </c>
      <c r="N46" s="192">
        <v>0</v>
      </c>
      <c r="O46" s="192">
        <v>0</v>
      </c>
      <c r="P46" s="192">
        <v>0</v>
      </c>
      <c r="Q46" s="192">
        <v>0</v>
      </c>
      <c r="R46" s="192">
        <v>0</v>
      </c>
      <c r="S46" s="195">
        <v>6380349.4299999997</v>
      </c>
      <c r="T46" s="192">
        <v>0</v>
      </c>
      <c r="U46" s="192">
        <v>0</v>
      </c>
      <c r="V46" s="192">
        <v>0</v>
      </c>
      <c r="W46" s="192">
        <v>0</v>
      </c>
      <c r="X46" s="192">
        <v>0</v>
      </c>
      <c r="Y46" s="192">
        <v>0</v>
      </c>
      <c r="Z46" s="195">
        <v>2182110.9</v>
      </c>
      <c r="AA46" s="193">
        <f t="shared" si="5"/>
        <v>8562460.3300000001</v>
      </c>
      <c r="AB46" s="196">
        <f t="shared" si="4"/>
        <v>22139038.329999998</v>
      </c>
      <c r="AC46" s="2"/>
    </row>
    <row r="47" spans="2:29" ht="10.199999999999999" x14ac:dyDescent="0.2">
      <c r="B47" s="120"/>
      <c r="C47" s="120"/>
      <c r="D47" s="120"/>
      <c r="E47" s="120"/>
      <c r="F47" s="121"/>
      <c r="G47" s="122"/>
      <c r="H47" s="121"/>
      <c r="I47" s="121"/>
      <c r="J47" s="121"/>
      <c r="K47" s="121"/>
      <c r="L47" s="121"/>
      <c r="M47" s="121"/>
      <c r="N47" s="121"/>
      <c r="O47" s="121"/>
      <c r="P47" s="121"/>
      <c r="Q47" s="121"/>
      <c r="R47" s="121"/>
      <c r="S47" s="121"/>
      <c r="T47" s="121"/>
      <c r="U47" s="121"/>
      <c r="V47" s="121"/>
      <c r="W47" s="121"/>
      <c r="X47" s="121"/>
      <c r="Y47" s="121"/>
      <c r="Z47" s="121"/>
      <c r="AA47" s="121"/>
      <c r="AB47" s="122"/>
      <c r="AC47" s="2"/>
    </row>
    <row r="48" spans="2:29" ht="15" customHeight="1" x14ac:dyDescent="0.2">
      <c r="B48" s="287" t="s">
        <v>74</v>
      </c>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91"/>
      <c r="AC48" s="2"/>
    </row>
    <row r="49" spans="2:29" ht="19.2" customHeight="1" x14ac:dyDescent="0.2">
      <c r="B49" s="368" t="s">
        <v>5</v>
      </c>
      <c r="C49" s="363" t="s">
        <v>6</v>
      </c>
      <c r="D49" s="364"/>
      <c r="E49" s="364"/>
      <c r="F49" s="364"/>
      <c r="G49" s="364"/>
      <c r="H49" s="365"/>
      <c r="I49" s="370" t="s">
        <v>7</v>
      </c>
      <c r="J49" s="366" t="s">
        <v>8</v>
      </c>
      <c r="K49" s="366"/>
      <c r="L49" s="366"/>
      <c r="M49" s="366"/>
      <c r="N49" s="366"/>
      <c r="O49" s="366"/>
      <c r="P49" s="366"/>
      <c r="Q49" s="366"/>
      <c r="R49" s="366"/>
      <c r="S49" s="366"/>
      <c r="T49" s="366"/>
      <c r="U49" s="366"/>
      <c r="V49" s="366"/>
      <c r="W49" s="366"/>
      <c r="X49" s="366"/>
      <c r="Y49" s="366"/>
      <c r="Z49" s="367"/>
      <c r="AA49" s="371" t="s">
        <v>9</v>
      </c>
      <c r="AB49" s="370" t="s">
        <v>10</v>
      </c>
      <c r="AC49" s="2"/>
    </row>
    <row r="50" spans="2:29" ht="27" customHeight="1" x14ac:dyDescent="0.2">
      <c r="B50" s="368"/>
      <c r="C50" s="363" t="s">
        <v>11</v>
      </c>
      <c r="D50" s="364"/>
      <c r="E50" s="364"/>
      <c r="F50" s="364"/>
      <c r="G50" s="364"/>
      <c r="H50" s="365"/>
      <c r="I50" s="370"/>
      <c r="J50" s="278" t="s">
        <v>12</v>
      </c>
      <c r="K50" s="278" t="s">
        <v>13</v>
      </c>
      <c r="L50" s="278" t="s">
        <v>14</v>
      </c>
      <c r="M50" s="363" t="s">
        <v>15</v>
      </c>
      <c r="N50" s="364"/>
      <c r="O50" s="364"/>
      <c r="P50" s="364"/>
      <c r="Q50" s="364"/>
      <c r="R50" s="364"/>
      <c r="S50" s="364"/>
      <c r="T50" s="365"/>
      <c r="U50" s="289" t="s">
        <v>16</v>
      </c>
      <c r="V50" s="363" t="s">
        <v>16</v>
      </c>
      <c r="W50" s="364"/>
      <c r="X50" s="364"/>
      <c r="Y50" s="364"/>
      <c r="Z50" s="365"/>
      <c r="AA50" s="371"/>
      <c r="AB50" s="370"/>
      <c r="AC50" s="2"/>
    </row>
    <row r="51" spans="2:29" ht="72" x14ac:dyDescent="0.2">
      <c r="B51" s="369"/>
      <c r="C51" s="123" t="s">
        <v>17</v>
      </c>
      <c r="D51" s="123" t="s">
        <v>18</v>
      </c>
      <c r="E51" s="123" t="s">
        <v>19</v>
      </c>
      <c r="F51" s="123" t="s">
        <v>20</v>
      </c>
      <c r="G51" s="123" t="s">
        <v>21</v>
      </c>
      <c r="H51" s="123" t="s">
        <v>22</v>
      </c>
      <c r="I51" s="370"/>
      <c r="J51" s="123" t="s">
        <v>23</v>
      </c>
      <c r="K51" s="123" t="s">
        <v>63</v>
      </c>
      <c r="L51" s="123" t="s">
        <v>23</v>
      </c>
      <c r="M51" s="123" t="s">
        <v>64</v>
      </c>
      <c r="N51" s="123" t="s">
        <v>26</v>
      </c>
      <c r="O51" s="123" t="s">
        <v>27</v>
      </c>
      <c r="P51" s="123" t="s">
        <v>28</v>
      </c>
      <c r="Q51" s="123" t="s">
        <v>29</v>
      </c>
      <c r="R51" s="123" t="s">
        <v>30</v>
      </c>
      <c r="S51" s="277" t="s">
        <v>75</v>
      </c>
      <c r="T51" s="278" t="s">
        <v>65</v>
      </c>
      <c r="U51" s="278" t="s">
        <v>23</v>
      </c>
      <c r="V51" s="279" t="s">
        <v>33</v>
      </c>
      <c r="W51" s="279" t="s">
        <v>34</v>
      </c>
      <c r="X51" s="279" t="s">
        <v>66</v>
      </c>
      <c r="Y51" s="279" t="s">
        <v>36</v>
      </c>
      <c r="Z51" s="279" t="s">
        <v>37</v>
      </c>
      <c r="AA51" s="372"/>
      <c r="AB51" s="370"/>
      <c r="AC51" s="2"/>
    </row>
    <row r="52" spans="2:29" ht="28.5" customHeight="1" x14ac:dyDescent="0.2">
      <c r="B52" s="286" t="s">
        <v>76</v>
      </c>
      <c r="C52" s="192">
        <v>0</v>
      </c>
      <c r="D52" s="195">
        <v>688701</v>
      </c>
      <c r="E52" s="192">
        <v>0</v>
      </c>
      <c r="F52" s="192">
        <v>0</v>
      </c>
      <c r="G52" s="192">
        <v>0</v>
      </c>
      <c r="H52" s="192">
        <v>0</v>
      </c>
      <c r="I52" s="193">
        <f t="shared" ref="I52:I58" si="6">SUM(C52:H52)</f>
        <v>688701</v>
      </c>
      <c r="J52" s="192">
        <v>0</v>
      </c>
      <c r="K52" s="192">
        <v>0</v>
      </c>
      <c r="L52" s="192">
        <v>0</v>
      </c>
      <c r="M52" s="192">
        <v>0</v>
      </c>
      <c r="N52" s="192">
        <v>0</v>
      </c>
      <c r="O52" s="192">
        <v>0</v>
      </c>
      <c r="P52" s="192">
        <v>0</v>
      </c>
      <c r="Q52" s="192">
        <v>0</v>
      </c>
      <c r="R52" s="192">
        <v>0</v>
      </c>
      <c r="S52" s="192">
        <v>0</v>
      </c>
      <c r="T52" s="195">
        <v>1911598.29</v>
      </c>
      <c r="U52" s="192">
        <v>0</v>
      </c>
      <c r="V52" s="192">
        <v>0</v>
      </c>
      <c r="W52" s="192">
        <v>0</v>
      </c>
      <c r="X52" s="192">
        <v>0</v>
      </c>
      <c r="Y52" s="192">
        <v>0</v>
      </c>
      <c r="Z52" s="192">
        <v>0</v>
      </c>
      <c r="AA52" s="193">
        <f t="shared" ref="AA52" si="7">SUM(J52:Z52)</f>
        <v>1911598.29</v>
      </c>
      <c r="AB52" s="196">
        <f t="shared" ref="AB52" si="8">+AA52+I52</f>
        <v>2600299.29</v>
      </c>
      <c r="AC52" s="2"/>
    </row>
    <row r="53" spans="2:29" ht="28.5" customHeight="1" x14ac:dyDescent="0.2">
      <c r="B53" s="286" t="s">
        <v>77</v>
      </c>
      <c r="C53" s="192">
        <v>0</v>
      </c>
      <c r="D53" s="195">
        <v>688701</v>
      </c>
      <c r="E53" s="192">
        <v>0</v>
      </c>
      <c r="F53" s="192">
        <v>0</v>
      </c>
      <c r="G53" s="192">
        <v>0</v>
      </c>
      <c r="H53" s="192">
        <v>0</v>
      </c>
      <c r="I53" s="193">
        <f t="shared" si="6"/>
        <v>688701</v>
      </c>
      <c r="J53" s="192">
        <v>0</v>
      </c>
      <c r="K53" s="192">
        <v>0</v>
      </c>
      <c r="L53" s="192">
        <v>0</v>
      </c>
      <c r="M53" s="192">
        <v>0</v>
      </c>
      <c r="N53" s="192">
        <v>0</v>
      </c>
      <c r="O53" s="192">
        <v>0</v>
      </c>
      <c r="P53" s="192">
        <v>0</v>
      </c>
      <c r="Q53" s="192">
        <v>0</v>
      </c>
      <c r="R53" s="192">
        <v>0</v>
      </c>
      <c r="S53" s="192">
        <v>0</v>
      </c>
      <c r="T53" s="195">
        <v>1911598.29</v>
      </c>
      <c r="U53" s="192">
        <v>0</v>
      </c>
      <c r="V53" s="192">
        <v>0</v>
      </c>
      <c r="W53" s="192">
        <v>0</v>
      </c>
      <c r="X53" s="192">
        <v>0</v>
      </c>
      <c r="Y53" s="192">
        <v>0</v>
      </c>
      <c r="Z53" s="192">
        <v>0</v>
      </c>
      <c r="AA53" s="193">
        <f t="shared" ref="AA53:AA58" si="9">SUM(J53:Z53)</f>
        <v>1911598.29</v>
      </c>
      <c r="AB53" s="196">
        <f t="shared" ref="AB53:AB58" si="10">+AA53+I53</f>
        <v>2600299.29</v>
      </c>
      <c r="AC53" s="2"/>
    </row>
    <row r="54" spans="2:29" ht="28.5" customHeight="1" x14ac:dyDescent="0.2">
      <c r="B54" s="286" t="s">
        <v>78</v>
      </c>
      <c r="C54" s="192">
        <v>0</v>
      </c>
      <c r="D54" s="195">
        <v>688701</v>
      </c>
      <c r="E54" s="192">
        <v>0</v>
      </c>
      <c r="F54" s="192">
        <v>0</v>
      </c>
      <c r="G54" s="192">
        <v>0</v>
      </c>
      <c r="H54" s="192">
        <v>0</v>
      </c>
      <c r="I54" s="193">
        <f t="shared" si="6"/>
        <v>688701</v>
      </c>
      <c r="J54" s="192">
        <v>0</v>
      </c>
      <c r="K54" s="192">
        <v>0</v>
      </c>
      <c r="L54" s="192">
        <v>0</v>
      </c>
      <c r="M54" s="192">
        <v>0</v>
      </c>
      <c r="N54" s="192">
        <v>0</v>
      </c>
      <c r="O54" s="192">
        <v>0</v>
      </c>
      <c r="P54" s="192">
        <v>0</v>
      </c>
      <c r="Q54" s="192">
        <v>0</v>
      </c>
      <c r="R54" s="192">
        <v>0</v>
      </c>
      <c r="S54" s="192">
        <v>0</v>
      </c>
      <c r="T54" s="195">
        <v>1911598.29</v>
      </c>
      <c r="U54" s="192">
        <v>0</v>
      </c>
      <c r="V54" s="192">
        <v>0</v>
      </c>
      <c r="W54" s="192">
        <v>0</v>
      </c>
      <c r="X54" s="192">
        <v>0</v>
      </c>
      <c r="Y54" s="192">
        <v>0</v>
      </c>
      <c r="Z54" s="192">
        <v>0</v>
      </c>
      <c r="AA54" s="193">
        <f t="shared" si="9"/>
        <v>1911598.29</v>
      </c>
      <c r="AB54" s="196">
        <f t="shared" si="10"/>
        <v>2600299.29</v>
      </c>
      <c r="AC54" s="2"/>
    </row>
    <row r="55" spans="2:29" ht="28.5" customHeight="1" x14ac:dyDescent="0.2">
      <c r="B55" s="286" t="s">
        <v>79</v>
      </c>
      <c r="C55" s="192">
        <v>0</v>
      </c>
      <c r="D55" s="195">
        <v>2754806</v>
      </c>
      <c r="E55" s="192">
        <v>0</v>
      </c>
      <c r="F55" s="192">
        <v>0</v>
      </c>
      <c r="G55" s="192">
        <v>0</v>
      </c>
      <c r="H55" s="192">
        <v>0</v>
      </c>
      <c r="I55" s="193">
        <f t="shared" si="6"/>
        <v>2754806</v>
      </c>
      <c r="J55" s="192">
        <v>0</v>
      </c>
      <c r="K55" s="192">
        <v>0</v>
      </c>
      <c r="L55" s="192">
        <v>0</v>
      </c>
      <c r="M55" s="192">
        <v>0</v>
      </c>
      <c r="N55" s="192">
        <v>0</v>
      </c>
      <c r="O55" s="192">
        <v>0</v>
      </c>
      <c r="P55" s="192">
        <v>0</v>
      </c>
      <c r="Q55" s="192">
        <v>0</v>
      </c>
      <c r="R55" s="192">
        <v>0</v>
      </c>
      <c r="S55" s="192">
        <v>0</v>
      </c>
      <c r="T55" s="195">
        <v>7646393.1399999997</v>
      </c>
      <c r="U55" s="192">
        <v>0</v>
      </c>
      <c r="V55" s="192">
        <v>0</v>
      </c>
      <c r="W55" s="192">
        <v>0</v>
      </c>
      <c r="X55" s="192">
        <v>0</v>
      </c>
      <c r="Y55" s="192">
        <v>0</v>
      </c>
      <c r="Z55" s="192">
        <v>0</v>
      </c>
      <c r="AA55" s="193">
        <f t="shared" si="9"/>
        <v>7646393.1399999997</v>
      </c>
      <c r="AB55" s="196">
        <f t="shared" si="10"/>
        <v>10401199.140000001</v>
      </c>
      <c r="AC55" s="2"/>
    </row>
    <row r="56" spans="2:29" ht="28.5" customHeight="1" x14ac:dyDescent="0.2">
      <c r="B56" s="286" t="s">
        <v>80</v>
      </c>
      <c r="C56" s="192">
        <v>0</v>
      </c>
      <c r="D56" s="195">
        <v>4132209.5</v>
      </c>
      <c r="E56" s="192">
        <v>0</v>
      </c>
      <c r="F56" s="192">
        <v>0</v>
      </c>
      <c r="G56" s="192">
        <v>0</v>
      </c>
      <c r="H56" s="192">
        <v>0</v>
      </c>
      <c r="I56" s="193">
        <f t="shared" si="6"/>
        <v>4132209.5</v>
      </c>
      <c r="J56" s="192">
        <v>0</v>
      </c>
      <c r="K56" s="192">
        <v>0</v>
      </c>
      <c r="L56" s="192">
        <v>0</v>
      </c>
      <c r="M56" s="192">
        <v>0</v>
      </c>
      <c r="N56" s="192">
        <v>0</v>
      </c>
      <c r="O56" s="192">
        <v>0</v>
      </c>
      <c r="P56" s="192">
        <v>0</v>
      </c>
      <c r="Q56" s="192">
        <v>0</v>
      </c>
      <c r="R56" s="192">
        <v>0</v>
      </c>
      <c r="S56" s="192">
        <v>0</v>
      </c>
      <c r="T56" s="195">
        <v>11469589.73</v>
      </c>
      <c r="U56" s="192">
        <v>0</v>
      </c>
      <c r="V56" s="192">
        <v>0</v>
      </c>
      <c r="W56" s="192">
        <v>0</v>
      </c>
      <c r="X56" s="192">
        <v>0</v>
      </c>
      <c r="Y56" s="195">
        <v>237750710.43000001</v>
      </c>
      <c r="Z56" s="192">
        <v>0</v>
      </c>
      <c r="AA56" s="193">
        <f t="shared" si="9"/>
        <v>249220300.16</v>
      </c>
      <c r="AB56" s="196">
        <f t="shared" si="10"/>
        <v>253352509.66</v>
      </c>
      <c r="AC56" s="2"/>
    </row>
    <row r="57" spans="2:29" ht="28.5" customHeight="1" x14ac:dyDescent="0.2">
      <c r="B57" s="286" t="s">
        <v>81</v>
      </c>
      <c r="C57" s="192">
        <v>0</v>
      </c>
      <c r="D57" s="195">
        <v>4132209.5</v>
      </c>
      <c r="E57" s="192">
        <v>0</v>
      </c>
      <c r="F57" s="192">
        <v>0</v>
      </c>
      <c r="G57" s="192">
        <v>0</v>
      </c>
      <c r="H57" s="192">
        <v>0</v>
      </c>
      <c r="I57" s="193">
        <f t="shared" si="6"/>
        <v>4132209.5</v>
      </c>
      <c r="J57" s="192">
        <v>0</v>
      </c>
      <c r="K57" s="192">
        <v>0</v>
      </c>
      <c r="L57" s="192">
        <v>0</v>
      </c>
      <c r="M57" s="192">
        <v>0</v>
      </c>
      <c r="N57" s="192">
        <v>0</v>
      </c>
      <c r="O57" s="192">
        <v>0</v>
      </c>
      <c r="P57" s="192">
        <v>0</v>
      </c>
      <c r="Q57" s="192">
        <v>0</v>
      </c>
      <c r="R57" s="192">
        <v>0</v>
      </c>
      <c r="S57" s="192">
        <v>0</v>
      </c>
      <c r="T57" s="195">
        <v>11469589.73</v>
      </c>
      <c r="U57" s="192">
        <v>0</v>
      </c>
      <c r="V57" s="192">
        <v>0</v>
      </c>
      <c r="W57" s="192">
        <v>0</v>
      </c>
      <c r="X57" s="192">
        <v>0</v>
      </c>
      <c r="Y57" s="192">
        <v>0</v>
      </c>
      <c r="Z57" s="192">
        <v>0</v>
      </c>
      <c r="AA57" s="193">
        <f t="shared" si="9"/>
        <v>11469589.73</v>
      </c>
      <c r="AB57" s="196">
        <f t="shared" si="10"/>
        <v>15601799.23</v>
      </c>
      <c r="AC57" s="2"/>
    </row>
    <row r="58" spans="2:29" ht="28.5" customHeight="1" x14ac:dyDescent="0.2">
      <c r="B58" s="286" t="s">
        <v>82</v>
      </c>
      <c r="C58" s="192">
        <v>0</v>
      </c>
      <c r="D58" s="195">
        <v>688701</v>
      </c>
      <c r="E58" s="192">
        <v>0</v>
      </c>
      <c r="F58" s="192">
        <v>0</v>
      </c>
      <c r="G58" s="192">
        <v>0</v>
      </c>
      <c r="H58" s="192">
        <v>0</v>
      </c>
      <c r="I58" s="193">
        <f t="shared" si="6"/>
        <v>688701</v>
      </c>
      <c r="J58" s="192">
        <v>0</v>
      </c>
      <c r="K58" s="192">
        <v>0</v>
      </c>
      <c r="L58" s="192">
        <v>0</v>
      </c>
      <c r="M58" s="192">
        <v>0</v>
      </c>
      <c r="N58" s="192">
        <v>0</v>
      </c>
      <c r="O58" s="192">
        <v>0</v>
      </c>
      <c r="P58" s="192">
        <v>0</v>
      </c>
      <c r="Q58" s="192">
        <v>0</v>
      </c>
      <c r="R58" s="192">
        <v>0</v>
      </c>
      <c r="S58" s="192">
        <v>0</v>
      </c>
      <c r="T58" s="195">
        <v>1911598.29</v>
      </c>
      <c r="U58" s="192">
        <v>0</v>
      </c>
      <c r="V58" s="192">
        <v>0</v>
      </c>
      <c r="W58" s="192">
        <v>0</v>
      </c>
      <c r="X58" s="192">
        <v>0</v>
      </c>
      <c r="Y58" s="192">
        <v>0</v>
      </c>
      <c r="Z58" s="192">
        <v>0</v>
      </c>
      <c r="AA58" s="193">
        <f t="shared" si="9"/>
        <v>1911598.29</v>
      </c>
      <c r="AB58" s="196">
        <f t="shared" si="10"/>
        <v>2600299.29</v>
      </c>
      <c r="AC58" s="2"/>
    </row>
    <row r="59" spans="2:29" ht="10.199999999999999" x14ac:dyDescent="0.2">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2"/>
    </row>
    <row r="60" spans="2:29" ht="30" customHeight="1" x14ac:dyDescent="0.2">
      <c r="B60" s="292" t="s">
        <v>83</v>
      </c>
      <c r="C60" s="198">
        <f>SUM(C12:C58)</f>
        <v>719965832</v>
      </c>
      <c r="D60" s="198">
        <f t="shared" ref="D60:S60" si="11">SUM(D12:D58)</f>
        <v>2287784589</v>
      </c>
      <c r="E60" s="198">
        <f t="shared" si="11"/>
        <v>489574246</v>
      </c>
      <c r="F60" s="198">
        <f t="shared" si="11"/>
        <v>4845917560</v>
      </c>
      <c r="G60" s="198">
        <f t="shared" si="11"/>
        <v>2664313600</v>
      </c>
      <c r="H60" s="198">
        <f t="shared" si="11"/>
        <v>1317770078</v>
      </c>
      <c r="I60" s="198">
        <f>SUM(I12:I58)</f>
        <v>12325325905</v>
      </c>
      <c r="J60" s="198">
        <f>SUM(J12:J34)</f>
        <v>2400000000</v>
      </c>
      <c r="K60" s="198">
        <f t="shared" si="11"/>
        <v>456450000</v>
      </c>
      <c r="L60" s="198">
        <f t="shared" si="11"/>
        <v>228225000</v>
      </c>
      <c r="M60" s="198">
        <f>SUM(M12:M58)</f>
        <v>4609788011.9700003</v>
      </c>
      <c r="N60" s="198">
        <f t="shared" si="11"/>
        <v>43660351.170000002</v>
      </c>
      <c r="O60" s="198">
        <f t="shared" si="11"/>
        <v>8790794429.5900002</v>
      </c>
      <c r="P60" s="198">
        <f t="shared" si="11"/>
        <v>600987648.96000004</v>
      </c>
      <c r="Q60" s="198">
        <f t="shared" si="11"/>
        <v>120484429.27</v>
      </c>
      <c r="R60" s="198">
        <f t="shared" si="11"/>
        <v>576952358.29999995</v>
      </c>
      <c r="S60" s="198">
        <f t="shared" si="11"/>
        <v>353740280.19</v>
      </c>
      <c r="T60" s="198">
        <f>SUM(T12:T58)</f>
        <v>38231965.759999998</v>
      </c>
      <c r="U60" s="198">
        <f t="shared" ref="U60:Y60" si="12">SUM(U12:U58)</f>
        <v>17942813236.849998</v>
      </c>
      <c r="V60" s="198">
        <f t="shared" si="12"/>
        <v>12685502</v>
      </c>
      <c r="W60" s="198">
        <f t="shared" si="12"/>
        <v>3175381</v>
      </c>
      <c r="X60" s="198">
        <f t="shared" si="12"/>
        <v>938077721</v>
      </c>
      <c r="Y60" s="198">
        <f t="shared" si="12"/>
        <v>792502366.48000002</v>
      </c>
      <c r="Z60" s="198">
        <f>SUM(Z12:Z58)</f>
        <v>43642218</v>
      </c>
      <c r="AA60" s="198"/>
      <c r="AB60" s="198">
        <f>SUM(C60:T60)</f>
        <v>42869966285.209999</v>
      </c>
      <c r="AC60" s="2"/>
    </row>
  </sheetData>
  <sheetProtection algorithmName="SHA-512" hashValue="8TmKD80QyXx8rpsxh9BU+lbERoJicN9ZuEzV1p4EUOAaMdSxz5vgOfkz+j4KY+KsIvsH15kfvteyz5YT8rMByA==" saltValue="8LzEZUdN+ve/qYImlAo3WQ==" spinCount="100000" sheet="1" objects="1" scenarios="1" selectLockedCells="1" selectUnlockedCells="1"/>
  <autoFilter ref="B1:GK45" xr:uid="{00000000-0009-0000-0000-000001000000}"/>
  <mergeCells count="28">
    <mergeCell ref="AA37:AA39"/>
    <mergeCell ref="AA49:AA51"/>
    <mergeCell ref="B3:AB3"/>
    <mergeCell ref="AB9:AB11"/>
    <mergeCell ref="B9:B11"/>
    <mergeCell ref="C9:H9"/>
    <mergeCell ref="C10:H10"/>
    <mergeCell ref="V10:Z10"/>
    <mergeCell ref="J9:Z9"/>
    <mergeCell ref="M10:T10"/>
    <mergeCell ref="I9:I11"/>
    <mergeCell ref="AA9:AA11"/>
    <mergeCell ref="C50:H50"/>
    <mergeCell ref="AB49:AB51"/>
    <mergeCell ref="B49:B51"/>
    <mergeCell ref="AB37:AB39"/>
    <mergeCell ref="B37:B39"/>
    <mergeCell ref="C37:H37"/>
    <mergeCell ref="C38:H38"/>
    <mergeCell ref="C49:H49"/>
    <mergeCell ref="M38:T38"/>
    <mergeCell ref="I37:I39"/>
    <mergeCell ref="I49:I51"/>
    <mergeCell ref="V38:Z38"/>
    <mergeCell ref="V50:Z50"/>
    <mergeCell ref="J49:Z49"/>
    <mergeCell ref="J37:Z37"/>
    <mergeCell ref="M50:T50"/>
  </mergeCells>
  <printOptions horizontalCentered="1"/>
  <pageMargins left="0.23622047244094491" right="0.23622047244094491" top="0.74803149606299213" bottom="0.74803149606299213" header="0.31496062992125984" footer="0.31496062992125984"/>
  <pageSetup paperSize="121" scale="1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B113"/>
  <sheetViews>
    <sheetView tabSelected="1" view="pageBreakPreview" topLeftCell="A10" zoomScale="90" zoomScaleNormal="90" zoomScaleSheetLayoutView="90" workbookViewId="0">
      <selection activeCell="E12" sqref="E12"/>
    </sheetView>
  </sheetViews>
  <sheetFormatPr baseColWidth="10" defaultColWidth="21.33203125" defaultRowHeight="14.4" x14ac:dyDescent="0.3"/>
  <cols>
    <col min="1" max="1" width="2.33203125" style="2" customWidth="1"/>
    <col min="2" max="2" width="19.88671875" style="13" customWidth="1"/>
    <col min="3" max="3" width="33.33203125" style="13" customWidth="1"/>
    <col min="4" max="4" width="9.33203125" style="7" customWidth="1"/>
    <col min="5" max="5" width="61.6640625" style="110" customWidth="1"/>
    <col min="6" max="6" width="6.44140625" style="169" hidden="1" customWidth="1"/>
    <col min="7" max="7" width="9.5546875" style="179" hidden="1" customWidth="1"/>
    <col min="8" max="8" width="11.109375" style="169" hidden="1" customWidth="1"/>
    <col min="9" max="9" width="17.33203125" style="169" hidden="1" customWidth="1"/>
    <col min="10" max="10" width="21.33203125" style="169" hidden="1" customWidth="1"/>
    <col min="11" max="11" width="23.33203125" style="11" customWidth="1"/>
    <col min="12" max="12" width="25.33203125" style="11" customWidth="1"/>
    <col min="13" max="13" width="57.6640625" style="146" hidden="1" customWidth="1"/>
    <col min="14" max="14" width="1.5546875" style="90" customWidth="1"/>
    <col min="15" max="15" width="4.6640625" style="2" customWidth="1"/>
    <col min="16" max="16" width="21.33203125" style="2"/>
    <col min="17" max="17" width="27" style="2" customWidth="1"/>
    <col min="18" max="16384" width="21.33203125" style="2"/>
  </cols>
  <sheetData>
    <row r="1" spans="1:14" s="4" customFormat="1" x14ac:dyDescent="0.3">
      <c r="A1" s="4" t="s">
        <v>84</v>
      </c>
      <c r="B1" s="9"/>
      <c r="C1" s="9"/>
      <c r="D1" s="6"/>
      <c r="E1" s="102"/>
      <c r="F1" s="159"/>
      <c r="G1" s="176"/>
      <c r="H1" s="159"/>
      <c r="I1" s="159"/>
      <c r="J1" s="159"/>
      <c r="K1" s="9"/>
      <c r="L1" s="9"/>
      <c r="M1" s="144"/>
      <c r="N1" s="95"/>
    </row>
    <row r="2" spans="1:14" s="6" customFormat="1" x14ac:dyDescent="0.3">
      <c r="B2" s="111"/>
      <c r="C2" s="111"/>
      <c r="D2" s="111"/>
      <c r="E2" s="112"/>
      <c r="F2" s="160"/>
      <c r="G2" s="177"/>
      <c r="H2" s="170"/>
      <c r="I2" s="160"/>
      <c r="J2" s="160"/>
      <c r="K2" s="113"/>
      <c r="L2" s="113"/>
      <c r="M2" s="144"/>
      <c r="N2" s="95"/>
    </row>
    <row r="3" spans="1:14" s="116" customFormat="1" ht="33.6" x14ac:dyDescent="0.65">
      <c r="B3" s="375" t="s">
        <v>0</v>
      </c>
      <c r="C3" s="375"/>
      <c r="D3" s="375"/>
      <c r="E3" s="375"/>
      <c r="F3" s="375"/>
      <c r="G3" s="375"/>
      <c r="H3" s="375"/>
      <c r="I3" s="375"/>
      <c r="J3" s="375"/>
      <c r="K3" s="375"/>
      <c r="L3" s="375"/>
      <c r="M3" s="144"/>
      <c r="N3" s="95"/>
    </row>
    <row r="4" spans="1:14" s="4" customFormat="1" ht="12" customHeight="1" x14ac:dyDescent="0.3">
      <c r="B4" s="114"/>
      <c r="C4" s="114"/>
      <c r="D4" s="114"/>
      <c r="E4" s="115"/>
      <c r="F4" s="161"/>
      <c r="G4" s="178"/>
      <c r="H4" s="171"/>
      <c r="I4" s="161"/>
      <c r="J4" s="161"/>
      <c r="K4" s="114"/>
      <c r="L4" s="114"/>
      <c r="M4" s="144"/>
      <c r="N4" s="95"/>
    </row>
    <row r="5" spans="1:14" s="4" customFormat="1" x14ac:dyDescent="0.3">
      <c r="B5" s="9"/>
      <c r="C5" s="9"/>
      <c r="D5" s="6"/>
      <c r="E5" s="102"/>
      <c r="F5" s="159"/>
      <c r="G5" s="176"/>
      <c r="H5" s="159"/>
      <c r="I5" s="159"/>
      <c r="J5" s="159"/>
      <c r="K5" s="9"/>
      <c r="L5" s="9"/>
      <c r="M5" s="144"/>
      <c r="N5" s="95"/>
    </row>
    <row r="6" spans="1:14" ht="28.8" x14ac:dyDescent="0.3">
      <c r="A6" s="3"/>
      <c r="B6" s="199" t="s">
        <v>85</v>
      </c>
      <c r="C6" s="199" t="s">
        <v>86</v>
      </c>
      <c r="D6" s="200">
        <v>410101</v>
      </c>
      <c r="E6" s="201" t="s">
        <v>87</v>
      </c>
      <c r="F6" s="186" t="s">
        <v>88</v>
      </c>
      <c r="G6" s="202">
        <f>AVERAGE(G7)</f>
        <v>0.64119999999999999</v>
      </c>
      <c r="H6" s="186" t="s">
        <v>89</v>
      </c>
      <c r="I6" s="183" t="s">
        <v>90</v>
      </c>
      <c r="J6" s="183" t="s">
        <v>91</v>
      </c>
      <c r="K6" s="199" t="s">
        <v>92</v>
      </c>
      <c r="L6" s="293">
        <f>+'POAI GENERAL '!AB12</f>
        <v>451772125</v>
      </c>
      <c r="M6" s="183" t="s">
        <v>93</v>
      </c>
      <c r="N6" s="124"/>
    </row>
    <row r="7" spans="1:14" s="15" customFormat="1" ht="42" customHeight="1" x14ac:dyDescent="0.3">
      <c r="B7" s="92" t="s">
        <v>94</v>
      </c>
      <c r="C7" s="180" t="s">
        <v>95</v>
      </c>
      <c r="D7" s="203">
        <v>11</v>
      </c>
      <c r="E7" s="184" t="s">
        <v>96</v>
      </c>
      <c r="F7" s="180" t="s">
        <v>97</v>
      </c>
      <c r="G7" s="181">
        <v>0.64119999999999999</v>
      </c>
      <c r="H7" s="182" t="s">
        <v>98</v>
      </c>
      <c r="I7" s="180" t="s">
        <v>99</v>
      </c>
      <c r="J7" s="180" t="s">
        <v>100</v>
      </c>
      <c r="K7" s="199" t="s">
        <v>101</v>
      </c>
      <c r="L7" s="294">
        <v>451772125</v>
      </c>
      <c r="M7" s="184" t="s">
        <v>102</v>
      </c>
      <c r="N7" s="91"/>
    </row>
    <row r="8" spans="1:14" s="15" customFormat="1" x14ac:dyDescent="0.3">
      <c r="B8" s="91"/>
      <c r="C8" s="91"/>
      <c r="D8" s="91"/>
      <c r="E8" s="103"/>
      <c r="F8" s="162"/>
      <c r="G8" s="162"/>
      <c r="H8" s="172"/>
      <c r="I8" s="162"/>
      <c r="J8" s="162"/>
      <c r="K8" s="91"/>
      <c r="L8" s="91"/>
      <c r="M8" s="145"/>
      <c r="N8" s="91"/>
    </row>
    <row r="9" spans="1:14" s="15" customFormat="1" ht="28.8" x14ac:dyDescent="0.3">
      <c r="B9" s="199" t="s">
        <v>85</v>
      </c>
      <c r="C9" s="199" t="s">
        <v>86</v>
      </c>
      <c r="D9" s="200">
        <v>410102</v>
      </c>
      <c r="E9" s="201" t="s">
        <v>103</v>
      </c>
      <c r="F9" s="186" t="s">
        <v>88</v>
      </c>
      <c r="G9" s="202">
        <f>AVERAGE(G10)</f>
        <v>0.13109999999999999</v>
      </c>
      <c r="H9" s="186" t="s">
        <v>89</v>
      </c>
      <c r="I9" s="183" t="s">
        <v>90</v>
      </c>
      <c r="J9" s="183" t="s">
        <v>91</v>
      </c>
      <c r="K9" s="199" t="s">
        <v>92</v>
      </c>
      <c r="L9" s="204">
        <f>+'POAI GENERAL '!AB13</f>
        <v>615936808.25</v>
      </c>
      <c r="M9" s="183" t="s">
        <v>93</v>
      </c>
      <c r="N9" s="93"/>
    </row>
    <row r="10" spans="1:14" s="15" customFormat="1" ht="42" customHeight="1" x14ac:dyDescent="0.3">
      <c r="B10" s="92" t="s">
        <v>94</v>
      </c>
      <c r="C10" s="180" t="s">
        <v>104</v>
      </c>
      <c r="D10" s="203">
        <v>5</v>
      </c>
      <c r="E10" s="184" t="s">
        <v>105</v>
      </c>
      <c r="F10" s="180" t="s">
        <v>97</v>
      </c>
      <c r="G10" s="188">
        <v>0.13109999999999999</v>
      </c>
      <c r="H10" s="182" t="s">
        <v>98</v>
      </c>
      <c r="I10" s="180" t="s">
        <v>106</v>
      </c>
      <c r="J10" s="180" t="s">
        <v>100</v>
      </c>
      <c r="K10" s="199" t="s">
        <v>101</v>
      </c>
      <c r="L10" s="294">
        <v>615936808.25</v>
      </c>
      <c r="M10" s="184" t="s">
        <v>107</v>
      </c>
      <c r="N10" s="91"/>
    </row>
    <row r="11" spans="1:14" s="15" customFormat="1" x14ac:dyDescent="0.3">
      <c r="B11" s="91"/>
      <c r="C11" s="91"/>
      <c r="D11" s="91"/>
      <c r="E11" s="103"/>
      <c r="F11" s="162"/>
      <c r="G11" s="162"/>
      <c r="H11" s="172"/>
      <c r="I11" s="162"/>
      <c r="J11" s="162"/>
      <c r="K11" s="91"/>
      <c r="L11" s="91"/>
      <c r="M11" s="145"/>
      <c r="N11" s="91"/>
    </row>
    <row r="12" spans="1:14" s="15" customFormat="1" ht="28.8" x14ac:dyDescent="0.3">
      <c r="B12" s="199" t="s">
        <v>85</v>
      </c>
      <c r="C12" s="199" t="s">
        <v>86</v>
      </c>
      <c r="D12" s="200">
        <v>410103</v>
      </c>
      <c r="E12" s="201" t="s">
        <v>108</v>
      </c>
      <c r="F12" s="186" t="s">
        <v>88</v>
      </c>
      <c r="G12" s="202">
        <f>AVERAGE(G13:G22)</f>
        <v>8.5800000000000001E-2</v>
      </c>
      <c r="H12" s="186" t="s">
        <v>89</v>
      </c>
      <c r="I12" s="183" t="s">
        <v>90</v>
      </c>
      <c r="J12" s="183" t="s">
        <v>91</v>
      </c>
      <c r="K12" s="199" t="s">
        <v>92</v>
      </c>
      <c r="L12" s="204">
        <f>+'POAI GENERAL '!AB14</f>
        <v>3991764977.9200001</v>
      </c>
      <c r="M12" s="183" t="s">
        <v>93</v>
      </c>
      <c r="N12" s="93"/>
    </row>
    <row r="13" spans="1:14" s="15" customFormat="1" ht="66.599999999999994" customHeight="1" x14ac:dyDescent="0.3">
      <c r="B13" s="92" t="s">
        <v>94</v>
      </c>
      <c r="C13" s="180" t="s">
        <v>109</v>
      </c>
      <c r="D13" s="203">
        <v>24</v>
      </c>
      <c r="E13" s="184" t="s">
        <v>110</v>
      </c>
      <c r="F13" s="180"/>
      <c r="G13" s="210">
        <v>0.85799999999999998</v>
      </c>
      <c r="H13" s="182" t="s">
        <v>98</v>
      </c>
      <c r="I13" s="180" t="s">
        <v>111</v>
      </c>
      <c r="J13" s="180" t="s">
        <v>100</v>
      </c>
      <c r="K13" s="199" t="s">
        <v>101</v>
      </c>
      <c r="L13" s="205">
        <v>487938430.39999998</v>
      </c>
      <c r="M13" s="184" t="s">
        <v>102</v>
      </c>
      <c r="N13" s="125"/>
    </row>
    <row r="14" spans="1:14" s="15" customFormat="1" ht="81" hidden="1" customHeight="1" x14ac:dyDescent="0.3">
      <c r="B14" s="92" t="s">
        <v>94</v>
      </c>
      <c r="C14" s="180" t="s">
        <v>109</v>
      </c>
      <c r="D14" s="203">
        <v>0</v>
      </c>
      <c r="E14" s="184" t="s">
        <v>112</v>
      </c>
      <c r="F14" s="180"/>
      <c r="G14" s="206">
        <v>0</v>
      </c>
      <c r="H14" s="182" t="s">
        <v>98</v>
      </c>
      <c r="I14" s="180" t="s">
        <v>111</v>
      </c>
      <c r="J14" s="180" t="s">
        <v>100</v>
      </c>
      <c r="K14" s="199" t="s">
        <v>101</v>
      </c>
      <c r="L14" s="294">
        <f>+'POAI GENERAL '!O14</f>
        <v>69701625</v>
      </c>
      <c r="M14" s="184"/>
      <c r="N14" s="91"/>
    </row>
    <row r="15" spans="1:14" s="15" customFormat="1" ht="84.6" customHeight="1" x14ac:dyDescent="0.3">
      <c r="B15" s="92" t="s">
        <v>94</v>
      </c>
      <c r="C15" s="180" t="s">
        <v>109</v>
      </c>
      <c r="D15" s="203">
        <v>52</v>
      </c>
      <c r="E15" s="184" t="s">
        <v>113</v>
      </c>
      <c r="F15" s="180"/>
      <c r="G15" s="206">
        <v>0</v>
      </c>
      <c r="H15" s="182" t="s">
        <v>114</v>
      </c>
      <c r="I15" s="180" t="s">
        <v>115</v>
      </c>
      <c r="J15" s="180" t="s">
        <v>100</v>
      </c>
      <c r="K15" s="199" t="s">
        <v>101</v>
      </c>
      <c r="L15" s="294">
        <f>7506499+11447888.53+2840000</f>
        <v>21794387.530000001</v>
      </c>
      <c r="M15" s="184" t="s">
        <v>116</v>
      </c>
      <c r="N15" s="91"/>
    </row>
    <row r="16" spans="1:14" s="15" customFormat="1" ht="67.95" customHeight="1" x14ac:dyDescent="0.3">
      <c r="B16" s="92" t="s">
        <v>94</v>
      </c>
      <c r="C16" s="180" t="s">
        <v>109</v>
      </c>
      <c r="D16" s="203">
        <v>53</v>
      </c>
      <c r="E16" s="184" t="s">
        <v>117</v>
      </c>
      <c r="F16" s="180"/>
      <c r="G16" s="206">
        <v>0</v>
      </c>
      <c r="H16" s="182" t="s">
        <v>118</v>
      </c>
      <c r="I16" s="180" t="s">
        <v>119</v>
      </c>
      <c r="J16" s="180" t="s">
        <v>100</v>
      </c>
      <c r="K16" s="199" t="s">
        <v>101</v>
      </c>
      <c r="L16" s="294">
        <v>177766451.27000001</v>
      </c>
      <c r="M16" s="184" t="s">
        <v>120</v>
      </c>
      <c r="N16" s="91"/>
    </row>
    <row r="17" spans="1:14" s="15" customFormat="1" ht="73.95" customHeight="1" x14ac:dyDescent="0.3">
      <c r="B17" s="92" t="s">
        <v>94</v>
      </c>
      <c r="C17" s="180" t="s">
        <v>95</v>
      </c>
      <c r="D17" s="203">
        <v>62</v>
      </c>
      <c r="E17" s="184" t="s">
        <v>121</v>
      </c>
      <c r="F17" s="180"/>
      <c r="G17" s="206">
        <v>0</v>
      </c>
      <c r="H17" s="182" t="s">
        <v>122</v>
      </c>
      <c r="I17" s="180" t="s">
        <v>123</v>
      </c>
      <c r="J17" s="180" t="s">
        <v>100</v>
      </c>
      <c r="K17" s="199" t="s">
        <v>101</v>
      </c>
      <c r="L17" s="294">
        <v>266504832.80000001</v>
      </c>
      <c r="M17" s="184" t="s">
        <v>124</v>
      </c>
      <c r="N17" s="91"/>
    </row>
    <row r="18" spans="1:14" s="15" customFormat="1" ht="70.2" customHeight="1" x14ac:dyDescent="0.3">
      <c r="B18" s="92" t="s">
        <v>94</v>
      </c>
      <c r="C18" s="180" t="s">
        <v>95</v>
      </c>
      <c r="D18" s="203">
        <v>63</v>
      </c>
      <c r="E18" s="184" t="s">
        <v>125</v>
      </c>
      <c r="F18" s="180"/>
      <c r="G18" s="206">
        <v>0</v>
      </c>
      <c r="H18" s="182" t="s">
        <v>98</v>
      </c>
      <c r="I18" s="180" t="s">
        <v>126</v>
      </c>
      <c r="J18" s="180" t="s">
        <v>100</v>
      </c>
      <c r="K18" s="199" t="s">
        <v>101</v>
      </c>
      <c r="L18" s="294">
        <v>764821589</v>
      </c>
      <c r="M18" s="274"/>
      <c r="N18" s="91"/>
    </row>
    <row r="19" spans="1:14" s="15" customFormat="1" ht="106.2" customHeight="1" x14ac:dyDescent="0.3">
      <c r="B19" s="92" t="s">
        <v>94</v>
      </c>
      <c r="C19" s="180" t="s">
        <v>95</v>
      </c>
      <c r="D19" s="203">
        <v>69</v>
      </c>
      <c r="E19" s="184" t="s">
        <v>127</v>
      </c>
      <c r="F19" s="180"/>
      <c r="G19" s="206">
        <v>0</v>
      </c>
      <c r="H19" s="182" t="s">
        <v>128</v>
      </c>
      <c r="I19" s="180" t="s">
        <v>129</v>
      </c>
      <c r="J19" s="180" t="s">
        <v>130</v>
      </c>
      <c r="K19" s="199" t="s">
        <v>101</v>
      </c>
      <c r="L19" s="294">
        <v>924278015</v>
      </c>
      <c r="M19" s="184" t="s">
        <v>131</v>
      </c>
      <c r="N19" s="91"/>
    </row>
    <row r="20" spans="1:14" s="15" customFormat="1" ht="114" customHeight="1" x14ac:dyDescent="0.3">
      <c r="B20" s="92" t="s">
        <v>94</v>
      </c>
      <c r="C20" s="180" t="s">
        <v>95</v>
      </c>
      <c r="D20" s="203">
        <v>70</v>
      </c>
      <c r="E20" s="184" t="s">
        <v>132</v>
      </c>
      <c r="F20" s="180"/>
      <c r="G20" s="206">
        <v>0</v>
      </c>
      <c r="H20" s="182" t="s">
        <v>128</v>
      </c>
      <c r="I20" s="180" t="s">
        <v>129</v>
      </c>
      <c r="J20" s="180" t="s">
        <v>130</v>
      </c>
      <c r="K20" s="199" t="s">
        <v>101</v>
      </c>
      <c r="L20" s="294">
        <v>75495992</v>
      </c>
      <c r="M20" s="184" t="s">
        <v>133</v>
      </c>
      <c r="N20" s="91"/>
    </row>
    <row r="21" spans="1:14" s="15" customFormat="1" ht="76.95" customHeight="1" x14ac:dyDescent="0.3">
      <c r="B21" s="92" t="s">
        <v>94</v>
      </c>
      <c r="C21" s="180" t="s">
        <v>95</v>
      </c>
      <c r="D21" s="203">
        <v>64</v>
      </c>
      <c r="E21" s="184" t="s">
        <v>134</v>
      </c>
      <c r="F21" s="180"/>
      <c r="G21" s="206">
        <v>0</v>
      </c>
      <c r="H21" s="182" t="s">
        <v>98</v>
      </c>
      <c r="I21" s="180" t="s">
        <v>129</v>
      </c>
      <c r="J21" s="180" t="s">
        <v>130</v>
      </c>
      <c r="K21" s="199" t="s">
        <v>101</v>
      </c>
      <c r="L21" s="294">
        <v>203253686</v>
      </c>
      <c r="M21" s="184" t="s">
        <v>116</v>
      </c>
      <c r="N21" s="91"/>
    </row>
    <row r="22" spans="1:14" s="15" customFormat="1" ht="95.4" customHeight="1" x14ac:dyDescent="0.3">
      <c r="B22" s="92" t="s">
        <v>94</v>
      </c>
      <c r="C22" s="180" t="s">
        <v>95</v>
      </c>
      <c r="D22" s="207"/>
      <c r="E22" s="184" t="s">
        <v>135</v>
      </c>
      <c r="F22" s="180"/>
      <c r="G22" s="206">
        <v>0</v>
      </c>
      <c r="H22" s="182" t="s">
        <v>136</v>
      </c>
      <c r="I22" s="180" t="s">
        <v>137</v>
      </c>
      <c r="J22" s="180" t="s">
        <v>130</v>
      </c>
      <c r="K22" s="199" t="s">
        <v>101</v>
      </c>
      <c r="L22" s="294">
        <v>1000000000</v>
      </c>
      <c r="M22" s="274"/>
      <c r="N22" s="91"/>
    </row>
    <row r="23" spans="1:14" s="15" customFormat="1" x14ac:dyDescent="0.3">
      <c r="B23" s="91"/>
      <c r="C23" s="91"/>
      <c r="D23" s="91"/>
      <c r="E23" s="103"/>
      <c r="F23" s="162"/>
      <c r="G23" s="162"/>
      <c r="H23" s="173"/>
      <c r="I23" s="162"/>
      <c r="J23" s="162"/>
      <c r="K23" s="91"/>
      <c r="L23" s="91"/>
      <c r="M23" s="145"/>
      <c r="N23" s="91"/>
    </row>
    <row r="24" spans="1:14" s="15" customFormat="1" ht="28.8" x14ac:dyDescent="0.3">
      <c r="B24" s="199" t="s">
        <v>85</v>
      </c>
      <c r="C24" s="199" t="s">
        <v>86</v>
      </c>
      <c r="D24" s="200">
        <v>410104</v>
      </c>
      <c r="E24" s="201" t="s">
        <v>138</v>
      </c>
      <c r="F24" s="186" t="s">
        <v>88</v>
      </c>
      <c r="G24" s="202">
        <f>AVERAGE(G25:G29)</f>
        <v>0.53439999999999999</v>
      </c>
      <c r="H24" s="186" t="s">
        <v>89</v>
      </c>
      <c r="I24" s="183" t="s">
        <v>90</v>
      </c>
      <c r="J24" s="183" t="s">
        <v>91</v>
      </c>
      <c r="K24" s="199" t="s">
        <v>92</v>
      </c>
      <c r="L24" s="204">
        <f>+'POAI GENERAL '!AB15</f>
        <v>2650543454.25</v>
      </c>
      <c r="M24" s="183" t="s">
        <v>93</v>
      </c>
      <c r="N24" s="125"/>
    </row>
    <row r="25" spans="1:14" s="15" customFormat="1" ht="61.95" customHeight="1" x14ac:dyDescent="0.3">
      <c r="A25" s="23"/>
      <c r="B25" s="92" t="s">
        <v>94</v>
      </c>
      <c r="C25" s="180" t="s">
        <v>109</v>
      </c>
      <c r="D25" s="203">
        <v>23</v>
      </c>
      <c r="E25" s="184" t="s">
        <v>139</v>
      </c>
      <c r="F25" s="180" t="s">
        <v>97</v>
      </c>
      <c r="G25" s="188">
        <v>0.42070000000000002</v>
      </c>
      <c r="H25" s="182" t="s">
        <v>98</v>
      </c>
      <c r="I25" s="180" t="s">
        <v>111</v>
      </c>
      <c r="J25" s="180" t="s">
        <v>100</v>
      </c>
      <c r="K25" s="199" t="s">
        <v>101</v>
      </c>
      <c r="L25" s="294">
        <v>1291054459.71</v>
      </c>
      <c r="M25" s="184"/>
      <c r="N25" s="125"/>
    </row>
    <row r="26" spans="1:14" s="15" customFormat="1" ht="77.400000000000006" customHeight="1" x14ac:dyDescent="0.3">
      <c r="A26" s="23"/>
      <c r="B26" s="92" t="s">
        <v>94</v>
      </c>
      <c r="C26" s="180" t="s">
        <v>109</v>
      </c>
      <c r="D26" s="203">
        <v>35</v>
      </c>
      <c r="E26" s="184" t="s">
        <v>140</v>
      </c>
      <c r="F26" s="180" t="s">
        <v>97</v>
      </c>
      <c r="G26" s="208">
        <v>1</v>
      </c>
      <c r="H26" s="182" t="s">
        <v>98</v>
      </c>
      <c r="I26" s="180" t="s">
        <v>111</v>
      </c>
      <c r="J26" s="180" t="s">
        <v>100</v>
      </c>
      <c r="K26" s="199" t="s">
        <v>101</v>
      </c>
      <c r="L26" s="294">
        <v>48600000</v>
      </c>
      <c r="M26" s="184"/>
      <c r="N26" s="91"/>
    </row>
    <row r="27" spans="1:14" s="15" customFormat="1" ht="91.2" customHeight="1" x14ac:dyDescent="0.3">
      <c r="A27" s="23"/>
      <c r="B27" s="92" t="s">
        <v>94</v>
      </c>
      <c r="C27" s="180" t="s">
        <v>109</v>
      </c>
      <c r="D27" s="203">
        <v>41</v>
      </c>
      <c r="E27" s="184" t="s">
        <v>141</v>
      </c>
      <c r="F27" s="180" t="s">
        <v>97</v>
      </c>
      <c r="G27" s="188">
        <v>0.25130000000000002</v>
      </c>
      <c r="H27" s="182" t="s">
        <v>98</v>
      </c>
      <c r="I27" s="180" t="s">
        <v>111</v>
      </c>
      <c r="J27" s="180" t="s">
        <v>100</v>
      </c>
      <c r="K27" s="199" t="s">
        <v>101</v>
      </c>
      <c r="L27" s="294">
        <v>424178694.54000002</v>
      </c>
      <c r="M27" s="184" t="s">
        <v>142</v>
      </c>
      <c r="N27" s="91"/>
    </row>
    <row r="28" spans="1:14" s="15" customFormat="1" ht="91.2" customHeight="1" x14ac:dyDescent="0.3">
      <c r="A28" s="23"/>
      <c r="B28" s="92" t="s">
        <v>94</v>
      </c>
      <c r="C28" s="180" t="s">
        <v>109</v>
      </c>
      <c r="D28" s="203">
        <v>51</v>
      </c>
      <c r="E28" s="184" t="s">
        <v>143</v>
      </c>
      <c r="F28" s="180" t="s">
        <v>97</v>
      </c>
      <c r="G28" s="208">
        <v>1</v>
      </c>
      <c r="H28" s="182" t="s">
        <v>98</v>
      </c>
      <c r="I28" s="180" t="s">
        <v>111</v>
      </c>
      <c r="J28" s="180" t="s">
        <v>100</v>
      </c>
      <c r="K28" s="199" t="s">
        <v>101</v>
      </c>
      <c r="L28" s="294">
        <v>824100300</v>
      </c>
      <c r="M28" s="184"/>
      <c r="N28" s="91"/>
    </row>
    <row r="29" spans="1:14" s="15" customFormat="1" ht="100.95" customHeight="1" x14ac:dyDescent="0.3">
      <c r="A29" s="23"/>
      <c r="B29" s="92" t="s">
        <v>94</v>
      </c>
      <c r="C29" s="180" t="s">
        <v>109</v>
      </c>
      <c r="D29" s="203">
        <v>65</v>
      </c>
      <c r="E29" s="184" t="s">
        <v>144</v>
      </c>
      <c r="F29" s="180" t="s">
        <v>97</v>
      </c>
      <c r="G29" s="206">
        <v>0</v>
      </c>
      <c r="H29" s="182" t="s">
        <v>98</v>
      </c>
      <c r="I29" s="180" t="s">
        <v>111</v>
      </c>
      <c r="J29" s="180" t="s">
        <v>100</v>
      </c>
      <c r="K29" s="199" t="s">
        <v>101</v>
      </c>
      <c r="L29" s="294">
        <v>62610000</v>
      </c>
      <c r="M29" s="274"/>
      <c r="N29" s="91"/>
    </row>
    <row r="30" spans="1:14" s="15" customFormat="1" x14ac:dyDescent="0.3">
      <c r="A30" s="23"/>
      <c r="B30" s="91"/>
      <c r="C30" s="91"/>
      <c r="D30" s="91"/>
      <c r="E30" s="103"/>
      <c r="F30" s="162"/>
      <c r="G30" s="162"/>
      <c r="H30" s="173"/>
      <c r="I30" s="162"/>
      <c r="J30" s="162"/>
      <c r="K30" s="91"/>
      <c r="L30" s="91"/>
      <c r="M30" s="91"/>
      <c r="N30" s="91"/>
    </row>
    <row r="31" spans="1:14" s="16" customFormat="1" ht="28.8" x14ac:dyDescent="0.3">
      <c r="A31" s="24"/>
      <c r="B31" s="199" t="s">
        <v>85</v>
      </c>
      <c r="C31" s="199" t="s">
        <v>86</v>
      </c>
      <c r="D31" s="200">
        <v>410105</v>
      </c>
      <c r="E31" s="201" t="s">
        <v>145</v>
      </c>
      <c r="F31" s="186" t="s">
        <v>88</v>
      </c>
      <c r="G31" s="187">
        <f>AVERAGE(G32)</f>
        <v>0.3105</v>
      </c>
      <c r="H31" s="186" t="s">
        <v>89</v>
      </c>
      <c r="I31" s="183" t="s">
        <v>90</v>
      </c>
      <c r="J31" s="183" t="s">
        <v>91</v>
      </c>
      <c r="K31" s="199" t="s">
        <v>92</v>
      </c>
      <c r="L31" s="204">
        <v>421350216.56999999</v>
      </c>
      <c r="M31" s="183" t="s">
        <v>93</v>
      </c>
      <c r="N31" s="124"/>
    </row>
    <row r="32" spans="1:14" s="15" customFormat="1" ht="50.4" customHeight="1" x14ac:dyDescent="0.3">
      <c r="B32" s="92" t="s">
        <v>94</v>
      </c>
      <c r="C32" s="180" t="s">
        <v>109</v>
      </c>
      <c r="D32" s="203">
        <v>38</v>
      </c>
      <c r="E32" s="184" t="s">
        <v>146</v>
      </c>
      <c r="F32" s="180"/>
      <c r="G32" s="188">
        <v>0.3105</v>
      </c>
      <c r="H32" s="182" t="s">
        <v>128</v>
      </c>
      <c r="I32" s="180" t="s">
        <v>147</v>
      </c>
      <c r="J32" s="180" t="s">
        <v>100</v>
      </c>
      <c r="K32" s="199" t="s">
        <v>101</v>
      </c>
      <c r="L32" s="205">
        <f>381725098.17+39625118.4</f>
        <v>421350216.56999999</v>
      </c>
      <c r="M32" s="362"/>
      <c r="N32" s="91"/>
    </row>
    <row r="33" spans="2:14" s="15" customFormat="1" x14ac:dyDescent="0.3">
      <c r="B33" s="91"/>
      <c r="C33" s="91"/>
      <c r="D33" s="91"/>
      <c r="E33" s="103"/>
      <c r="F33" s="162"/>
      <c r="G33" s="162"/>
      <c r="H33" s="173"/>
      <c r="I33" s="162"/>
      <c r="J33" s="162"/>
      <c r="K33" s="91"/>
      <c r="L33" s="93"/>
      <c r="M33" s="145"/>
      <c r="N33" s="91"/>
    </row>
    <row r="34" spans="2:14" s="15" customFormat="1" ht="28.8" x14ac:dyDescent="0.3">
      <c r="B34" s="199" t="s">
        <v>85</v>
      </c>
      <c r="C34" s="199" t="s">
        <v>86</v>
      </c>
      <c r="D34" s="200">
        <v>410106</v>
      </c>
      <c r="E34" s="201" t="s">
        <v>148</v>
      </c>
      <c r="F34" s="187"/>
      <c r="G34" s="202">
        <f>AVERAGE(G35:G39)</f>
        <v>0.23281999999999997</v>
      </c>
      <c r="H34" s="209"/>
      <c r="I34" s="183" t="s">
        <v>90</v>
      </c>
      <c r="J34" s="183" t="s">
        <v>91</v>
      </c>
      <c r="K34" s="199" t="s">
        <v>92</v>
      </c>
      <c r="L34" s="204">
        <f>+'POAI GENERAL '!AB17</f>
        <v>2823730051.4699998</v>
      </c>
      <c r="M34" s="183" t="s">
        <v>93</v>
      </c>
      <c r="N34" s="93"/>
    </row>
    <row r="35" spans="2:14" s="15" customFormat="1" ht="47.4" customHeight="1" x14ac:dyDescent="0.3">
      <c r="B35" s="92" t="s">
        <v>94</v>
      </c>
      <c r="C35" s="180" t="s">
        <v>104</v>
      </c>
      <c r="D35" s="203">
        <v>2</v>
      </c>
      <c r="E35" s="184" t="s">
        <v>149</v>
      </c>
      <c r="F35" s="180" t="s">
        <v>97</v>
      </c>
      <c r="G35" s="210">
        <v>0.85970000000000002</v>
      </c>
      <c r="H35" s="182" t="s">
        <v>98</v>
      </c>
      <c r="I35" s="180" t="s">
        <v>150</v>
      </c>
      <c r="J35" s="180" t="s">
        <v>100</v>
      </c>
      <c r="K35" s="199" t="s">
        <v>101</v>
      </c>
      <c r="L35" s="294">
        <f>1083499850.38+158500473.62</f>
        <v>1242000324</v>
      </c>
      <c r="M35" s="184"/>
      <c r="N35" s="125"/>
    </row>
    <row r="36" spans="2:14" s="15" customFormat="1" ht="47.4" customHeight="1" x14ac:dyDescent="0.3">
      <c r="B36" s="92" t="s">
        <v>94</v>
      </c>
      <c r="C36" s="180" t="s">
        <v>104</v>
      </c>
      <c r="D36" s="203">
        <v>14</v>
      </c>
      <c r="E36" s="184" t="s">
        <v>151</v>
      </c>
      <c r="F36" s="180" t="s">
        <v>152</v>
      </c>
      <c r="G36" s="188">
        <v>0.3044</v>
      </c>
      <c r="H36" s="182" t="s">
        <v>98</v>
      </c>
      <c r="I36" s="180" t="s">
        <v>150</v>
      </c>
      <c r="J36" s="180" t="s">
        <v>100</v>
      </c>
      <c r="K36" s="199" t="s">
        <v>101</v>
      </c>
      <c r="L36" s="294">
        <f>150000000+158500473.62</f>
        <v>308500473.62</v>
      </c>
      <c r="M36" s="274"/>
      <c r="N36" s="91"/>
    </row>
    <row r="37" spans="2:14" s="15" customFormat="1" ht="47.4" customHeight="1" x14ac:dyDescent="0.3">
      <c r="B37" s="92" t="s">
        <v>94</v>
      </c>
      <c r="C37" s="180" t="s">
        <v>104</v>
      </c>
      <c r="D37" s="203">
        <v>15</v>
      </c>
      <c r="E37" s="184" t="s">
        <v>153</v>
      </c>
      <c r="F37" s="180" t="s">
        <v>97</v>
      </c>
      <c r="G37" s="206">
        <v>0</v>
      </c>
      <c r="H37" s="182" t="s">
        <v>98</v>
      </c>
      <c r="I37" s="180" t="s">
        <v>150</v>
      </c>
      <c r="J37" s="180" t="s">
        <v>100</v>
      </c>
      <c r="K37" s="199" t="s">
        <v>101</v>
      </c>
      <c r="L37" s="294">
        <v>80893591</v>
      </c>
      <c r="M37" s="274"/>
      <c r="N37" s="91"/>
    </row>
    <row r="38" spans="2:14" s="15" customFormat="1" ht="79.2" customHeight="1" x14ac:dyDescent="0.3">
      <c r="B38" s="92" t="s">
        <v>94</v>
      </c>
      <c r="C38" s="180" t="s">
        <v>104</v>
      </c>
      <c r="D38" s="203">
        <v>43</v>
      </c>
      <c r="E38" s="184" t="s">
        <v>154</v>
      </c>
      <c r="F38" s="180" t="s">
        <v>97</v>
      </c>
      <c r="G38" s="206">
        <v>0</v>
      </c>
      <c r="H38" s="182" t="s">
        <v>98</v>
      </c>
      <c r="I38" s="180" t="s">
        <v>150</v>
      </c>
      <c r="J38" s="180" t="s">
        <v>100</v>
      </c>
      <c r="K38" s="199" t="s">
        <v>101</v>
      </c>
      <c r="L38" s="294">
        <v>655037682.85000002</v>
      </c>
      <c r="M38" s="274"/>
      <c r="N38" s="91"/>
    </row>
    <row r="39" spans="2:14" s="15" customFormat="1" ht="47.4" customHeight="1" x14ac:dyDescent="0.3">
      <c r="B39" s="92" t="s">
        <v>94</v>
      </c>
      <c r="C39" s="180" t="s">
        <v>104</v>
      </c>
      <c r="D39" s="203">
        <v>46</v>
      </c>
      <c r="E39" s="184" t="s">
        <v>155</v>
      </c>
      <c r="F39" s="180" t="s">
        <v>97</v>
      </c>
      <c r="G39" s="206">
        <v>0</v>
      </c>
      <c r="H39" s="182" t="s">
        <v>98</v>
      </c>
      <c r="I39" s="180" t="s">
        <v>150</v>
      </c>
      <c r="J39" s="180" t="s">
        <v>100</v>
      </c>
      <c r="K39" s="199" t="s">
        <v>101</v>
      </c>
      <c r="L39" s="294">
        <v>537297980</v>
      </c>
      <c r="M39" s="274"/>
      <c r="N39" s="91"/>
    </row>
    <row r="40" spans="2:14" s="16" customFormat="1" x14ac:dyDescent="0.3">
      <c r="B40" s="90"/>
      <c r="C40" s="90"/>
      <c r="D40" s="90"/>
      <c r="E40" s="104"/>
      <c r="F40" s="163"/>
      <c r="G40" s="163"/>
      <c r="H40" s="174"/>
      <c r="I40" s="163"/>
      <c r="J40" s="163"/>
      <c r="K40" s="90"/>
      <c r="L40" s="90"/>
      <c r="M40" s="146"/>
      <c r="N40" s="90"/>
    </row>
    <row r="41" spans="2:14" s="16" customFormat="1" ht="28.8" x14ac:dyDescent="0.3">
      <c r="B41" s="199" t="s">
        <v>85</v>
      </c>
      <c r="C41" s="199" t="s">
        <v>86</v>
      </c>
      <c r="D41" s="200">
        <v>410107</v>
      </c>
      <c r="E41" s="201" t="s">
        <v>156</v>
      </c>
      <c r="F41" s="186" t="s">
        <v>88</v>
      </c>
      <c r="G41" s="202">
        <f>AVERAGE(G42:G45)</f>
        <v>0.15645000000000001</v>
      </c>
      <c r="H41" s="186" t="s">
        <v>89</v>
      </c>
      <c r="I41" s="183" t="s">
        <v>90</v>
      </c>
      <c r="J41" s="183" t="s">
        <v>91</v>
      </c>
      <c r="K41" s="199" t="s">
        <v>92</v>
      </c>
      <c r="L41" s="204">
        <f>+'POAI GENERAL '!AB18</f>
        <v>598185000</v>
      </c>
      <c r="M41" s="183" t="s">
        <v>93</v>
      </c>
      <c r="N41" s="90"/>
    </row>
    <row r="42" spans="2:14" s="16" customFormat="1" ht="100.95" customHeight="1" x14ac:dyDescent="0.3">
      <c r="B42" s="92" t="s">
        <v>94</v>
      </c>
      <c r="C42" s="180" t="s">
        <v>104</v>
      </c>
      <c r="D42" s="203">
        <v>29</v>
      </c>
      <c r="E42" s="184" t="s">
        <v>157</v>
      </c>
      <c r="F42" s="180" t="s">
        <v>97</v>
      </c>
      <c r="G42" s="181">
        <v>0.62580000000000002</v>
      </c>
      <c r="H42" s="182" t="s">
        <v>98</v>
      </c>
      <c r="I42" s="180" t="s">
        <v>129</v>
      </c>
      <c r="J42" s="180" t="s">
        <v>100</v>
      </c>
      <c r="K42" s="199" t="s">
        <v>101</v>
      </c>
      <c r="L42" s="205">
        <v>46485000</v>
      </c>
      <c r="M42" s="265"/>
      <c r="N42" s="90"/>
    </row>
    <row r="43" spans="2:14" s="16" customFormat="1" ht="46.2" customHeight="1" x14ac:dyDescent="0.3">
      <c r="B43" s="92" t="s">
        <v>94</v>
      </c>
      <c r="C43" s="180" t="s">
        <v>104</v>
      </c>
      <c r="D43" s="207"/>
      <c r="E43" s="184" t="s">
        <v>158</v>
      </c>
      <c r="F43" s="180"/>
      <c r="G43" s="206">
        <v>0</v>
      </c>
      <c r="H43" s="182" t="s">
        <v>98</v>
      </c>
      <c r="I43" s="180" t="s">
        <v>129</v>
      </c>
      <c r="J43" s="180" t="s">
        <v>100</v>
      </c>
      <c r="K43" s="199" t="s">
        <v>101</v>
      </c>
      <c r="L43" s="205">
        <v>42200000</v>
      </c>
      <c r="M43" s="274"/>
      <c r="N43" s="90"/>
    </row>
    <row r="44" spans="2:14" s="16" customFormat="1" ht="46.2" customHeight="1" x14ac:dyDescent="0.3">
      <c r="B44" s="92" t="s">
        <v>94</v>
      </c>
      <c r="C44" s="180" t="s">
        <v>104</v>
      </c>
      <c r="D44" s="207">
        <v>72</v>
      </c>
      <c r="E44" s="184" t="s">
        <v>159</v>
      </c>
      <c r="F44" s="180"/>
      <c r="G44" s="206">
        <v>0</v>
      </c>
      <c r="H44" s="182" t="s">
        <v>98</v>
      </c>
      <c r="I44" s="180" t="s">
        <v>129</v>
      </c>
      <c r="J44" s="180" t="s">
        <v>100</v>
      </c>
      <c r="K44" s="199" t="s">
        <v>101</v>
      </c>
      <c r="L44" s="205">
        <v>9500000</v>
      </c>
      <c r="M44" s="274"/>
      <c r="N44" s="90"/>
    </row>
    <row r="45" spans="2:14" s="16" customFormat="1" ht="46.2" customHeight="1" x14ac:dyDescent="0.3">
      <c r="B45" s="92" t="s">
        <v>94</v>
      </c>
      <c r="C45" s="180" t="s">
        <v>104</v>
      </c>
      <c r="D45" s="207">
        <v>71</v>
      </c>
      <c r="E45" s="184" t="s">
        <v>160</v>
      </c>
      <c r="F45" s="180"/>
      <c r="G45" s="206">
        <v>0</v>
      </c>
      <c r="H45" s="182" t="s">
        <v>98</v>
      </c>
      <c r="I45" s="180" t="s">
        <v>129</v>
      </c>
      <c r="J45" s="180" t="s">
        <v>130</v>
      </c>
      <c r="K45" s="199" t="s">
        <v>101</v>
      </c>
      <c r="L45" s="269">
        <f>500000000</f>
        <v>500000000</v>
      </c>
      <c r="M45" s="274"/>
      <c r="N45" s="90"/>
    </row>
    <row r="46" spans="2:14" s="16" customFormat="1" ht="46.2" customHeight="1" x14ac:dyDescent="0.3">
      <c r="B46" s="92" t="s">
        <v>94</v>
      </c>
      <c r="C46" s="180" t="s">
        <v>104</v>
      </c>
      <c r="D46" s="207"/>
      <c r="E46" s="184" t="s">
        <v>161</v>
      </c>
      <c r="F46" s="180"/>
      <c r="G46" s="206">
        <v>0</v>
      </c>
      <c r="H46" s="182" t="s">
        <v>98</v>
      </c>
      <c r="I46" s="180" t="s">
        <v>129</v>
      </c>
      <c r="J46" s="180" t="s">
        <v>130</v>
      </c>
      <c r="K46" s="199" t="s">
        <v>101</v>
      </c>
      <c r="L46" s="269"/>
      <c r="M46" s="274"/>
      <c r="N46" s="90"/>
    </row>
    <row r="47" spans="2:14" s="16" customFormat="1" ht="46.2" customHeight="1" x14ac:dyDescent="0.3">
      <c r="B47" s="92" t="s">
        <v>94</v>
      </c>
      <c r="C47" s="180" t="s">
        <v>104</v>
      </c>
      <c r="D47" s="207"/>
      <c r="E47" s="184" t="s">
        <v>162</v>
      </c>
      <c r="F47" s="180"/>
      <c r="G47" s="206">
        <v>0</v>
      </c>
      <c r="H47" s="182" t="s">
        <v>98</v>
      </c>
      <c r="I47" s="180" t="s">
        <v>129</v>
      </c>
      <c r="J47" s="180" t="s">
        <v>130</v>
      </c>
      <c r="K47" s="199" t="s">
        <v>101</v>
      </c>
      <c r="L47" s="269"/>
      <c r="M47" s="274"/>
      <c r="N47" s="90"/>
    </row>
    <row r="48" spans="2:14" s="16" customFormat="1" x14ac:dyDescent="0.3">
      <c r="B48" s="90"/>
      <c r="C48" s="90"/>
      <c r="D48" s="90"/>
      <c r="E48" s="105"/>
      <c r="F48" s="164"/>
      <c r="G48" s="164"/>
      <c r="H48" s="174"/>
      <c r="I48" s="164"/>
      <c r="J48" s="164"/>
      <c r="K48" s="94"/>
      <c r="L48" s="94"/>
      <c r="M48" s="146"/>
      <c r="N48" s="90"/>
    </row>
    <row r="49" spans="1:158" s="25" customFormat="1" ht="28.8" x14ac:dyDescent="0.3">
      <c r="A49" s="16"/>
      <c r="B49" s="199" t="s">
        <v>85</v>
      </c>
      <c r="C49" s="199" t="s">
        <v>86</v>
      </c>
      <c r="D49" s="200">
        <v>410108</v>
      </c>
      <c r="E49" s="201" t="s">
        <v>163</v>
      </c>
      <c r="F49" s="186" t="s">
        <v>88</v>
      </c>
      <c r="G49" s="211">
        <f>AVERAGE(G50:G56)</f>
        <v>0.51980000000000004</v>
      </c>
      <c r="H49" s="186" t="s">
        <v>89</v>
      </c>
      <c r="I49" s="183" t="s">
        <v>90</v>
      </c>
      <c r="J49" s="183" t="s">
        <v>91</v>
      </c>
      <c r="K49" s="199" t="s">
        <v>92</v>
      </c>
      <c r="L49" s="204">
        <f>+'POAI GENERAL '!AB19</f>
        <v>22400835427.560001</v>
      </c>
      <c r="M49" s="183" t="s">
        <v>93</v>
      </c>
      <c r="N49" s="124"/>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row>
    <row r="50" spans="1:158" s="25" customFormat="1" ht="49.95" customHeight="1" x14ac:dyDescent="0.3">
      <c r="A50" s="16"/>
      <c r="B50" s="92" t="s">
        <v>94</v>
      </c>
      <c r="C50" s="180" t="s">
        <v>109</v>
      </c>
      <c r="D50" s="203">
        <v>25</v>
      </c>
      <c r="E50" s="212" t="s">
        <v>164</v>
      </c>
      <c r="F50" s="213" t="s">
        <v>97</v>
      </c>
      <c r="G50" s="208">
        <v>1</v>
      </c>
      <c r="H50" s="214" t="s">
        <v>118</v>
      </c>
      <c r="I50" s="180" t="s">
        <v>165</v>
      </c>
      <c r="J50" s="180" t="s">
        <v>130</v>
      </c>
      <c r="K50" s="199" t="s">
        <v>101</v>
      </c>
      <c r="L50" s="205">
        <v>65991435</v>
      </c>
      <c r="M50" s="184"/>
      <c r="N50" s="98"/>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row>
    <row r="51" spans="1:158" s="25" customFormat="1" ht="136.94999999999999" customHeight="1" x14ac:dyDescent="0.3">
      <c r="A51" s="16"/>
      <c r="B51" s="92" t="s">
        <v>94</v>
      </c>
      <c r="C51" s="180" t="s">
        <v>109</v>
      </c>
      <c r="D51" s="203">
        <v>26</v>
      </c>
      <c r="E51" s="212" t="s">
        <v>166</v>
      </c>
      <c r="F51" s="213" t="s">
        <v>97</v>
      </c>
      <c r="G51" s="210">
        <v>0.99970000000000003</v>
      </c>
      <c r="H51" s="214" t="s">
        <v>98</v>
      </c>
      <c r="I51" s="180" t="s">
        <v>165</v>
      </c>
      <c r="J51" s="180" t="s">
        <v>130</v>
      </c>
      <c r="K51" s="199" t="s">
        <v>101</v>
      </c>
      <c r="L51" s="205">
        <v>234421382</v>
      </c>
      <c r="M51" s="184"/>
      <c r="N51" s="90"/>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row>
    <row r="52" spans="1:158" s="25" customFormat="1" ht="52.95" customHeight="1" x14ac:dyDescent="0.3">
      <c r="A52" s="16"/>
      <c r="B52" s="92" t="s">
        <v>94</v>
      </c>
      <c r="C52" s="180" t="s">
        <v>109</v>
      </c>
      <c r="D52" s="203">
        <v>31</v>
      </c>
      <c r="E52" s="212" t="s">
        <v>167</v>
      </c>
      <c r="F52" s="213" t="s">
        <v>97</v>
      </c>
      <c r="G52" s="181">
        <v>0.67400000000000004</v>
      </c>
      <c r="H52" s="214" t="s">
        <v>98</v>
      </c>
      <c r="I52" s="180" t="s">
        <v>165</v>
      </c>
      <c r="J52" s="180" t="s">
        <v>130</v>
      </c>
      <c r="K52" s="199" t="s">
        <v>101</v>
      </c>
      <c r="L52" s="205">
        <v>159947107</v>
      </c>
      <c r="M52" s="184"/>
      <c r="N52" s="90"/>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row>
    <row r="53" spans="1:158" s="25" customFormat="1" ht="108" customHeight="1" x14ac:dyDescent="0.3">
      <c r="A53" s="16"/>
      <c r="B53" s="92" t="s">
        <v>94</v>
      </c>
      <c r="C53" s="180" t="s">
        <v>109</v>
      </c>
      <c r="D53" s="203">
        <v>32</v>
      </c>
      <c r="E53" s="212" t="s">
        <v>168</v>
      </c>
      <c r="F53" s="213" t="s">
        <v>97</v>
      </c>
      <c r="G53" s="210">
        <v>0.96489999999999998</v>
      </c>
      <c r="H53" s="214" t="s">
        <v>98</v>
      </c>
      <c r="I53" s="180" t="s">
        <v>165</v>
      </c>
      <c r="J53" s="180" t="s">
        <v>130</v>
      </c>
      <c r="K53" s="199" t="s">
        <v>101</v>
      </c>
      <c r="L53" s="205">
        <v>420999956</v>
      </c>
      <c r="M53" s="184" t="s">
        <v>169</v>
      </c>
      <c r="N53" s="90"/>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row>
    <row r="54" spans="1:158" s="25" customFormat="1" ht="60" customHeight="1" x14ac:dyDescent="0.3">
      <c r="A54" s="16"/>
      <c r="B54" s="92" t="s">
        <v>94</v>
      </c>
      <c r="C54" s="180" t="s">
        <v>109</v>
      </c>
      <c r="D54" s="207">
        <v>48</v>
      </c>
      <c r="E54" s="212" t="s">
        <v>170</v>
      </c>
      <c r="F54" s="213" t="s">
        <v>97</v>
      </c>
      <c r="G54" s="206">
        <v>0</v>
      </c>
      <c r="H54" s="214" t="s">
        <v>122</v>
      </c>
      <c r="I54" s="180" t="s">
        <v>165</v>
      </c>
      <c r="J54" s="180" t="s">
        <v>130</v>
      </c>
      <c r="K54" s="199" t="s">
        <v>101</v>
      </c>
      <c r="L54" s="205">
        <f>21104158952+27886968.5</f>
        <v>21132045920.5</v>
      </c>
      <c r="M54" s="184" t="s">
        <v>171</v>
      </c>
      <c r="N54" s="90"/>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row>
    <row r="55" spans="1:158" s="25" customFormat="1" ht="136.94999999999999" customHeight="1" x14ac:dyDescent="0.3">
      <c r="A55" s="16"/>
      <c r="B55" s="92" t="s">
        <v>94</v>
      </c>
      <c r="C55" s="295" t="s">
        <v>109</v>
      </c>
      <c r="D55" s="207">
        <v>49</v>
      </c>
      <c r="E55" s="212" t="s">
        <v>172</v>
      </c>
      <c r="F55" s="213" t="s">
        <v>97</v>
      </c>
      <c r="G55" s="206">
        <v>0</v>
      </c>
      <c r="H55" s="214" t="s">
        <v>118</v>
      </c>
      <c r="I55" s="180" t="s">
        <v>173</v>
      </c>
      <c r="J55" s="180" t="s">
        <v>130</v>
      </c>
      <c r="K55" s="199" t="s">
        <v>101</v>
      </c>
      <c r="L55" s="205">
        <v>187429627.06</v>
      </c>
      <c r="M55" s="184" t="s">
        <v>174</v>
      </c>
      <c r="N55" s="90"/>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row>
    <row r="56" spans="1:158" s="25" customFormat="1" ht="63.6" customHeight="1" x14ac:dyDescent="0.3">
      <c r="A56" s="16"/>
      <c r="B56" s="92" t="s">
        <v>94</v>
      </c>
      <c r="C56" s="295" t="s">
        <v>109</v>
      </c>
      <c r="D56" s="207"/>
      <c r="E56" s="212" t="s">
        <v>175</v>
      </c>
      <c r="F56" s="213" t="s">
        <v>97</v>
      </c>
      <c r="G56" s="206">
        <v>0</v>
      </c>
      <c r="H56" s="214" t="s">
        <v>98</v>
      </c>
      <c r="I56" s="180" t="s">
        <v>176</v>
      </c>
      <c r="J56" s="180" t="s">
        <v>130</v>
      </c>
      <c r="K56" s="199" t="s">
        <v>101</v>
      </c>
      <c r="L56" s="205">
        <v>200000000</v>
      </c>
      <c r="M56" s="184"/>
      <c r="N56" s="90"/>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row>
    <row r="57" spans="1:158" s="16" customFormat="1" x14ac:dyDescent="0.3">
      <c r="B57" s="90"/>
      <c r="C57" s="90"/>
      <c r="D57" s="90"/>
      <c r="E57" s="105"/>
      <c r="F57" s="164"/>
      <c r="G57" s="164"/>
      <c r="H57" s="174"/>
      <c r="I57" s="164"/>
      <c r="J57" s="164"/>
      <c r="K57" s="94"/>
      <c r="L57" s="94"/>
      <c r="M57" s="146"/>
      <c r="N57" s="90"/>
    </row>
    <row r="58" spans="1:158" s="25" customFormat="1" ht="28.8" x14ac:dyDescent="0.3">
      <c r="A58" s="16"/>
      <c r="B58" s="199" t="s">
        <v>85</v>
      </c>
      <c r="C58" s="199" t="s">
        <v>86</v>
      </c>
      <c r="D58" s="200">
        <v>410109</v>
      </c>
      <c r="E58" s="201" t="s">
        <v>177</v>
      </c>
      <c r="F58" s="186" t="s">
        <v>88</v>
      </c>
      <c r="G58" s="202">
        <f>AVERAGE(G59:G63)</f>
        <v>0.56413999999999997</v>
      </c>
      <c r="H58" s="186" t="s">
        <v>89</v>
      </c>
      <c r="I58" s="183" t="s">
        <v>90</v>
      </c>
      <c r="J58" s="183" t="s">
        <v>91</v>
      </c>
      <c r="K58" s="199" t="s">
        <v>92</v>
      </c>
      <c r="L58" s="204">
        <f>+'POAI GENERAL '!AB20</f>
        <v>7121471338.4400005</v>
      </c>
      <c r="M58" s="183" t="s">
        <v>93</v>
      </c>
      <c r="N58" s="98"/>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row>
    <row r="59" spans="1:158" s="25" customFormat="1" ht="72.599999999999994" customHeight="1" x14ac:dyDescent="0.3">
      <c r="A59" s="16"/>
      <c r="B59" s="92" t="s">
        <v>94</v>
      </c>
      <c r="C59" s="180" t="s">
        <v>109</v>
      </c>
      <c r="D59" s="203">
        <v>1</v>
      </c>
      <c r="E59" s="184" t="s">
        <v>178</v>
      </c>
      <c r="F59" s="180" t="s">
        <v>97</v>
      </c>
      <c r="G59" s="210">
        <v>0.98660000000000003</v>
      </c>
      <c r="H59" s="214" t="s">
        <v>98</v>
      </c>
      <c r="I59" s="180" t="s">
        <v>179</v>
      </c>
      <c r="J59" s="180" t="s">
        <v>100</v>
      </c>
      <c r="K59" s="199" t="s">
        <v>101</v>
      </c>
      <c r="L59" s="205">
        <v>952805667</v>
      </c>
      <c r="M59" s="266"/>
      <c r="N59" s="98"/>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row>
    <row r="60" spans="1:158" s="15" customFormat="1" ht="44.4" customHeight="1" x14ac:dyDescent="0.3">
      <c r="B60" s="92" t="s">
        <v>94</v>
      </c>
      <c r="C60" s="180" t="s">
        <v>109</v>
      </c>
      <c r="D60" s="203">
        <v>7</v>
      </c>
      <c r="E60" s="184" t="s">
        <v>180</v>
      </c>
      <c r="F60" s="180" t="s">
        <v>97</v>
      </c>
      <c r="G60" s="210">
        <v>0.83450000000000002</v>
      </c>
      <c r="H60" s="214" t="s">
        <v>98</v>
      </c>
      <c r="I60" s="180" t="s">
        <v>179</v>
      </c>
      <c r="J60" s="180" t="s">
        <v>100</v>
      </c>
      <c r="K60" s="199" t="s">
        <v>101</v>
      </c>
      <c r="L60" s="205">
        <v>616464434</v>
      </c>
      <c r="M60" s="266"/>
      <c r="N60" s="125"/>
    </row>
    <row r="61" spans="1:158" s="15" customFormat="1" ht="44.4" customHeight="1" x14ac:dyDescent="0.3">
      <c r="B61" s="92" t="s">
        <v>94</v>
      </c>
      <c r="C61" s="180" t="s">
        <v>109</v>
      </c>
      <c r="D61" s="203">
        <v>34</v>
      </c>
      <c r="E61" s="184" t="s">
        <v>181</v>
      </c>
      <c r="F61" s="180" t="s">
        <v>97</v>
      </c>
      <c r="G61" s="210">
        <v>0.99960000000000004</v>
      </c>
      <c r="H61" s="214" t="s">
        <v>98</v>
      </c>
      <c r="I61" s="180" t="s">
        <v>179</v>
      </c>
      <c r="J61" s="180" t="s">
        <v>100</v>
      </c>
      <c r="K61" s="199" t="s">
        <v>101</v>
      </c>
      <c r="L61" s="205">
        <v>3465890652</v>
      </c>
      <c r="M61" s="184"/>
      <c r="N61" s="91"/>
    </row>
    <row r="62" spans="1:158" s="15" customFormat="1" ht="44.4" customHeight="1" x14ac:dyDescent="0.3">
      <c r="B62" s="92" t="s">
        <v>94</v>
      </c>
      <c r="C62" s="180" t="s">
        <v>109</v>
      </c>
      <c r="D62" s="203">
        <v>40</v>
      </c>
      <c r="E62" s="184" t="s">
        <v>182</v>
      </c>
      <c r="F62" s="215" t="s">
        <v>97</v>
      </c>
      <c r="G62" s="206">
        <v>0</v>
      </c>
      <c r="H62" s="214" t="s">
        <v>98</v>
      </c>
      <c r="I62" s="180" t="s">
        <v>179</v>
      </c>
      <c r="J62" s="180" t="s">
        <v>100</v>
      </c>
      <c r="K62" s="199" t="s">
        <v>101</v>
      </c>
      <c r="L62" s="205">
        <v>910482154.01000023</v>
      </c>
      <c r="M62" s="267" t="s">
        <v>183</v>
      </c>
      <c r="N62" s="91"/>
    </row>
    <row r="63" spans="1:158" s="15" customFormat="1" ht="44.4" customHeight="1" x14ac:dyDescent="0.3">
      <c r="B63" s="92" t="s">
        <v>94</v>
      </c>
      <c r="C63" s="180" t="s">
        <v>109</v>
      </c>
      <c r="D63" s="207">
        <v>68</v>
      </c>
      <c r="E63" s="184" t="s">
        <v>184</v>
      </c>
      <c r="F63" s="180" t="s">
        <v>97</v>
      </c>
      <c r="G63" s="206">
        <v>0</v>
      </c>
      <c r="H63" s="182" t="s">
        <v>128</v>
      </c>
      <c r="I63" s="180" t="s">
        <v>185</v>
      </c>
      <c r="J63" s="180" t="s">
        <v>100</v>
      </c>
      <c r="K63" s="199" t="s">
        <v>101</v>
      </c>
      <c r="L63" s="205">
        <v>1175828431.4300001</v>
      </c>
      <c r="M63" s="184"/>
      <c r="N63" s="91"/>
    </row>
    <row r="64" spans="1:158" s="17" customFormat="1" x14ac:dyDescent="0.3">
      <c r="B64" s="95"/>
      <c r="C64" s="95"/>
      <c r="D64" s="95"/>
      <c r="E64" s="106"/>
      <c r="F64" s="165"/>
      <c r="G64" s="165"/>
      <c r="H64" s="173"/>
      <c r="I64" s="165"/>
      <c r="J64" s="165"/>
      <c r="K64" s="95"/>
      <c r="L64" s="95"/>
      <c r="M64" s="144"/>
      <c r="N64" s="95"/>
    </row>
    <row r="65" spans="2:14" s="17" customFormat="1" ht="19.2" x14ac:dyDescent="0.3">
      <c r="B65" s="199" t="s">
        <v>85</v>
      </c>
      <c r="C65" s="199" t="s">
        <v>86</v>
      </c>
      <c r="D65" s="296">
        <v>410110</v>
      </c>
      <c r="E65" s="297" t="s">
        <v>186</v>
      </c>
      <c r="F65" s="186" t="s">
        <v>88</v>
      </c>
      <c r="G65" s="202">
        <f>AVERAGE(G66:G67)</f>
        <v>0.76340000000000008</v>
      </c>
      <c r="H65" s="186" t="s">
        <v>89</v>
      </c>
      <c r="I65" s="298"/>
      <c r="J65" s="298"/>
      <c r="K65" s="299" t="s">
        <v>92</v>
      </c>
      <c r="L65" s="300">
        <f>+'POAI GENERAL '!AB21</f>
        <v>2046033594.27</v>
      </c>
      <c r="M65" s="183" t="s">
        <v>93</v>
      </c>
      <c r="N65" s="128"/>
    </row>
    <row r="66" spans="2:14" s="17" customFormat="1" ht="64.95" customHeight="1" x14ac:dyDescent="0.3">
      <c r="B66" s="92" t="s">
        <v>94</v>
      </c>
      <c r="C66" s="180" t="s">
        <v>187</v>
      </c>
      <c r="D66" s="203">
        <v>4</v>
      </c>
      <c r="E66" s="184" t="s">
        <v>188</v>
      </c>
      <c r="F66" s="180" t="s">
        <v>97</v>
      </c>
      <c r="G66" s="210">
        <v>0.87990000000000002</v>
      </c>
      <c r="H66" s="214" t="s">
        <v>98</v>
      </c>
      <c r="I66" s="180" t="s">
        <v>189</v>
      </c>
      <c r="J66" s="180" t="s">
        <v>100</v>
      </c>
      <c r="K66" s="199" t="s">
        <v>101</v>
      </c>
      <c r="L66" s="205">
        <f>779999980+120484429.27</f>
        <v>900484409.26999998</v>
      </c>
      <c r="M66" s="205"/>
      <c r="N66" s="99"/>
    </row>
    <row r="67" spans="2:14" s="17" customFormat="1" ht="78" customHeight="1" x14ac:dyDescent="0.3">
      <c r="B67" s="92" t="s">
        <v>94</v>
      </c>
      <c r="C67" s="180" t="s">
        <v>187</v>
      </c>
      <c r="D67" s="203">
        <v>8</v>
      </c>
      <c r="E67" s="184" t="s">
        <v>190</v>
      </c>
      <c r="F67" s="180" t="s">
        <v>97</v>
      </c>
      <c r="G67" s="181">
        <v>0.64690000000000003</v>
      </c>
      <c r="H67" s="214" t="s">
        <v>98</v>
      </c>
      <c r="I67" s="180" t="s">
        <v>189</v>
      </c>
      <c r="J67" s="180" t="s">
        <v>100</v>
      </c>
      <c r="K67" s="199" t="s">
        <v>101</v>
      </c>
      <c r="L67" s="205">
        <v>1145549185</v>
      </c>
      <c r="M67" s="265"/>
      <c r="N67" s="99"/>
    </row>
    <row r="68" spans="2:14" s="20" customFormat="1" x14ac:dyDescent="0.3">
      <c r="B68" s="96"/>
      <c r="C68" s="96"/>
      <c r="D68" s="96"/>
      <c r="E68" s="107"/>
      <c r="F68" s="166"/>
      <c r="G68" s="166"/>
      <c r="H68" s="174"/>
      <c r="I68" s="166"/>
      <c r="J68" s="166"/>
      <c r="K68" s="96"/>
      <c r="L68" s="96"/>
      <c r="M68" s="147"/>
      <c r="N68" s="96"/>
    </row>
    <row r="69" spans="2:14" s="20" customFormat="1" ht="28.8" x14ac:dyDescent="0.3">
      <c r="B69" s="199" t="s">
        <v>85</v>
      </c>
      <c r="C69" s="199" t="s">
        <v>86</v>
      </c>
      <c r="D69" s="296">
        <v>410111</v>
      </c>
      <c r="E69" s="201" t="s">
        <v>191</v>
      </c>
      <c r="F69" s="186" t="s">
        <v>88</v>
      </c>
      <c r="G69" s="202">
        <f>AVERAGE(G70)</f>
        <v>0.96789999999999998</v>
      </c>
      <c r="H69" s="186" t="s">
        <v>89</v>
      </c>
      <c r="I69" s="183" t="s">
        <v>90</v>
      </c>
      <c r="J69" s="183" t="s">
        <v>91</v>
      </c>
      <c r="K69" s="199" t="s">
        <v>92</v>
      </c>
      <c r="L69" s="300">
        <f>+'POAI GENERAL '!AB22</f>
        <v>123960000</v>
      </c>
      <c r="M69" s="183" t="s">
        <v>93</v>
      </c>
      <c r="N69" s="96"/>
    </row>
    <row r="70" spans="2:14" s="26" customFormat="1" ht="49.2" customHeight="1" x14ac:dyDescent="0.3">
      <c r="B70" s="92" t="s">
        <v>94</v>
      </c>
      <c r="C70" s="180" t="s">
        <v>109</v>
      </c>
      <c r="D70" s="203">
        <v>19</v>
      </c>
      <c r="E70" s="184" t="s">
        <v>191</v>
      </c>
      <c r="F70" s="180" t="s">
        <v>97</v>
      </c>
      <c r="G70" s="210">
        <v>0.96789999999999998</v>
      </c>
      <c r="H70" s="214" t="s">
        <v>98</v>
      </c>
      <c r="I70" s="180" t="s">
        <v>192</v>
      </c>
      <c r="J70" s="180" t="s">
        <v>100</v>
      </c>
      <c r="K70" s="199" t="s">
        <v>101</v>
      </c>
      <c r="L70" s="205">
        <v>123960000</v>
      </c>
      <c r="M70" s="184"/>
      <c r="N70" s="97"/>
    </row>
    <row r="71" spans="2:14" s="20" customFormat="1" x14ac:dyDescent="0.3">
      <c r="B71" s="96"/>
      <c r="C71" s="96"/>
      <c r="D71" s="96"/>
      <c r="E71" s="107"/>
      <c r="F71" s="166"/>
      <c r="G71" s="166"/>
      <c r="H71" s="174"/>
      <c r="I71" s="166"/>
      <c r="J71" s="166"/>
      <c r="K71" s="96"/>
      <c r="L71" s="96"/>
      <c r="M71" s="147"/>
      <c r="N71" s="96"/>
    </row>
    <row r="72" spans="2:14" s="27" customFormat="1" ht="28.8" x14ac:dyDescent="0.3">
      <c r="B72" s="199" t="s">
        <v>85</v>
      </c>
      <c r="C72" s="199" t="s">
        <v>86</v>
      </c>
      <c r="D72" s="200">
        <v>410112</v>
      </c>
      <c r="E72" s="201" t="s">
        <v>193</v>
      </c>
      <c r="F72" s="186" t="s">
        <v>88</v>
      </c>
      <c r="G72" s="202">
        <f>AVERAGE(G73)</f>
        <v>0.79320000000000002</v>
      </c>
      <c r="H72" s="186" t="s">
        <v>89</v>
      </c>
      <c r="I72" s="183" t="s">
        <v>90</v>
      </c>
      <c r="J72" s="183" t="s">
        <v>91</v>
      </c>
      <c r="K72" s="199" t="s">
        <v>92</v>
      </c>
      <c r="L72" s="204">
        <f>+'POAI GENERAL '!AB23</f>
        <v>123960000</v>
      </c>
      <c r="M72" s="183" t="s">
        <v>93</v>
      </c>
      <c r="N72" s="126"/>
    </row>
    <row r="73" spans="2:14" s="27" customFormat="1" ht="36" customHeight="1" x14ac:dyDescent="0.3">
      <c r="B73" s="92" t="s">
        <v>94</v>
      </c>
      <c r="C73" s="180" t="s">
        <v>104</v>
      </c>
      <c r="D73" s="203">
        <v>9</v>
      </c>
      <c r="E73" s="184" t="s">
        <v>193</v>
      </c>
      <c r="F73" s="180" t="s">
        <v>152</v>
      </c>
      <c r="G73" s="181">
        <v>0.79320000000000002</v>
      </c>
      <c r="H73" s="214" t="s">
        <v>98</v>
      </c>
      <c r="I73" s="180" t="s">
        <v>106</v>
      </c>
      <c r="J73" s="180" t="s">
        <v>100</v>
      </c>
      <c r="K73" s="199" t="s">
        <v>101</v>
      </c>
      <c r="L73" s="205">
        <v>123960000</v>
      </c>
      <c r="M73" s="184"/>
      <c r="N73" s="126"/>
    </row>
    <row r="74" spans="2:14" s="20" customFormat="1" x14ac:dyDescent="0.3">
      <c r="E74" s="108"/>
      <c r="F74" s="167"/>
      <c r="G74" s="166"/>
      <c r="H74" s="174"/>
      <c r="I74" s="167"/>
      <c r="J74" s="167"/>
      <c r="M74" s="147"/>
      <c r="N74" s="96"/>
    </row>
    <row r="75" spans="2:14" s="17" customFormat="1" ht="28.8" x14ac:dyDescent="0.3">
      <c r="B75" s="199" t="s">
        <v>85</v>
      </c>
      <c r="C75" s="199" t="s">
        <v>86</v>
      </c>
      <c r="D75" s="200">
        <v>410113</v>
      </c>
      <c r="E75" s="201" t="s">
        <v>194</v>
      </c>
      <c r="F75" s="186" t="s">
        <v>88</v>
      </c>
      <c r="G75" s="202">
        <f>AVERAGE(G76)</f>
        <v>0.90720000000000001</v>
      </c>
      <c r="H75" s="186" t="s">
        <v>89</v>
      </c>
      <c r="I75" s="183" t="s">
        <v>90</v>
      </c>
      <c r="J75" s="183" t="s">
        <v>91</v>
      </c>
      <c r="K75" s="199" t="s">
        <v>92</v>
      </c>
      <c r="L75" s="216">
        <f>+'POAI GENERAL '!AB24</f>
        <v>154950000</v>
      </c>
      <c r="M75" s="183" t="s">
        <v>93</v>
      </c>
      <c r="N75" s="95"/>
    </row>
    <row r="76" spans="2:14" s="17" customFormat="1" ht="64.2" customHeight="1" x14ac:dyDescent="0.3">
      <c r="B76" s="92" t="s">
        <v>94</v>
      </c>
      <c r="C76" s="180" t="s">
        <v>109</v>
      </c>
      <c r="D76" s="203">
        <v>28</v>
      </c>
      <c r="E76" s="184" t="s">
        <v>195</v>
      </c>
      <c r="F76" s="180" t="s">
        <v>97</v>
      </c>
      <c r="G76" s="210">
        <v>0.90720000000000001</v>
      </c>
      <c r="H76" s="214" t="s">
        <v>98</v>
      </c>
      <c r="I76" s="180" t="s">
        <v>196</v>
      </c>
      <c r="J76" s="180" t="s">
        <v>100</v>
      </c>
      <c r="K76" s="199" t="s">
        <v>101</v>
      </c>
      <c r="L76" s="205">
        <v>154950000</v>
      </c>
      <c r="M76" s="266"/>
      <c r="N76" s="99"/>
    </row>
    <row r="77" spans="2:14" s="17" customFormat="1" x14ac:dyDescent="0.3">
      <c r="D77" s="95"/>
      <c r="E77" s="106"/>
      <c r="F77" s="165"/>
      <c r="G77" s="165"/>
      <c r="H77" s="173"/>
      <c r="I77" s="165"/>
      <c r="J77" s="165"/>
      <c r="K77" s="95"/>
      <c r="L77" s="95"/>
      <c r="M77" s="144"/>
      <c r="N77" s="95"/>
    </row>
    <row r="78" spans="2:14" s="17" customFormat="1" ht="28.8" x14ac:dyDescent="0.3">
      <c r="B78" s="199" t="s">
        <v>85</v>
      </c>
      <c r="C78" s="199" t="s">
        <v>86</v>
      </c>
      <c r="D78" s="200">
        <v>410114</v>
      </c>
      <c r="E78" s="201" t="s">
        <v>197</v>
      </c>
      <c r="F78" s="186" t="s">
        <v>88</v>
      </c>
      <c r="G78" s="202">
        <f>AVERAGE(G79:G80)</f>
        <v>0.48</v>
      </c>
      <c r="H78" s="186" t="s">
        <v>89</v>
      </c>
      <c r="I78" s="183" t="s">
        <v>90</v>
      </c>
      <c r="J78" s="183" t="s">
        <v>91</v>
      </c>
      <c r="K78" s="199" t="s">
        <v>85</v>
      </c>
      <c r="L78" s="217">
        <f>+'POAI GENERAL '!AB25</f>
        <v>959900000</v>
      </c>
      <c r="M78" s="183" t="s">
        <v>93</v>
      </c>
      <c r="N78" s="95"/>
    </row>
    <row r="79" spans="2:14" s="17" customFormat="1" ht="70.2" customHeight="1" x14ac:dyDescent="0.3">
      <c r="B79" s="92" t="s">
        <v>94</v>
      </c>
      <c r="C79" s="180" t="s">
        <v>109</v>
      </c>
      <c r="D79" s="203">
        <v>20</v>
      </c>
      <c r="E79" s="184" t="s">
        <v>197</v>
      </c>
      <c r="F79" s="180" t="s">
        <v>97</v>
      </c>
      <c r="G79" s="208">
        <v>0.96</v>
      </c>
      <c r="H79" s="214" t="s">
        <v>98</v>
      </c>
      <c r="I79" s="180" t="s">
        <v>198</v>
      </c>
      <c r="J79" s="180" t="s">
        <v>100</v>
      </c>
      <c r="K79" s="199" t="s">
        <v>101</v>
      </c>
      <c r="L79" s="205">
        <f>+'POAI GENERAL '!H25+'POAI GENERAL '!F25</f>
        <v>339900000</v>
      </c>
      <c r="M79" s="266"/>
      <c r="N79" s="95"/>
    </row>
    <row r="80" spans="2:14" s="17" customFormat="1" ht="68.400000000000006" customHeight="1" x14ac:dyDescent="0.3">
      <c r="B80" s="92" t="s">
        <v>94</v>
      </c>
      <c r="C80" s="180" t="s">
        <v>109</v>
      </c>
      <c r="D80" s="207">
        <v>66</v>
      </c>
      <c r="E80" s="184" t="s">
        <v>199</v>
      </c>
      <c r="F80" s="180" t="s">
        <v>97</v>
      </c>
      <c r="G80" s="206">
        <v>0</v>
      </c>
      <c r="H80" s="214" t="s">
        <v>98</v>
      </c>
      <c r="I80" s="180" t="s">
        <v>200</v>
      </c>
      <c r="J80" s="180" t="s">
        <v>100</v>
      </c>
      <c r="K80" s="199" t="s">
        <v>101</v>
      </c>
      <c r="L80" s="294">
        <v>620000000</v>
      </c>
      <c r="M80" s="184"/>
      <c r="N80" s="95"/>
    </row>
    <row r="81" spans="2:14" s="20" customFormat="1" x14ac:dyDescent="0.3">
      <c r="B81" s="96"/>
      <c r="C81" s="96"/>
      <c r="D81" s="96"/>
      <c r="E81" s="107"/>
      <c r="F81" s="166"/>
      <c r="G81" s="166"/>
      <c r="H81" s="174"/>
      <c r="I81" s="166"/>
      <c r="J81" s="166"/>
      <c r="K81" s="96"/>
      <c r="L81" s="96"/>
      <c r="M81" s="147"/>
      <c r="N81" s="96"/>
    </row>
    <row r="82" spans="2:14" s="26" customFormat="1" ht="28.8" x14ac:dyDescent="0.3">
      <c r="B82" s="199" t="s">
        <v>85</v>
      </c>
      <c r="C82" s="199" t="s">
        <v>86</v>
      </c>
      <c r="D82" s="200">
        <v>410115</v>
      </c>
      <c r="E82" s="201" t="s">
        <v>201</v>
      </c>
      <c r="F82" s="186" t="s">
        <v>88</v>
      </c>
      <c r="G82" s="202">
        <f>AVERAGE(G83:G84)</f>
        <v>0.80564999999999998</v>
      </c>
      <c r="H82" s="186" t="s">
        <v>89</v>
      </c>
      <c r="I82" s="183" t="s">
        <v>90</v>
      </c>
      <c r="J82" s="183" t="s">
        <v>91</v>
      </c>
      <c r="K82" s="199" t="s">
        <v>85</v>
      </c>
      <c r="L82" s="216">
        <f>+'POAI GENERAL '!AB24</f>
        <v>154950000</v>
      </c>
      <c r="M82" s="183" t="s">
        <v>93</v>
      </c>
      <c r="N82" s="129"/>
    </row>
    <row r="83" spans="2:14" s="26" customFormat="1" ht="76.95" customHeight="1" x14ac:dyDescent="0.3">
      <c r="B83" s="92" t="s">
        <v>94</v>
      </c>
      <c r="C83" s="180" t="s">
        <v>104</v>
      </c>
      <c r="D83" s="203">
        <v>22</v>
      </c>
      <c r="E83" s="184" t="s">
        <v>202</v>
      </c>
      <c r="F83" s="180" t="s">
        <v>97</v>
      </c>
      <c r="G83" s="181">
        <v>0.79669999999999996</v>
      </c>
      <c r="H83" s="214" t="s">
        <v>98</v>
      </c>
      <c r="I83" s="180" t="s">
        <v>196</v>
      </c>
      <c r="J83" s="180" t="s">
        <v>100</v>
      </c>
      <c r="K83" s="92" t="s">
        <v>94</v>
      </c>
      <c r="L83" s="205">
        <v>115750000</v>
      </c>
      <c r="M83" s="266"/>
      <c r="N83" s="127"/>
    </row>
    <row r="84" spans="2:14" s="26" customFormat="1" ht="44.4" customHeight="1" x14ac:dyDescent="0.3">
      <c r="B84" s="92" t="s">
        <v>94</v>
      </c>
      <c r="C84" s="180" t="s">
        <v>109</v>
      </c>
      <c r="D84" s="203">
        <v>56</v>
      </c>
      <c r="E84" s="184" t="s">
        <v>203</v>
      </c>
      <c r="F84" s="180" t="s">
        <v>97</v>
      </c>
      <c r="G84" s="210">
        <v>0.81459999999999999</v>
      </c>
      <c r="H84" s="214" t="s">
        <v>98</v>
      </c>
      <c r="I84" s="180" t="s">
        <v>196</v>
      </c>
      <c r="J84" s="180" t="s">
        <v>100</v>
      </c>
      <c r="K84" s="92" t="s">
        <v>94</v>
      </c>
      <c r="L84" s="205">
        <f>+L82-L83</f>
        <v>39200000</v>
      </c>
      <c r="M84" s="266"/>
      <c r="N84" s="97"/>
    </row>
    <row r="85" spans="2:14" s="26" customFormat="1" x14ac:dyDescent="0.3">
      <c r="B85" s="97"/>
      <c r="C85" s="97"/>
      <c r="D85" s="97"/>
      <c r="E85" s="109"/>
      <c r="F85" s="168"/>
      <c r="G85" s="168"/>
      <c r="H85" s="174"/>
      <c r="I85" s="168"/>
      <c r="J85" s="168"/>
      <c r="K85" s="97"/>
      <c r="L85" s="97"/>
      <c r="M85" s="148"/>
      <c r="N85" s="97"/>
    </row>
    <row r="86" spans="2:14" s="17" customFormat="1" ht="28.8" x14ac:dyDescent="0.3">
      <c r="B86" s="199" t="s">
        <v>85</v>
      </c>
      <c r="C86" s="199" t="s">
        <v>86</v>
      </c>
      <c r="D86" s="200">
        <v>410116</v>
      </c>
      <c r="E86" s="201" t="s">
        <v>204</v>
      </c>
      <c r="F86" s="186" t="s">
        <v>88</v>
      </c>
      <c r="G86" s="202">
        <f>AVERAGE(G87)</f>
        <v>0.63100000000000001</v>
      </c>
      <c r="H86" s="186" t="s">
        <v>89</v>
      </c>
      <c r="I86" s="183" t="s">
        <v>90</v>
      </c>
      <c r="J86" s="183" t="s">
        <v>91</v>
      </c>
      <c r="K86" s="199" t="s">
        <v>85</v>
      </c>
      <c r="L86" s="204">
        <f>+'POAI GENERAL '!AB27</f>
        <v>306600000</v>
      </c>
      <c r="M86" s="183" t="s">
        <v>93</v>
      </c>
      <c r="N86" s="95"/>
    </row>
    <row r="87" spans="2:14" s="17" customFormat="1" ht="55.2" customHeight="1" x14ac:dyDescent="0.3">
      <c r="B87" s="92" t="s">
        <v>94</v>
      </c>
      <c r="C87" s="180" t="s">
        <v>205</v>
      </c>
      <c r="D87" s="203">
        <v>21</v>
      </c>
      <c r="E87" s="184" t="s">
        <v>206</v>
      </c>
      <c r="F87" s="180"/>
      <c r="G87" s="181">
        <v>0.63100000000000001</v>
      </c>
      <c r="H87" s="214" t="s">
        <v>98</v>
      </c>
      <c r="I87" s="157" t="s">
        <v>207</v>
      </c>
      <c r="J87" s="180" t="s">
        <v>100</v>
      </c>
      <c r="K87" s="92" t="s">
        <v>94</v>
      </c>
      <c r="L87" s="205">
        <v>306600000</v>
      </c>
      <c r="M87" s="184"/>
      <c r="N87" s="95"/>
    </row>
    <row r="88" spans="2:14" s="20" customFormat="1" x14ac:dyDescent="0.3">
      <c r="B88" s="96"/>
      <c r="C88" s="96"/>
      <c r="D88" s="96"/>
      <c r="E88" s="107"/>
      <c r="F88" s="166"/>
      <c r="G88" s="166"/>
      <c r="H88" s="174"/>
      <c r="I88" s="166"/>
      <c r="J88" s="166"/>
      <c r="K88" s="96"/>
      <c r="L88" s="96"/>
      <c r="M88" s="147"/>
      <c r="N88" s="96"/>
    </row>
    <row r="89" spans="2:14" s="17" customFormat="1" ht="28.8" x14ac:dyDescent="0.3">
      <c r="B89" s="199" t="s">
        <v>85</v>
      </c>
      <c r="C89" s="199" t="s">
        <v>86</v>
      </c>
      <c r="D89" s="200">
        <v>410117</v>
      </c>
      <c r="E89" s="201" t="s">
        <v>208</v>
      </c>
      <c r="F89" s="186" t="s">
        <v>88</v>
      </c>
      <c r="G89" s="202">
        <f>AVERAGE(G90)</f>
        <v>1</v>
      </c>
      <c r="H89" s="186" t="s">
        <v>89</v>
      </c>
      <c r="I89" s="183" t="s">
        <v>90</v>
      </c>
      <c r="J89" s="183" t="s">
        <v>91</v>
      </c>
      <c r="K89" s="199" t="s">
        <v>85</v>
      </c>
      <c r="L89" s="204">
        <f>+'POAI GENERAL '!AB28</f>
        <v>206600000</v>
      </c>
      <c r="M89" s="183" t="s">
        <v>93</v>
      </c>
      <c r="N89" s="95"/>
    </row>
    <row r="90" spans="2:14" s="17" customFormat="1" ht="57" customHeight="1" x14ac:dyDescent="0.3">
      <c r="B90" s="92" t="s">
        <v>94</v>
      </c>
      <c r="C90" s="180" t="s">
        <v>95</v>
      </c>
      <c r="D90" s="203">
        <v>13</v>
      </c>
      <c r="E90" s="184" t="s">
        <v>209</v>
      </c>
      <c r="F90" s="180" t="s">
        <v>97</v>
      </c>
      <c r="G90" s="210">
        <v>1</v>
      </c>
      <c r="H90" s="214" t="s">
        <v>98</v>
      </c>
      <c r="I90" s="157" t="s">
        <v>210</v>
      </c>
      <c r="J90" s="180" t="s">
        <v>100</v>
      </c>
      <c r="K90" s="92" t="s">
        <v>94</v>
      </c>
      <c r="L90" s="205">
        <v>206600000</v>
      </c>
      <c r="M90" s="184"/>
      <c r="N90" s="95"/>
    </row>
    <row r="91" spans="2:14" s="20" customFormat="1" x14ac:dyDescent="0.3">
      <c r="B91" s="96"/>
      <c r="C91" s="96"/>
      <c r="D91" s="96"/>
      <c r="E91" s="107"/>
      <c r="F91" s="166"/>
      <c r="G91" s="166"/>
      <c r="H91" s="174"/>
      <c r="I91" s="166"/>
      <c r="J91" s="166"/>
      <c r="K91" s="96"/>
      <c r="L91" s="96"/>
      <c r="M91" s="147"/>
      <c r="N91" s="96"/>
    </row>
    <row r="92" spans="2:14" s="17" customFormat="1" ht="28.8" x14ac:dyDescent="0.3">
      <c r="B92" s="199" t="s">
        <v>85</v>
      </c>
      <c r="C92" s="199" t="s">
        <v>86</v>
      </c>
      <c r="D92" s="200">
        <v>410118</v>
      </c>
      <c r="E92" s="201" t="s">
        <v>211</v>
      </c>
      <c r="F92" s="186" t="s">
        <v>88</v>
      </c>
      <c r="G92" s="202">
        <f>AVERAGE(G93)</f>
        <v>0.47510000000000002</v>
      </c>
      <c r="H92" s="186" t="s">
        <v>89</v>
      </c>
      <c r="I92" s="183" t="s">
        <v>90</v>
      </c>
      <c r="J92" s="183" t="s">
        <v>91</v>
      </c>
      <c r="K92" s="199" t="s">
        <v>85</v>
      </c>
      <c r="L92" s="204">
        <f>+'POAI GENERAL '!AB29</f>
        <v>176550000</v>
      </c>
      <c r="M92" s="183" t="s">
        <v>93</v>
      </c>
      <c r="N92" s="95"/>
    </row>
    <row r="93" spans="2:14" s="17" customFormat="1" ht="46.2" customHeight="1" x14ac:dyDescent="0.3">
      <c r="B93" s="92" t="s">
        <v>94</v>
      </c>
      <c r="C93" s="180" t="s">
        <v>104</v>
      </c>
      <c r="D93" s="203">
        <v>39</v>
      </c>
      <c r="E93" s="218" t="s">
        <v>212</v>
      </c>
      <c r="F93" s="203" t="s">
        <v>97</v>
      </c>
      <c r="G93" s="181">
        <v>0.47510000000000002</v>
      </c>
      <c r="H93" s="214" t="s">
        <v>98</v>
      </c>
      <c r="I93" s="180" t="s">
        <v>99</v>
      </c>
      <c r="J93" s="180" t="s">
        <v>100</v>
      </c>
      <c r="K93" s="92" t="s">
        <v>94</v>
      </c>
      <c r="L93" s="205">
        <v>176550000</v>
      </c>
      <c r="M93" s="184"/>
      <c r="N93" s="95"/>
    </row>
    <row r="94" spans="2:14" s="20" customFormat="1" x14ac:dyDescent="0.3">
      <c r="B94" s="96"/>
      <c r="C94" s="96"/>
      <c r="D94" s="96"/>
      <c r="E94" s="107"/>
      <c r="F94" s="166"/>
      <c r="G94" s="166"/>
      <c r="H94" s="174"/>
      <c r="I94" s="166"/>
      <c r="J94" s="166"/>
      <c r="K94" s="96"/>
      <c r="L94" s="96"/>
      <c r="M94" s="147"/>
      <c r="N94" s="96"/>
    </row>
    <row r="95" spans="2:14" s="17" customFormat="1" ht="28.8" x14ac:dyDescent="0.3">
      <c r="B95" s="199" t="s">
        <v>85</v>
      </c>
      <c r="C95" s="199" t="s">
        <v>86</v>
      </c>
      <c r="D95" s="200">
        <v>410120</v>
      </c>
      <c r="E95" s="201" t="s">
        <v>213</v>
      </c>
      <c r="F95" s="186" t="s">
        <v>88</v>
      </c>
      <c r="G95" s="202">
        <f>AVERAGE(G96)</f>
        <v>0.81899999999999995</v>
      </c>
      <c r="H95" s="186" t="s">
        <v>89</v>
      </c>
      <c r="I95" s="183" t="s">
        <v>90</v>
      </c>
      <c r="J95" s="183" t="s">
        <v>91</v>
      </c>
      <c r="K95" s="199" t="s">
        <v>85</v>
      </c>
      <c r="L95" s="204">
        <f>+'POAI GENERAL '!AB30</f>
        <v>2138885401.8699999</v>
      </c>
      <c r="M95" s="183" t="s">
        <v>93</v>
      </c>
      <c r="N95" s="95"/>
    </row>
    <row r="96" spans="2:14" s="17" customFormat="1" ht="45" customHeight="1" x14ac:dyDescent="0.3">
      <c r="B96" s="92" t="s">
        <v>94</v>
      </c>
      <c r="C96" s="180" t="s">
        <v>187</v>
      </c>
      <c r="D96" s="203">
        <v>27</v>
      </c>
      <c r="E96" s="184" t="s">
        <v>214</v>
      </c>
      <c r="F96" s="180" t="s">
        <v>152</v>
      </c>
      <c r="G96" s="210">
        <v>0.81899999999999995</v>
      </c>
      <c r="H96" s="214" t="s">
        <v>98</v>
      </c>
      <c r="I96" s="180" t="s">
        <v>189</v>
      </c>
      <c r="J96" s="180" t="s">
        <v>100</v>
      </c>
      <c r="K96" s="92" t="s">
        <v>94</v>
      </c>
      <c r="L96" s="205">
        <v>2138885401.8699999</v>
      </c>
      <c r="M96" s="220">
        <f>2163624741-L96</f>
        <v>24739339.130000114</v>
      </c>
      <c r="N96" s="95"/>
    </row>
    <row r="97" spans="2:14" s="20" customFormat="1" x14ac:dyDescent="0.3">
      <c r="B97" s="96"/>
      <c r="C97" s="96"/>
      <c r="D97" s="96"/>
      <c r="E97" s="107"/>
      <c r="F97" s="166"/>
      <c r="G97" s="166"/>
      <c r="H97" s="174"/>
      <c r="I97" s="166"/>
      <c r="J97" s="166"/>
      <c r="K97" s="96"/>
      <c r="L97" s="96"/>
      <c r="M97" s="147"/>
      <c r="N97" s="96"/>
    </row>
    <row r="98" spans="2:14" s="17" customFormat="1" ht="28.8" x14ac:dyDescent="0.3">
      <c r="B98" s="199" t="s">
        <v>85</v>
      </c>
      <c r="C98" s="199" t="s">
        <v>86</v>
      </c>
      <c r="D98" s="200">
        <v>410122</v>
      </c>
      <c r="E98" s="201" t="s">
        <v>215</v>
      </c>
      <c r="F98" s="186" t="s">
        <v>88</v>
      </c>
      <c r="G98" s="202">
        <f>AVERAGE(G99)</f>
        <v>0.55169999999999997</v>
      </c>
      <c r="H98" s="186" t="s">
        <v>89</v>
      </c>
      <c r="I98" s="183" t="s">
        <v>90</v>
      </c>
      <c r="J98" s="183" t="s">
        <v>91</v>
      </c>
      <c r="K98" s="199" t="s">
        <v>85</v>
      </c>
      <c r="L98" s="204">
        <f>+'POAI GENERAL '!AB31</f>
        <v>350000000</v>
      </c>
      <c r="M98" s="183" t="s">
        <v>93</v>
      </c>
      <c r="N98" s="95"/>
    </row>
    <row r="99" spans="2:14" s="17" customFormat="1" ht="45" customHeight="1" x14ac:dyDescent="0.3">
      <c r="B99" s="92" t="s">
        <v>94</v>
      </c>
      <c r="C99" s="180" t="s">
        <v>95</v>
      </c>
      <c r="D99" s="203">
        <v>12</v>
      </c>
      <c r="E99" s="184" t="s">
        <v>216</v>
      </c>
      <c r="F99" s="203" t="s">
        <v>97</v>
      </c>
      <c r="G99" s="181">
        <v>0.55169999999999997</v>
      </c>
      <c r="H99" s="214" t="s">
        <v>98</v>
      </c>
      <c r="I99" s="180" t="s">
        <v>99</v>
      </c>
      <c r="J99" s="180" t="s">
        <v>100</v>
      </c>
      <c r="K99" s="92" t="s">
        <v>94</v>
      </c>
      <c r="L99" s="205">
        <v>350000000</v>
      </c>
      <c r="M99" s="184"/>
      <c r="N99" s="95"/>
    </row>
    <row r="100" spans="2:14" s="20" customFormat="1" x14ac:dyDescent="0.3">
      <c r="B100" s="96"/>
      <c r="C100" s="96"/>
      <c r="D100" s="96"/>
      <c r="E100" s="107"/>
      <c r="F100" s="166"/>
      <c r="G100" s="166"/>
      <c r="H100" s="174"/>
      <c r="I100" s="166"/>
      <c r="J100" s="166"/>
      <c r="K100" s="96"/>
      <c r="L100" s="96"/>
      <c r="M100" s="147"/>
      <c r="N100" s="96"/>
    </row>
    <row r="101" spans="2:14" s="26" customFormat="1" ht="28.8" x14ac:dyDescent="0.3">
      <c r="B101" s="299" t="s">
        <v>85</v>
      </c>
      <c r="C101" s="299" t="s">
        <v>86</v>
      </c>
      <c r="D101" s="296">
        <v>410123</v>
      </c>
      <c r="E101" s="297" t="s">
        <v>217</v>
      </c>
      <c r="F101" s="186" t="s">
        <v>88</v>
      </c>
      <c r="G101" s="202">
        <f>AVERAGE(G102:G103)</f>
        <v>0.4763</v>
      </c>
      <c r="H101" s="186" t="s">
        <v>89</v>
      </c>
      <c r="I101" s="183" t="s">
        <v>90</v>
      </c>
      <c r="J101" s="183" t="s">
        <v>91</v>
      </c>
      <c r="K101" s="299" t="s">
        <v>85</v>
      </c>
      <c r="L101" s="300">
        <f>+'POAI GENERAL '!AB32</f>
        <v>796600000</v>
      </c>
      <c r="M101" s="183" t="s">
        <v>93</v>
      </c>
      <c r="N101" s="97"/>
    </row>
    <row r="102" spans="2:14" s="26" customFormat="1" ht="45" customHeight="1" x14ac:dyDescent="0.3">
      <c r="B102" s="199" t="s">
        <v>94</v>
      </c>
      <c r="C102" s="180" t="s">
        <v>95</v>
      </c>
      <c r="D102" s="203">
        <v>10</v>
      </c>
      <c r="E102" s="218" t="s">
        <v>218</v>
      </c>
      <c r="F102" s="203" t="s">
        <v>97</v>
      </c>
      <c r="G102" s="221">
        <v>0.9526</v>
      </c>
      <c r="H102" s="214" t="s">
        <v>98</v>
      </c>
      <c r="I102" s="180" t="s">
        <v>219</v>
      </c>
      <c r="J102" s="180" t="s">
        <v>100</v>
      </c>
      <c r="K102" s="199" t="s">
        <v>94</v>
      </c>
      <c r="L102" s="294">
        <v>296600000</v>
      </c>
      <c r="M102" s="184"/>
      <c r="N102" s="97"/>
    </row>
    <row r="103" spans="2:14" s="26" customFormat="1" ht="90" customHeight="1" x14ac:dyDescent="0.3">
      <c r="B103" s="199" t="s">
        <v>94</v>
      </c>
      <c r="C103" s="180" t="s">
        <v>95</v>
      </c>
      <c r="D103" s="207">
        <v>67</v>
      </c>
      <c r="E103" s="184" t="s">
        <v>220</v>
      </c>
      <c r="F103" s="203" t="s">
        <v>97</v>
      </c>
      <c r="G103" s="219">
        <v>0</v>
      </c>
      <c r="H103" s="214" t="s">
        <v>98</v>
      </c>
      <c r="I103" s="180" t="s">
        <v>219</v>
      </c>
      <c r="J103" s="180" t="s">
        <v>100</v>
      </c>
      <c r="K103" s="199" t="s">
        <v>94</v>
      </c>
      <c r="L103" s="294">
        <v>500000000</v>
      </c>
      <c r="M103" s="184" t="s">
        <v>221</v>
      </c>
      <c r="N103" s="97"/>
    </row>
    <row r="104" spans="2:14" s="20" customFormat="1" x14ac:dyDescent="0.3">
      <c r="B104" s="96"/>
      <c r="C104" s="96"/>
      <c r="D104" s="96"/>
      <c r="E104" s="107"/>
      <c r="F104" s="166"/>
      <c r="G104" s="166"/>
      <c r="H104" s="174"/>
      <c r="I104" s="166"/>
      <c r="J104" s="166"/>
      <c r="K104" s="96"/>
      <c r="L104" s="96"/>
      <c r="M104" s="147"/>
      <c r="N104" s="96"/>
    </row>
    <row r="105" spans="2:14" s="26" customFormat="1" ht="28.8" x14ac:dyDescent="0.3">
      <c r="B105" s="199" t="s">
        <v>85</v>
      </c>
      <c r="C105" s="199" t="s">
        <v>86</v>
      </c>
      <c r="D105" s="200">
        <v>410124</v>
      </c>
      <c r="E105" s="201" t="s">
        <v>222</v>
      </c>
      <c r="F105" s="186" t="s">
        <v>88</v>
      </c>
      <c r="G105" s="202">
        <f>AVERAGE(G106)</f>
        <v>0.20519999999999999</v>
      </c>
      <c r="H105" s="186" t="s">
        <v>89</v>
      </c>
      <c r="I105" s="183" t="s">
        <v>90</v>
      </c>
      <c r="J105" s="183" t="s">
        <v>91</v>
      </c>
      <c r="K105" s="199" t="s">
        <v>85</v>
      </c>
      <c r="L105" s="204">
        <f>+'POAI GENERAL '!AB33</f>
        <v>103300000</v>
      </c>
      <c r="M105" s="183" t="s">
        <v>93</v>
      </c>
      <c r="N105" s="97"/>
    </row>
    <row r="106" spans="2:14" s="16" customFormat="1" ht="57.6" customHeight="1" x14ac:dyDescent="0.3">
      <c r="B106" s="92" t="s">
        <v>94</v>
      </c>
      <c r="C106" s="180" t="s">
        <v>187</v>
      </c>
      <c r="D106" s="203">
        <v>33</v>
      </c>
      <c r="E106" s="184" t="s">
        <v>223</v>
      </c>
      <c r="F106" s="203"/>
      <c r="G106" s="222">
        <v>0.20519999999999999</v>
      </c>
      <c r="H106" s="214" t="s">
        <v>98</v>
      </c>
      <c r="I106" s="157" t="s">
        <v>224</v>
      </c>
      <c r="J106" s="180" t="s">
        <v>100</v>
      </c>
      <c r="K106" s="92" t="s">
        <v>94</v>
      </c>
      <c r="L106" s="205">
        <v>103300000</v>
      </c>
      <c r="M106" s="266"/>
      <c r="N106" s="90"/>
    </row>
    <row r="107" spans="2:14" s="16" customFormat="1" x14ac:dyDescent="0.3">
      <c r="B107" s="28"/>
      <c r="C107" s="28"/>
      <c r="D107" s="29"/>
      <c r="E107" s="110"/>
      <c r="F107" s="169"/>
      <c r="G107" s="179"/>
      <c r="H107" s="174"/>
      <c r="I107" s="169"/>
      <c r="J107" s="169"/>
      <c r="K107" s="30"/>
      <c r="L107" s="30"/>
      <c r="M107" s="146"/>
      <c r="N107" s="90"/>
    </row>
    <row r="108" spans="2:14" ht="28.8" x14ac:dyDescent="0.3">
      <c r="B108" s="199" t="s">
        <v>85</v>
      </c>
      <c r="C108" s="199" t="s">
        <v>86</v>
      </c>
      <c r="D108" s="200">
        <v>410126</v>
      </c>
      <c r="E108" s="201" t="s">
        <v>225</v>
      </c>
      <c r="F108" s="186" t="s">
        <v>88</v>
      </c>
      <c r="G108" s="202">
        <f>AVERAGE(G109:G113)</f>
        <v>0</v>
      </c>
      <c r="H108" s="186" t="s">
        <v>89</v>
      </c>
      <c r="I108" s="183" t="s">
        <v>90</v>
      </c>
      <c r="J108" s="183" t="s">
        <v>91</v>
      </c>
      <c r="K108" s="199" t="s">
        <v>85</v>
      </c>
      <c r="L108" s="204">
        <f>+'POAI GENERAL '!AB34</f>
        <v>600987648.96000004</v>
      </c>
      <c r="M108" s="183" t="s">
        <v>93</v>
      </c>
    </row>
    <row r="109" spans="2:14" ht="48" customHeight="1" x14ac:dyDescent="0.3">
      <c r="B109" s="92" t="s">
        <v>94</v>
      </c>
      <c r="C109" s="180" t="s">
        <v>95</v>
      </c>
      <c r="D109" s="207">
        <v>54</v>
      </c>
      <c r="E109" s="184" t="s">
        <v>226</v>
      </c>
      <c r="F109" s="180"/>
      <c r="G109" s="219">
        <v>0</v>
      </c>
      <c r="H109" s="214" t="s">
        <v>98</v>
      </c>
      <c r="I109" s="180" t="s">
        <v>176</v>
      </c>
      <c r="J109" s="180" t="s">
        <v>130</v>
      </c>
      <c r="K109" s="92" t="s">
        <v>94</v>
      </c>
      <c r="L109" s="205">
        <f>132745061.45/2</f>
        <v>66372530.725000001</v>
      </c>
      <c r="M109" s="266"/>
      <c r="N109" s="275"/>
    </row>
    <row r="110" spans="2:14" ht="48" customHeight="1" x14ac:dyDescent="0.3">
      <c r="B110" s="92" t="s">
        <v>94</v>
      </c>
      <c r="C110" s="180" t="s">
        <v>95</v>
      </c>
      <c r="D110" s="207">
        <v>55</v>
      </c>
      <c r="E110" s="184" t="s">
        <v>227</v>
      </c>
      <c r="F110" s="203"/>
      <c r="G110" s="219">
        <v>0</v>
      </c>
      <c r="H110" s="214" t="s">
        <v>98</v>
      </c>
      <c r="I110" s="180" t="s">
        <v>176</v>
      </c>
      <c r="J110" s="180" t="s">
        <v>130</v>
      </c>
      <c r="K110" s="92" t="s">
        <v>94</v>
      </c>
      <c r="L110" s="205">
        <v>66372530.729999997</v>
      </c>
      <c r="M110" s="266"/>
    </row>
    <row r="111" spans="2:14" ht="139.19999999999999" customHeight="1" x14ac:dyDescent="0.3">
      <c r="B111" s="92" t="s">
        <v>94</v>
      </c>
      <c r="C111" s="180" t="s">
        <v>228</v>
      </c>
      <c r="D111" s="207">
        <v>57</v>
      </c>
      <c r="E111" s="184" t="s">
        <v>229</v>
      </c>
      <c r="F111" s="180"/>
      <c r="G111" s="219">
        <v>0</v>
      </c>
      <c r="H111" s="182" t="s">
        <v>128</v>
      </c>
      <c r="I111" s="180" t="s">
        <v>230</v>
      </c>
      <c r="J111" s="180" t="s">
        <v>130</v>
      </c>
      <c r="K111" s="92" t="s">
        <v>94</v>
      </c>
      <c r="L111" s="205">
        <v>330265352.49000001</v>
      </c>
      <c r="M111" s="266"/>
    </row>
    <row r="112" spans="2:14" ht="49.95" customHeight="1" x14ac:dyDescent="0.3">
      <c r="B112" s="92" t="s">
        <v>94</v>
      </c>
      <c r="C112" s="180" t="s">
        <v>95</v>
      </c>
      <c r="D112" s="207">
        <v>76</v>
      </c>
      <c r="E112" s="184" t="s">
        <v>231</v>
      </c>
      <c r="F112" s="180"/>
      <c r="G112" s="219">
        <v>0</v>
      </c>
      <c r="H112" s="214" t="s">
        <v>98</v>
      </c>
      <c r="I112" s="180" t="s">
        <v>232</v>
      </c>
      <c r="J112" s="180" t="s">
        <v>130</v>
      </c>
      <c r="K112" s="92" t="s">
        <v>94</v>
      </c>
      <c r="L112" s="205">
        <v>135909351.53</v>
      </c>
      <c r="M112" s="265"/>
    </row>
    <row r="113" spans="2:13" ht="47.4" customHeight="1" x14ac:dyDescent="0.3">
      <c r="B113" s="92" t="s">
        <v>94</v>
      </c>
      <c r="C113" s="180" t="s">
        <v>228</v>
      </c>
      <c r="D113" s="207">
        <v>75</v>
      </c>
      <c r="E113" s="184" t="s">
        <v>233</v>
      </c>
      <c r="F113" s="180"/>
      <c r="G113" s="219">
        <v>0</v>
      </c>
      <c r="H113" s="182" t="s">
        <v>118</v>
      </c>
      <c r="I113" s="180" t="s">
        <v>234</v>
      </c>
      <c r="J113" s="180" t="s">
        <v>130</v>
      </c>
      <c r="K113" s="92" t="s">
        <v>94</v>
      </c>
      <c r="L113" s="205">
        <v>2067883.49</v>
      </c>
      <c r="M113" s="184"/>
    </row>
  </sheetData>
  <sheetProtection algorithmName="SHA-512" hashValue="JN274lIKrt67wCw61K3Z762ic16mmj9syW0uVTP7gRiHynOpyiZPo9/nVFyNp8d3NqrP9XgpgGMsyrmswFro6A==" saltValue="ZRElnVkGhWNrpL3RkidvBA==" spinCount="100000" sheet="1" selectLockedCells="1" selectUnlockedCells="1"/>
  <autoFilter ref="A1:GC113" xr:uid="{00000000-0009-0000-0000-000002000000}"/>
  <mergeCells count="1">
    <mergeCell ref="B3:L3"/>
  </mergeCells>
  <printOptions horizontalCentered="1"/>
  <pageMargins left="0.23622047244094491" right="0.23622047244094491" top="0.74803149606299213" bottom="0.74803149606299213" header="0.31496062992125984" footer="0.31496062992125984"/>
  <pageSetup paperSize="121" scale="10" orientation="landscape" r:id="rId1"/>
  <rowBreaks count="2" manualBreakCount="2">
    <brk id="43" min="1" max="13" man="1"/>
    <brk id="49" min="1"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Y30"/>
  <sheetViews>
    <sheetView view="pageBreakPreview" zoomScale="80" zoomScaleNormal="90" zoomScaleSheetLayoutView="80" workbookViewId="0">
      <selection activeCell="K4" sqref="K1:K1048576"/>
    </sheetView>
  </sheetViews>
  <sheetFormatPr baseColWidth="10" defaultColWidth="21.33203125" defaultRowHeight="15.6" x14ac:dyDescent="0.3"/>
  <cols>
    <col min="1" max="1" width="3.88671875" style="2" customWidth="1"/>
    <col min="2" max="3" width="37.33203125" style="13" customWidth="1"/>
    <col min="4" max="4" width="18.88671875" style="7" customWidth="1"/>
    <col min="5" max="5" width="66.109375" style="19" customWidth="1"/>
    <col min="6" max="6" width="7.33203125" style="19" hidden="1" customWidth="1"/>
    <col min="7" max="7" width="13.33203125" style="19" hidden="1" customWidth="1"/>
    <col min="8" max="8" width="10.6640625" style="19" hidden="1" customWidth="1"/>
    <col min="9" max="9" width="24.6640625" style="11" customWidth="1"/>
    <col min="10" max="10" width="30.33203125" style="11" customWidth="1"/>
    <col min="11" max="11" width="39.88671875" style="133" hidden="1" customWidth="1"/>
    <col min="12" max="12" width="23.44140625" style="90" customWidth="1"/>
    <col min="13" max="13" width="21.33203125" style="2"/>
    <col min="14" max="14" width="27" style="2" customWidth="1"/>
    <col min="15" max="16384" width="21.33203125" style="2"/>
  </cols>
  <sheetData>
    <row r="1" spans="1:12" s="4" customFormat="1" x14ac:dyDescent="0.3">
      <c r="A1" s="4" t="s">
        <v>84</v>
      </c>
      <c r="B1" s="9"/>
      <c r="C1" s="9"/>
      <c r="D1" s="6"/>
      <c r="E1" s="14"/>
      <c r="F1" s="14"/>
      <c r="G1" s="14"/>
      <c r="H1" s="14"/>
      <c r="I1" s="9"/>
      <c r="J1" s="9"/>
      <c r="K1" s="130"/>
      <c r="L1" s="95"/>
    </row>
    <row r="2" spans="1:12" s="6" customFormat="1" x14ac:dyDescent="0.3">
      <c r="B2" s="34"/>
      <c r="C2" s="34"/>
      <c r="D2" s="34"/>
      <c r="E2" s="34"/>
      <c r="F2" s="111"/>
      <c r="G2" s="111"/>
      <c r="H2" s="111"/>
      <c r="I2" s="8"/>
      <c r="J2" s="8"/>
      <c r="K2" s="130"/>
      <c r="L2" s="95"/>
    </row>
    <row r="3" spans="1:12" s="117" customFormat="1" ht="33.6" x14ac:dyDescent="0.65">
      <c r="B3" s="376" t="s">
        <v>235</v>
      </c>
      <c r="C3" s="376"/>
      <c r="D3" s="376"/>
      <c r="E3" s="376"/>
      <c r="F3" s="376"/>
      <c r="G3" s="376"/>
      <c r="H3" s="376"/>
      <c r="I3" s="376"/>
      <c r="J3" s="376"/>
      <c r="K3" s="131"/>
      <c r="L3" s="134"/>
    </row>
    <row r="4" spans="1:12" s="4" customFormat="1" ht="24" customHeight="1" x14ac:dyDescent="0.3">
      <c r="B4" s="87"/>
      <c r="C4" s="87"/>
      <c r="D4" s="87"/>
      <c r="E4" s="87"/>
      <c r="F4" s="114"/>
      <c r="G4" s="114"/>
      <c r="H4" s="114"/>
      <c r="I4" s="87"/>
      <c r="J4" s="87"/>
      <c r="K4" s="130"/>
      <c r="L4" s="95"/>
    </row>
    <row r="5" spans="1:12" s="4" customFormat="1" x14ac:dyDescent="0.3">
      <c r="B5" s="9"/>
      <c r="C5" s="9"/>
      <c r="D5" s="6"/>
      <c r="E5" s="14"/>
      <c r="F5" s="14"/>
      <c r="G5" s="14"/>
      <c r="H5" s="14"/>
      <c r="I5" s="9"/>
      <c r="J5" s="9"/>
      <c r="K5" s="130"/>
      <c r="L5" s="95"/>
    </row>
    <row r="6" spans="1:12" s="15" customFormat="1" ht="19.2" x14ac:dyDescent="0.3">
      <c r="B6" s="199" t="s">
        <v>85</v>
      </c>
      <c r="C6" s="199" t="s">
        <v>86</v>
      </c>
      <c r="D6" s="200">
        <v>410103</v>
      </c>
      <c r="E6" s="223" t="s">
        <v>108</v>
      </c>
      <c r="F6" s="186" t="s">
        <v>88</v>
      </c>
      <c r="G6" s="187" t="s">
        <v>236</v>
      </c>
      <c r="H6" s="186" t="s">
        <v>89</v>
      </c>
      <c r="I6" s="199" t="s">
        <v>92</v>
      </c>
      <c r="J6" s="204">
        <f>+'POAI GENERAL '!AB40</f>
        <v>18897957.329999998</v>
      </c>
      <c r="K6" s="183" t="s">
        <v>93</v>
      </c>
      <c r="L6" s="91"/>
    </row>
    <row r="7" spans="1:12" s="15" customFormat="1" ht="55.2" customHeight="1" x14ac:dyDescent="0.3">
      <c r="B7" s="92" t="s">
        <v>94</v>
      </c>
      <c r="C7" s="180" t="s">
        <v>109</v>
      </c>
      <c r="D7" s="203">
        <v>30</v>
      </c>
      <c r="E7" s="184" t="s">
        <v>237</v>
      </c>
      <c r="F7" s="180" t="s">
        <v>97</v>
      </c>
      <c r="G7" s="181">
        <v>1</v>
      </c>
      <c r="H7" s="182" t="s">
        <v>238</v>
      </c>
      <c r="I7" s="199" t="s">
        <v>101</v>
      </c>
      <c r="J7" s="205">
        <v>6075000</v>
      </c>
      <c r="K7" s="184"/>
      <c r="L7" s="91"/>
    </row>
    <row r="8" spans="1:12" s="15" customFormat="1" ht="55.2" customHeight="1" x14ac:dyDescent="0.3">
      <c r="B8" s="92" t="s">
        <v>94</v>
      </c>
      <c r="C8" s="180" t="s">
        <v>109</v>
      </c>
      <c r="D8" s="203">
        <v>24</v>
      </c>
      <c r="E8" s="184" t="s">
        <v>110</v>
      </c>
      <c r="F8" s="180" t="s">
        <v>97</v>
      </c>
      <c r="G8" s="181">
        <v>0.7984</v>
      </c>
      <c r="H8" s="182" t="s">
        <v>98</v>
      </c>
      <c r="I8" s="199" t="s">
        <v>101</v>
      </c>
      <c r="J8" s="205">
        <f>+J6-J7</f>
        <v>12822957.329999998</v>
      </c>
      <c r="K8" s="184"/>
      <c r="L8" s="125"/>
    </row>
    <row r="9" spans="1:12" s="15" customFormat="1" ht="14.4" x14ac:dyDescent="0.3">
      <c r="B9" s="91"/>
      <c r="C9" s="91"/>
      <c r="D9" s="91"/>
      <c r="E9" s="91"/>
      <c r="F9" s="91"/>
      <c r="G9" s="91"/>
      <c r="H9" s="91"/>
      <c r="I9" s="91"/>
      <c r="J9" s="91"/>
      <c r="K9" s="185"/>
      <c r="L9" s="91"/>
    </row>
    <row r="10" spans="1:12" s="15" customFormat="1" ht="16.95" customHeight="1" x14ac:dyDescent="0.3">
      <c r="B10" s="199" t="s">
        <v>85</v>
      </c>
      <c r="C10" s="199" t="s">
        <v>86</v>
      </c>
      <c r="D10" s="200">
        <v>410104</v>
      </c>
      <c r="E10" s="223" t="s">
        <v>138</v>
      </c>
      <c r="F10" s="186" t="s">
        <v>88</v>
      </c>
      <c r="G10" s="187" t="s">
        <v>236</v>
      </c>
      <c r="H10" s="186" t="s">
        <v>89</v>
      </c>
      <c r="I10" s="199" t="s">
        <v>92</v>
      </c>
      <c r="J10" s="204">
        <f>+'POAI GENERAL '!AB41</f>
        <v>33224814.329999998</v>
      </c>
      <c r="K10" s="183" t="s">
        <v>93</v>
      </c>
      <c r="L10" s="91"/>
    </row>
    <row r="11" spans="1:12" s="15" customFormat="1" ht="50.4" customHeight="1" x14ac:dyDescent="0.3">
      <c r="A11" s="23"/>
      <c r="B11" s="92" t="s">
        <v>94</v>
      </c>
      <c r="C11" s="180" t="s">
        <v>109</v>
      </c>
      <c r="D11" s="203">
        <v>42</v>
      </c>
      <c r="E11" s="184" t="s">
        <v>239</v>
      </c>
      <c r="F11" s="180"/>
      <c r="G11" s="188"/>
      <c r="H11" s="182" t="s">
        <v>238</v>
      </c>
      <c r="I11" s="199" t="s">
        <v>101</v>
      </c>
      <c r="J11" s="205">
        <v>33224814.329999998</v>
      </c>
      <c r="K11" s="265"/>
      <c r="L11" s="91"/>
    </row>
    <row r="12" spans="1:12" s="15" customFormat="1" x14ac:dyDescent="0.3">
      <c r="A12" s="23"/>
      <c r="B12" s="91"/>
      <c r="C12" s="91"/>
      <c r="D12" s="91"/>
      <c r="E12" s="91"/>
      <c r="I12" s="91"/>
      <c r="J12" s="91"/>
      <c r="K12" s="132"/>
      <c r="L12" s="91"/>
    </row>
    <row r="13" spans="1:12" s="16" customFormat="1" ht="19.2" x14ac:dyDescent="0.3">
      <c r="A13" s="24"/>
      <c r="B13" s="199" t="s">
        <v>85</v>
      </c>
      <c r="C13" s="199" t="s">
        <v>86</v>
      </c>
      <c r="D13" s="200">
        <v>410105</v>
      </c>
      <c r="E13" s="223" t="s">
        <v>145</v>
      </c>
      <c r="F13" s="186" t="s">
        <v>88</v>
      </c>
      <c r="G13" s="187" t="s">
        <v>236</v>
      </c>
      <c r="H13" s="186" t="s">
        <v>89</v>
      </c>
      <c r="I13" s="199" t="s">
        <v>92</v>
      </c>
      <c r="J13" s="204">
        <f>+'POAI GENERAL '!AB42</f>
        <v>35463679.329999998</v>
      </c>
      <c r="K13" s="183" t="s">
        <v>93</v>
      </c>
      <c r="L13" s="90"/>
    </row>
    <row r="14" spans="1:12" s="15" customFormat="1" ht="39.6" customHeight="1" x14ac:dyDescent="0.3">
      <c r="B14" s="92" t="s">
        <v>94</v>
      </c>
      <c r="C14" s="180" t="s">
        <v>109</v>
      </c>
      <c r="D14" s="203">
        <v>37</v>
      </c>
      <c r="E14" s="184" t="s">
        <v>240</v>
      </c>
      <c r="F14" s="180"/>
      <c r="G14" s="188"/>
      <c r="H14" s="182" t="s">
        <v>238</v>
      </c>
      <c r="I14" s="199" t="s">
        <v>101</v>
      </c>
      <c r="J14" s="205">
        <v>35463679.329999998</v>
      </c>
      <c r="K14" s="265">
        <f>+J14-19700450</f>
        <v>15763229.329999998</v>
      </c>
      <c r="L14" s="91"/>
    </row>
    <row r="15" spans="1:12" s="15" customFormat="1" x14ac:dyDescent="0.3">
      <c r="B15" s="91"/>
      <c r="C15" s="91"/>
      <c r="D15" s="91"/>
      <c r="E15" s="91"/>
      <c r="I15" s="91"/>
      <c r="J15" s="93"/>
      <c r="K15" s="132"/>
      <c r="L15" s="91"/>
    </row>
    <row r="16" spans="1:12" s="15" customFormat="1" ht="19.2" x14ac:dyDescent="0.3">
      <c r="B16" s="199" t="s">
        <v>85</v>
      </c>
      <c r="C16" s="199" t="s">
        <v>86</v>
      </c>
      <c r="D16" s="200">
        <v>410106</v>
      </c>
      <c r="E16" s="223" t="s">
        <v>148</v>
      </c>
      <c r="F16" s="186" t="s">
        <v>88</v>
      </c>
      <c r="G16" s="187" t="s">
        <v>236</v>
      </c>
      <c r="H16" s="186" t="s">
        <v>89</v>
      </c>
      <c r="I16" s="199" t="s">
        <v>92</v>
      </c>
      <c r="J16" s="204">
        <f>+'POAI GENERAL '!AB43</f>
        <v>276740110.66999996</v>
      </c>
      <c r="K16" s="183" t="s">
        <v>93</v>
      </c>
      <c r="L16" s="91"/>
    </row>
    <row r="17" spans="1:155" s="15" customFormat="1" ht="36" customHeight="1" x14ac:dyDescent="0.3">
      <c r="B17" s="92" t="s">
        <v>94</v>
      </c>
      <c r="C17" s="180" t="s">
        <v>104</v>
      </c>
      <c r="D17" s="203">
        <v>44</v>
      </c>
      <c r="E17" s="184" t="s">
        <v>241</v>
      </c>
      <c r="F17" s="180"/>
      <c r="G17" s="188"/>
      <c r="H17" s="182" t="s">
        <v>238</v>
      </c>
      <c r="I17" s="199" t="s">
        <v>101</v>
      </c>
      <c r="J17" s="205">
        <v>276740110.67000002</v>
      </c>
      <c r="K17" s="184"/>
      <c r="L17" s="91"/>
    </row>
    <row r="18" spans="1:155" s="16" customFormat="1" x14ac:dyDescent="0.3">
      <c r="B18" s="90"/>
      <c r="C18" s="90"/>
      <c r="D18" s="90"/>
      <c r="E18" s="90"/>
      <c r="I18" s="90"/>
      <c r="J18" s="90"/>
      <c r="K18" s="133"/>
      <c r="L18" s="90"/>
    </row>
    <row r="19" spans="1:155" s="25" customFormat="1" ht="19.2" x14ac:dyDescent="0.3">
      <c r="A19" s="16"/>
      <c r="B19" s="199" t="s">
        <v>85</v>
      </c>
      <c r="C19" s="199" t="s">
        <v>86</v>
      </c>
      <c r="D19" s="200">
        <v>410108</v>
      </c>
      <c r="E19" s="223" t="s">
        <v>163</v>
      </c>
      <c r="F19" s="186" t="s">
        <v>88</v>
      </c>
      <c r="G19" s="187" t="s">
        <v>236</v>
      </c>
      <c r="H19" s="186" t="s">
        <v>89</v>
      </c>
      <c r="I19" s="199" t="s">
        <v>92</v>
      </c>
      <c r="J19" s="204">
        <f>+'POAI GENERAL '!AB44</f>
        <v>136350414</v>
      </c>
      <c r="K19" s="183" t="s">
        <v>93</v>
      </c>
      <c r="L19" s="124"/>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row>
    <row r="20" spans="1:155" s="25" customFormat="1" ht="46.95" customHeight="1" x14ac:dyDescent="0.3">
      <c r="A20" s="16"/>
      <c r="B20" s="199" t="s">
        <v>94</v>
      </c>
      <c r="C20" s="180" t="s">
        <v>109</v>
      </c>
      <c r="D20" s="301">
        <v>47</v>
      </c>
      <c r="E20" s="302" t="s">
        <v>242</v>
      </c>
      <c r="F20" s="180"/>
      <c r="G20" s="188"/>
      <c r="H20" s="182" t="s">
        <v>238</v>
      </c>
      <c r="I20" s="299" t="s">
        <v>101</v>
      </c>
      <c r="J20" s="303">
        <v>54890947</v>
      </c>
      <c r="K20" s="184"/>
      <c r="L20" s="98"/>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row>
    <row r="21" spans="1:155" s="25" customFormat="1" ht="51" customHeight="1" x14ac:dyDescent="0.3">
      <c r="A21" s="16"/>
      <c r="B21" s="199" t="s">
        <v>94</v>
      </c>
      <c r="C21" s="180" t="s">
        <v>109</v>
      </c>
      <c r="D21" s="203">
        <v>61</v>
      </c>
      <c r="E21" s="212" t="s">
        <v>243</v>
      </c>
      <c r="F21" s="180"/>
      <c r="G21" s="188"/>
      <c r="H21" s="182" t="s">
        <v>238</v>
      </c>
      <c r="I21" s="199" t="s">
        <v>101</v>
      </c>
      <c r="J21" s="205">
        <f>50568169.8+30891297.2</f>
        <v>81459467</v>
      </c>
      <c r="K21" s="265">
        <f>+J21-28517892</f>
        <v>52941575</v>
      </c>
      <c r="L21" s="90"/>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row>
    <row r="22" spans="1:155" s="25" customFormat="1" x14ac:dyDescent="0.3">
      <c r="A22" s="16"/>
      <c r="B22" s="16"/>
      <c r="C22" s="16"/>
      <c r="D22" s="16"/>
      <c r="E22" s="16"/>
      <c r="F22" s="16"/>
      <c r="G22" s="16"/>
      <c r="H22" s="16"/>
      <c r="I22" s="16"/>
      <c r="J22" s="16"/>
      <c r="K22" s="133"/>
      <c r="L22" s="90"/>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row>
    <row r="23" spans="1:155" s="25" customFormat="1" ht="19.2" x14ac:dyDescent="0.3">
      <c r="A23" s="16"/>
      <c r="B23" s="199" t="s">
        <v>85</v>
      </c>
      <c r="C23" s="199" t="s">
        <v>86</v>
      </c>
      <c r="D23" s="200">
        <v>410109</v>
      </c>
      <c r="E23" s="223" t="s">
        <v>177</v>
      </c>
      <c r="F23" s="186" t="s">
        <v>88</v>
      </c>
      <c r="G23" s="187" t="s">
        <v>236</v>
      </c>
      <c r="H23" s="186" t="s">
        <v>89</v>
      </c>
      <c r="I23" s="199" t="s">
        <v>92</v>
      </c>
      <c r="J23" s="204">
        <f>+'POAI GENERAL '!AB45</f>
        <v>146098042.19999999</v>
      </c>
      <c r="K23" s="183" t="s">
        <v>93</v>
      </c>
      <c r="L23" s="90"/>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row>
    <row r="24" spans="1:155" s="25" customFormat="1" ht="41.4" customHeight="1" x14ac:dyDescent="0.3">
      <c r="A24" s="16"/>
      <c r="B24" s="92" t="s">
        <v>94</v>
      </c>
      <c r="C24" s="180" t="s">
        <v>109</v>
      </c>
      <c r="D24" s="203">
        <v>40</v>
      </c>
      <c r="E24" s="224" t="s">
        <v>244</v>
      </c>
      <c r="F24" s="180"/>
      <c r="G24" s="188"/>
      <c r="H24" s="182" t="s">
        <v>238</v>
      </c>
      <c r="I24" s="199" t="s">
        <v>101</v>
      </c>
      <c r="J24" s="205">
        <f>146098042.2</f>
        <v>146098042.19999999</v>
      </c>
      <c r="K24" s="184" t="s">
        <v>183</v>
      </c>
      <c r="L24" s="90"/>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row>
    <row r="25" spans="1:155" s="25" customFormat="1" x14ac:dyDescent="0.3">
      <c r="A25" s="16"/>
      <c r="B25" s="16"/>
      <c r="C25" s="16"/>
      <c r="D25" s="16"/>
      <c r="E25" s="16"/>
      <c r="F25" s="16"/>
      <c r="G25" s="16"/>
      <c r="H25" s="16"/>
      <c r="I25" s="16"/>
      <c r="J25" s="16"/>
      <c r="K25" s="133"/>
      <c r="L25" s="90"/>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row>
    <row r="26" spans="1:155" s="25" customFormat="1" ht="19.2" x14ac:dyDescent="0.3">
      <c r="A26" s="16"/>
      <c r="B26" s="199" t="s">
        <v>85</v>
      </c>
      <c r="C26" s="199" t="s">
        <v>86</v>
      </c>
      <c r="D26" s="200">
        <v>410120</v>
      </c>
      <c r="E26" s="223" t="s">
        <v>213</v>
      </c>
      <c r="F26" s="186" t="s">
        <v>88</v>
      </c>
      <c r="G26" s="187" t="s">
        <v>236</v>
      </c>
      <c r="H26" s="186" t="s">
        <v>89</v>
      </c>
      <c r="I26" s="199" t="s">
        <v>92</v>
      </c>
      <c r="J26" s="204">
        <f>+'POAI GENERAL '!AB46</f>
        <v>22139038.329999998</v>
      </c>
      <c r="K26" s="183" t="s">
        <v>93</v>
      </c>
      <c r="L26" s="90"/>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row>
    <row r="27" spans="1:155" s="25" customFormat="1" ht="42.6" customHeight="1" x14ac:dyDescent="0.3">
      <c r="A27" s="16"/>
      <c r="B27" s="92" t="s">
        <v>94</v>
      </c>
      <c r="C27" s="180" t="s">
        <v>187</v>
      </c>
      <c r="D27" s="203">
        <v>27</v>
      </c>
      <c r="E27" s="184" t="s">
        <v>214</v>
      </c>
      <c r="F27" s="180" t="s">
        <v>152</v>
      </c>
      <c r="G27" s="210">
        <v>0.82850000000000001</v>
      </c>
      <c r="H27" s="214" t="s">
        <v>136</v>
      </c>
      <c r="I27" s="199" t="s">
        <v>101</v>
      </c>
      <c r="J27" s="205">
        <v>22139038.329999998</v>
      </c>
      <c r="K27" s="184"/>
      <c r="L27" s="90"/>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row>
    <row r="28" spans="1:155" s="17" customFormat="1" x14ac:dyDescent="0.3">
      <c r="B28" s="95"/>
      <c r="C28" s="95"/>
      <c r="D28" s="95"/>
      <c r="E28" s="95"/>
      <c r="F28" s="19"/>
      <c r="G28" s="19"/>
      <c r="H28" s="19"/>
      <c r="I28" s="95"/>
      <c r="J28" s="95"/>
      <c r="K28" s="130"/>
      <c r="L28" s="95"/>
    </row>
    <row r="29" spans="1:155" s="16" customFormat="1" x14ac:dyDescent="0.3">
      <c r="B29" s="28"/>
      <c r="C29" s="28"/>
      <c r="D29" s="29"/>
      <c r="E29" s="19"/>
      <c r="F29" s="19"/>
      <c r="G29" s="19"/>
      <c r="H29" s="19"/>
      <c r="I29" s="30"/>
      <c r="J29" s="30"/>
      <c r="K29" s="133"/>
      <c r="L29" s="90"/>
    </row>
    <row r="30" spans="1:155" x14ac:dyDescent="0.3">
      <c r="E30" s="16"/>
    </row>
  </sheetData>
  <sheetProtection algorithmName="SHA-512" hashValue="Qdo9eYSeUzRP3O0NsB+pXFW3rCIROZzJweLTKmHHXuOfmF7HHAIzDrofkQWqg1KUarMeZX03ik1xMf8ZidP80Q==" saltValue="GYzr4Tw+PdqDK2S4PAm7pw==" spinCount="100000" sheet="1" selectLockedCells="1" selectUnlockedCells="1"/>
  <autoFilter ref="A1:FZ32" xr:uid="{00000000-0009-0000-0000-000003000000}"/>
  <mergeCells count="1">
    <mergeCell ref="B3:J3"/>
  </mergeCells>
  <printOptions horizontalCentered="1"/>
  <pageMargins left="0.23622047244094491" right="0.23622047244094491" top="0.74803149606299213" bottom="0.74803149606299213" header="0.31496062992125984" footer="0.31496062992125984"/>
  <pageSetup paperSize="121" scale="1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A25"/>
  <sheetViews>
    <sheetView view="pageBreakPreview" zoomScale="80" zoomScaleNormal="90" zoomScaleSheetLayoutView="80" workbookViewId="0">
      <selection activeCell="K1" sqref="K1:K1048576"/>
    </sheetView>
  </sheetViews>
  <sheetFormatPr baseColWidth="10" defaultColWidth="21.33203125" defaultRowHeight="12" x14ac:dyDescent="0.25"/>
  <cols>
    <col min="1" max="1" width="1.6640625" style="2" customWidth="1"/>
    <col min="2" max="3" width="37.5546875" style="13" customWidth="1"/>
    <col min="4" max="4" width="18.88671875" style="7" customWidth="1"/>
    <col min="5" max="5" width="54.5546875" style="19" customWidth="1"/>
    <col min="6" max="8" width="11" style="19" hidden="1" customWidth="1"/>
    <col min="9" max="9" width="31.109375" style="11" customWidth="1"/>
    <col min="10" max="10" width="29.109375" style="11" customWidth="1"/>
    <col min="11" max="11" width="26.88671875" style="2" hidden="1" customWidth="1"/>
    <col min="12" max="12" width="23.44140625" style="2" customWidth="1"/>
    <col min="13" max="13" width="21.33203125" style="2"/>
    <col min="14" max="14" width="27" style="2" customWidth="1"/>
    <col min="15" max="16384" width="21.33203125" style="2"/>
  </cols>
  <sheetData>
    <row r="1" spans="1:11" s="4" customFormat="1" ht="21" customHeight="1" x14ac:dyDescent="0.3">
      <c r="A1" s="4" t="s">
        <v>84</v>
      </c>
      <c r="B1" s="9"/>
      <c r="C1" s="9"/>
      <c r="D1" s="6"/>
      <c r="E1" s="14"/>
      <c r="F1" s="14"/>
      <c r="G1" s="14"/>
      <c r="H1" s="14"/>
      <c r="I1" s="9"/>
      <c r="J1" s="9"/>
    </row>
    <row r="2" spans="1:11" s="6" customFormat="1" x14ac:dyDescent="0.25">
      <c r="B2" s="111"/>
      <c r="C2" s="111"/>
      <c r="D2" s="111"/>
      <c r="E2" s="111"/>
      <c r="F2" s="111"/>
      <c r="G2" s="111"/>
      <c r="H2" s="111"/>
      <c r="I2" s="113"/>
      <c r="J2" s="113"/>
    </row>
    <row r="3" spans="1:11" s="74" customFormat="1" ht="30" x14ac:dyDescent="0.25">
      <c r="B3" s="376" t="s">
        <v>245</v>
      </c>
      <c r="C3" s="376"/>
      <c r="D3" s="376"/>
      <c r="E3" s="376"/>
      <c r="F3" s="376"/>
      <c r="G3" s="376"/>
      <c r="H3" s="376"/>
      <c r="I3" s="376"/>
      <c r="J3" s="376"/>
    </row>
    <row r="4" spans="1:11" s="4" customFormat="1" ht="36.6" customHeight="1" x14ac:dyDescent="0.3">
      <c r="B4" s="114"/>
      <c r="C4" s="114"/>
      <c r="D4" s="114"/>
      <c r="E4" s="114"/>
      <c r="F4" s="114"/>
      <c r="G4" s="114"/>
      <c r="H4" s="114"/>
      <c r="I4" s="114"/>
      <c r="J4" s="114"/>
    </row>
    <row r="5" spans="1:11" s="4" customFormat="1" ht="13.8" x14ac:dyDescent="0.3">
      <c r="B5" s="9"/>
      <c r="C5" s="9"/>
      <c r="D5" s="6"/>
      <c r="E5" s="14"/>
      <c r="F5" s="14"/>
      <c r="G5" s="14"/>
      <c r="H5" s="14"/>
      <c r="I5" s="9"/>
      <c r="J5" s="9"/>
    </row>
    <row r="6" spans="1:11" s="15" customFormat="1" ht="14.4" x14ac:dyDescent="0.2">
      <c r="B6" s="199" t="s">
        <v>85</v>
      </c>
      <c r="C6" s="199" t="s">
        <v>86</v>
      </c>
      <c r="D6" s="200">
        <v>410103</v>
      </c>
      <c r="E6" s="223" t="s">
        <v>108</v>
      </c>
      <c r="F6" s="186" t="s">
        <v>88</v>
      </c>
      <c r="G6" s="187" t="s">
        <v>236</v>
      </c>
      <c r="H6" s="186" t="s">
        <v>246</v>
      </c>
      <c r="I6" s="199" t="s">
        <v>92</v>
      </c>
      <c r="J6" s="204">
        <f>+'POAI GENERAL '!AB52</f>
        <v>2600299.29</v>
      </c>
      <c r="K6" s="183" t="s">
        <v>93</v>
      </c>
    </row>
    <row r="7" spans="1:11" s="15" customFormat="1" ht="45.6" customHeight="1" x14ac:dyDescent="0.2">
      <c r="B7" s="92" t="s">
        <v>94</v>
      </c>
      <c r="C7" s="180" t="s">
        <v>109</v>
      </c>
      <c r="D7" s="203">
        <v>24</v>
      </c>
      <c r="E7" s="224" t="str">
        <f>+'POAI GENERAL'!E13</f>
        <v>Suscripción de licencias de software académico para la Universidad de Cundinamarca</v>
      </c>
      <c r="F7" s="180" t="s">
        <v>97</v>
      </c>
      <c r="G7" s="181">
        <v>0.7984</v>
      </c>
      <c r="H7" s="182" t="s">
        <v>128</v>
      </c>
      <c r="I7" s="199" t="s">
        <v>101</v>
      </c>
      <c r="J7" s="205">
        <v>2600299.29</v>
      </c>
      <c r="K7" s="184"/>
    </row>
    <row r="8" spans="1:11" s="15" customFormat="1" ht="14.4" x14ac:dyDescent="0.3">
      <c r="B8" s="91"/>
      <c r="C8" s="91"/>
      <c r="D8" s="91"/>
      <c r="E8" s="91"/>
      <c r="F8" s="91"/>
      <c r="G8" s="91"/>
      <c r="H8" s="91"/>
      <c r="I8" s="91"/>
      <c r="J8" s="91"/>
    </row>
    <row r="9" spans="1:11" s="15" customFormat="1" ht="14.4" x14ac:dyDescent="0.2">
      <c r="B9" s="199" t="s">
        <v>85</v>
      </c>
      <c r="C9" s="199" t="s">
        <v>86</v>
      </c>
      <c r="D9" s="200">
        <v>410104</v>
      </c>
      <c r="E9" s="223" t="s">
        <v>138</v>
      </c>
      <c r="F9" s="223"/>
      <c r="G9" s="223"/>
      <c r="H9" s="223"/>
      <c r="I9" s="199" t="s">
        <v>92</v>
      </c>
      <c r="J9" s="204">
        <f>+'POAI GENERAL '!AB53</f>
        <v>2600299.29</v>
      </c>
      <c r="K9" s="183" t="s">
        <v>93</v>
      </c>
    </row>
    <row r="10" spans="1:11" s="15" customFormat="1" ht="43.95" customHeight="1" x14ac:dyDescent="0.2">
      <c r="A10" s="23"/>
      <c r="B10" s="92" t="s">
        <v>94</v>
      </c>
      <c r="C10" s="180" t="s">
        <v>109</v>
      </c>
      <c r="D10" s="203">
        <v>23</v>
      </c>
      <c r="E10" s="184" t="str">
        <f>+'POAI GENERAL'!E25</f>
        <v xml:space="preserve">Suscripción a los recursos electrónicos para las bibliotecas </v>
      </c>
      <c r="F10" s="180" t="s">
        <v>97</v>
      </c>
      <c r="G10" s="188">
        <v>0.42070000000000002</v>
      </c>
      <c r="H10" s="182" t="s">
        <v>128</v>
      </c>
      <c r="I10" s="199" t="s">
        <v>101</v>
      </c>
      <c r="J10" s="205">
        <v>2600299.29</v>
      </c>
      <c r="K10" s="184"/>
    </row>
    <row r="11" spans="1:11" s="15" customFormat="1" ht="14.4" x14ac:dyDescent="0.3">
      <c r="A11" s="23"/>
      <c r="B11" s="91"/>
      <c r="C11" s="91"/>
      <c r="D11" s="91"/>
      <c r="E11" s="91"/>
      <c r="F11" s="91"/>
      <c r="G11" s="91"/>
      <c r="H11" s="91"/>
      <c r="I11" s="91"/>
      <c r="J11" s="91"/>
    </row>
    <row r="12" spans="1:11" s="16" customFormat="1" ht="14.4" x14ac:dyDescent="0.2">
      <c r="A12" s="24"/>
      <c r="B12" s="199" t="s">
        <v>85</v>
      </c>
      <c r="C12" s="199" t="s">
        <v>86</v>
      </c>
      <c r="D12" s="200">
        <v>410105</v>
      </c>
      <c r="E12" s="223" t="s">
        <v>145</v>
      </c>
      <c r="F12" s="223"/>
      <c r="G12" s="223"/>
      <c r="H12" s="223"/>
      <c r="I12" s="199" t="s">
        <v>92</v>
      </c>
      <c r="J12" s="204">
        <f>+'POAI GENERAL '!AB54</f>
        <v>2600299.29</v>
      </c>
      <c r="K12" s="183" t="s">
        <v>93</v>
      </c>
    </row>
    <row r="13" spans="1:11" s="15" customFormat="1" ht="41.4" customHeight="1" x14ac:dyDescent="0.2">
      <c r="B13" s="92" t="s">
        <v>94</v>
      </c>
      <c r="C13" s="180" t="s">
        <v>109</v>
      </c>
      <c r="D13" s="203">
        <v>36</v>
      </c>
      <c r="E13" s="184" t="s">
        <v>247</v>
      </c>
      <c r="F13" s="184"/>
      <c r="G13" s="188">
        <v>0</v>
      </c>
      <c r="H13" s="182" t="s">
        <v>128</v>
      </c>
      <c r="I13" s="199" t="s">
        <v>101</v>
      </c>
      <c r="J13" s="205">
        <v>2600299.29</v>
      </c>
      <c r="K13" s="265"/>
    </row>
    <row r="14" spans="1:11" s="15" customFormat="1" ht="14.4" x14ac:dyDescent="0.3">
      <c r="B14" s="91"/>
      <c r="C14" s="91"/>
      <c r="D14" s="91"/>
      <c r="E14" s="91"/>
      <c r="F14" s="91"/>
      <c r="G14" s="91"/>
      <c r="H14" s="91"/>
      <c r="I14" s="91"/>
      <c r="J14" s="93"/>
    </row>
    <row r="15" spans="1:11" s="15" customFormat="1" ht="14.4" x14ac:dyDescent="0.2">
      <c r="B15" s="199" t="s">
        <v>85</v>
      </c>
      <c r="C15" s="199" t="s">
        <v>86</v>
      </c>
      <c r="D15" s="200">
        <v>410106</v>
      </c>
      <c r="E15" s="223" t="s">
        <v>148</v>
      </c>
      <c r="F15" s="223"/>
      <c r="G15" s="223"/>
      <c r="H15" s="223"/>
      <c r="I15" s="199" t="s">
        <v>92</v>
      </c>
      <c r="J15" s="204">
        <f>+'POAI GENERAL '!AB55</f>
        <v>10401199.140000001</v>
      </c>
      <c r="K15" s="183" t="s">
        <v>93</v>
      </c>
    </row>
    <row r="16" spans="1:11" s="15" customFormat="1" ht="40.200000000000003" customHeight="1" x14ac:dyDescent="0.2">
      <c r="B16" s="92" t="s">
        <v>94</v>
      </c>
      <c r="C16" s="180" t="s">
        <v>104</v>
      </c>
      <c r="D16" s="203">
        <v>45</v>
      </c>
      <c r="E16" s="184" t="s">
        <v>248</v>
      </c>
      <c r="F16" s="184"/>
      <c r="G16" s="210">
        <v>0.95</v>
      </c>
      <c r="H16" s="182" t="s">
        <v>128</v>
      </c>
      <c r="I16" s="199" t="s">
        <v>101</v>
      </c>
      <c r="J16" s="205">
        <v>10401199.140000001</v>
      </c>
      <c r="K16" s="184"/>
    </row>
    <row r="17" spans="1:157" s="16" customFormat="1" ht="14.4" x14ac:dyDescent="0.3">
      <c r="B17" s="90"/>
      <c r="C17" s="90"/>
      <c r="D17" s="90"/>
      <c r="E17" s="94"/>
      <c r="F17" s="94"/>
      <c r="G17" s="94"/>
      <c r="H17" s="94"/>
      <c r="I17" s="94"/>
      <c r="J17" s="94"/>
    </row>
    <row r="18" spans="1:157" s="25" customFormat="1" ht="14.4" x14ac:dyDescent="0.2">
      <c r="A18" s="16"/>
      <c r="B18" s="199" t="s">
        <v>85</v>
      </c>
      <c r="C18" s="199" t="s">
        <v>86</v>
      </c>
      <c r="D18" s="200">
        <v>410108</v>
      </c>
      <c r="E18" s="223" t="s">
        <v>163</v>
      </c>
      <c r="F18" s="223"/>
      <c r="G18" s="223"/>
      <c r="H18" s="223"/>
      <c r="I18" s="199" t="s">
        <v>92</v>
      </c>
      <c r="J18" s="204">
        <f>+'POAI GENERAL '!AB56</f>
        <v>253352509.66</v>
      </c>
      <c r="K18" s="183" t="s">
        <v>93</v>
      </c>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row>
    <row r="19" spans="1:157" s="25" customFormat="1" ht="47.4" customHeight="1" x14ac:dyDescent="0.3">
      <c r="A19" s="16"/>
      <c r="B19" s="92" t="s">
        <v>94</v>
      </c>
      <c r="C19" s="180" t="s">
        <v>109</v>
      </c>
      <c r="D19" s="203">
        <v>50</v>
      </c>
      <c r="E19" s="212" t="s">
        <v>249</v>
      </c>
      <c r="F19" s="212"/>
      <c r="G19" s="188">
        <v>0</v>
      </c>
      <c r="H19" s="182" t="s">
        <v>128</v>
      </c>
      <c r="I19" s="199" t="s">
        <v>101</v>
      </c>
      <c r="J19" s="205">
        <v>253352509.66</v>
      </c>
      <c r="K19" s="184"/>
      <c r="L19" s="124"/>
      <c r="M19" s="90"/>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row>
    <row r="20" spans="1:157" s="16" customFormat="1" ht="14.4" x14ac:dyDescent="0.3">
      <c r="B20" s="90"/>
      <c r="D20" s="90"/>
      <c r="E20" s="94"/>
      <c r="F20" s="94"/>
      <c r="G20" s="94"/>
      <c r="H20" s="94"/>
      <c r="I20" s="94"/>
      <c r="J20" s="94"/>
    </row>
    <row r="21" spans="1:157" s="25" customFormat="1" ht="14.4" x14ac:dyDescent="0.2">
      <c r="A21" s="16"/>
      <c r="B21" s="199" t="s">
        <v>85</v>
      </c>
      <c r="C21" s="199" t="s">
        <v>86</v>
      </c>
      <c r="D21" s="200">
        <v>410109</v>
      </c>
      <c r="E21" s="223" t="s">
        <v>177</v>
      </c>
      <c r="F21" s="223"/>
      <c r="G21" s="223"/>
      <c r="H21" s="223"/>
      <c r="I21" s="199" t="s">
        <v>92</v>
      </c>
      <c r="J21" s="204">
        <f>+'POAI GENERAL '!AB57</f>
        <v>15601799.23</v>
      </c>
      <c r="K21" s="183" t="s">
        <v>93</v>
      </c>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row>
    <row r="22" spans="1:157" s="25" customFormat="1" ht="42" customHeight="1" x14ac:dyDescent="0.3">
      <c r="A22" s="16"/>
      <c r="B22" s="92" t="s">
        <v>94</v>
      </c>
      <c r="C22" s="180" t="s">
        <v>109</v>
      </c>
      <c r="D22" s="203">
        <v>40</v>
      </c>
      <c r="E22" s="225" t="s">
        <v>244</v>
      </c>
      <c r="F22" s="225"/>
      <c r="G22" s="188">
        <v>0</v>
      </c>
      <c r="H22" s="182" t="s">
        <v>128</v>
      </c>
      <c r="I22" s="199" t="s">
        <v>101</v>
      </c>
      <c r="J22" s="205">
        <f>15601799.23</f>
        <v>15601799.23</v>
      </c>
      <c r="K22" s="184" t="s">
        <v>183</v>
      </c>
      <c r="L22" s="268"/>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row>
    <row r="23" spans="1:157" s="17" customFormat="1" ht="14.4" x14ac:dyDescent="0.3">
      <c r="B23" s="95"/>
      <c r="C23" s="16"/>
      <c r="D23" s="95"/>
      <c r="E23" s="95"/>
      <c r="F23" s="95"/>
      <c r="G23" s="95"/>
      <c r="H23" s="95"/>
      <c r="I23" s="95"/>
      <c r="J23" s="95"/>
    </row>
    <row r="24" spans="1:157" s="25" customFormat="1" ht="14.4" x14ac:dyDescent="0.2">
      <c r="A24" s="16"/>
      <c r="B24" s="199" t="s">
        <v>85</v>
      </c>
      <c r="C24" s="199" t="s">
        <v>86</v>
      </c>
      <c r="D24" s="200">
        <v>410120</v>
      </c>
      <c r="E24" s="223" t="s">
        <v>213</v>
      </c>
      <c r="F24" s="223"/>
      <c r="G24" s="223"/>
      <c r="H24" s="223"/>
      <c r="I24" s="199" t="s">
        <v>92</v>
      </c>
      <c r="J24" s="204">
        <f>+'POAI GENERAL '!AB58</f>
        <v>2600299.29</v>
      </c>
      <c r="K24" s="183" t="s">
        <v>93</v>
      </c>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row>
    <row r="25" spans="1:157" s="25" customFormat="1" ht="42.6" customHeight="1" x14ac:dyDescent="0.2">
      <c r="A25" s="16"/>
      <c r="B25" s="92" t="s">
        <v>94</v>
      </c>
      <c r="C25" s="180" t="s">
        <v>187</v>
      </c>
      <c r="D25" s="203">
        <v>27</v>
      </c>
      <c r="E25" s="184" t="s">
        <v>214</v>
      </c>
      <c r="F25" s="180" t="s">
        <v>152</v>
      </c>
      <c r="G25" s="210">
        <v>0.82850000000000001</v>
      </c>
      <c r="H25" s="182" t="s">
        <v>128</v>
      </c>
      <c r="I25" s="199" t="s">
        <v>101</v>
      </c>
      <c r="J25" s="205">
        <v>2600299.29</v>
      </c>
      <c r="K25" s="184"/>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row>
  </sheetData>
  <sheetProtection algorithmName="SHA-512" hashValue="oh+9+Jklz4IRe+T3cu/OyA/3LCqmbY0+mQQGx3srLEkD667Wknn6WFOgG1CepBoiNYDVOgqo5UIQi68I4ao7tA==" saltValue="RLKFdBPrOrjfYu0UCoiyYw==" spinCount="100000" sheet="1" selectLockedCells="1" selectUnlockedCells="1"/>
  <autoFilter ref="A1:FZ27" xr:uid="{00000000-0009-0000-0000-000004000000}"/>
  <mergeCells count="1">
    <mergeCell ref="B3:J3"/>
  </mergeCells>
  <printOptions horizontalCentered="1"/>
  <pageMargins left="0.23622047244094491" right="0.23622047244094491" top="0.74803149606299213" bottom="0.74803149606299213" header="0.31496062992125984" footer="0.31496062992125984"/>
  <pageSetup paperSize="121" scale="1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88C97-9868-440B-B4A5-DBF2B8CEA39A}">
  <dimension ref="A1:B104"/>
  <sheetViews>
    <sheetView workbookViewId="0">
      <selection activeCell="A9" sqref="A9"/>
    </sheetView>
  </sheetViews>
  <sheetFormatPr baseColWidth="10" defaultColWidth="11.44140625" defaultRowHeight="14.4" x14ac:dyDescent="0.3"/>
  <cols>
    <col min="1" max="1" width="54.6640625" style="110" customWidth="1"/>
    <col min="2" max="2" width="15.6640625" style="169" customWidth="1"/>
  </cols>
  <sheetData>
    <row r="1" spans="1:2" x14ac:dyDescent="0.3">
      <c r="A1" s="102"/>
      <c r="B1" s="159"/>
    </row>
    <row r="2" spans="1:2" x14ac:dyDescent="0.3">
      <c r="A2" s="201" t="s">
        <v>103</v>
      </c>
      <c r="B2" s="187"/>
    </row>
    <row r="3" spans="1:2" x14ac:dyDescent="0.3">
      <c r="A3" s="184" t="s">
        <v>105</v>
      </c>
      <c r="B3" s="180" t="s">
        <v>246</v>
      </c>
    </row>
    <row r="4" spans="1:2" x14ac:dyDescent="0.3">
      <c r="A4" s="103"/>
      <c r="B4" s="162"/>
    </row>
    <row r="5" spans="1:2" x14ac:dyDescent="0.3">
      <c r="A5" s="201" t="s">
        <v>108</v>
      </c>
      <c r="B5" s="187"/>
    </row>
    <row r="6" spans="1:2" ht="28.8" x14ac:dyDescent="0.3">
      <c r="A6" s="184" t="s">
        <v>110</v>
      </c>
      <c r="B6" s="180" t="s">
        <v>246</v>
      </c>
    </row>
    <row r="7" spans="1:2" ht="28.8" x14ac:dyDescent="0.3">
      <c r="A7" s="184" t="s">
        <v>112</v>
      </c>
      <c r="B7" s="180"/>
    </row>
    <row r="8" spans="1:2" ht="43.2" x14ac:dyDescent="0.3">
      <c r="A8" s="184" t="s">
        <v>113</v>
      </c>
      <c r="B8" s="180"/>
    </row>
    <row r="9" spans="1:2" ht="28.8" x14ac:dyDescent="0.3">
      <c r="A9" s="184" t="s">
        <v>250</v>
      </c>
      <c r="B9" s="180"/>
    </row>
    <row r="10" spans="1:2" ht="43.2" x14ac:dyDescent="0.3">
      <c r="A10" s="184" t="s">
        <v>121</v>
      </c>
      <c r="B10" s="180"/>
    </row>
    <row r="11" spans="1:2" ht="43.2" x14ac:dyDescent="0.3">
      <c r="A11" s="184" t="s">
        <v>125</v>
      </c>
      <c r="B11" s="180"/>
    </row>
    <row r="12" spans="1:2" ht="57.6" x14ac:dyDescent="0.3">
      <c r="A12" s="184" t="s">
        <v>132</v>
      </c>
      <c r="B12" s="180"/>
    </row>
    <row r="13" spans="1:2" ht="57.6" x14ac:dyDescent="0.3">
      <c r="A13" s="184" t="s">
        <v>127</v>
      </c>
      <c r="B13" s="180"/>
    </row>
    <row r="14" spans="1:2" ht="28.8" x14ac:dyDescent="0.3">
      <c r="A14" s="184" t="s">
        <v>134</v>
      </c>
      <c r="B14" s="180"/>
    </row>
    <row r="15" spans="1:2" ht="57.6" x14ac:dyDescent="0.3">
      <c r="A15" s="184" t="s">
        <v>135</v>
      </c>
      <c r="B15" s="180"/>
    </row>
    <row r="16" spans="1:2" x14ac:dyDescent="0.3">
      <c r="A16" s="103"/>
      <c r="B16" s="162"/>
    </row>
    <row r="17" spans="1:2" x14ac:dyDescent="0.3">
      <c r="A17" s="201" t="s">
        <v>138</v>
      </c>
      <c r="B17" s="187"/>
    </row>
    <row r="18" spans="1:2" x14ac:dyDescent="0.3">
      <c r="A18" s="184" t="s">
        <v>139</v>
      </c>
      <c r="B18" s="180"/>
    </row>
    <row r="19" spans="1:2" ht="28.8" x14ac:dyDescent="0.3">
      <c r="A19" s="184" t="s">
        <v>140</v>
      </c>
      <c r="B19" s="180"/>
    </row>
    <row r="20" spans="1:2" ht="43.2" x14ac:dyDescent="0.3">
      <c r="A20" s="184" t="s">
        <v>141</v>
      </c>
      <c r="B20" s="180"/>
    </row>
    <row r="21" spans="1:2" ht="43.2" x14ac:dyDescent="0.3">
      <c r="A21" s="184" t="s">
        <v>143</v>
      </c>
      <c r="B21" s="180"/>
    </row>
    <row r="22" spans="1:2" ht="43.2" x14ac:dyDescent="0.3">
      <c r="A22" s="184" t="s">
        <v>144</v>
      </c>
      <c r="B22" s="180"/>
    </row>
    <row r="23" spans="1:2" x14ac:dyDescent="0.3">
      <c r="A23" s="103"/>
      <c r="B23" s="162"/>
    </row>
    <row r="24" spans="1:2" x14ac:dyDescent="0.3">
      <c r="A24" s="201" t="s">
        <v>145</v>
      </c>
      <c r="B24" s="187"/>
    </row>
    <row r="25" spans="1:2" ht="28.8" x14ac:dyDescent="0.3">
      <c r="A25" s="184" t="s">
        <v>251</v>
      </c>
      <c r="B25" s="180"/>
    </row>
    <row r="26" spans="1:2" x14ac:dyDescent="0.3">
      <c r="A26" s="103"/>
      <c r="B26" s="162"/>
    </row>
    <row r="27" spans="1:2" x14ac:dyDescent="0.3">
      <c r="A27" s="201" t="s">
        <v>148</v>
      </c>
      <c r="B27" s="187"/>
    </row>
    <row r="28" spans="1:2" ht="28.8" x14ac:dyDescent="0.3">
      <c r="A28" s="184" t="s">
        <v>149</v>
      </c>
      <c r="B28" s="180"/>
    </row>
    <row r="29" spans="1:2" ht="28.8" x14ac:dyDescent="0.3">
      <c r="A29" s="184" t="s">
        <v>151</v>
      </c>
      <c r="B29" s="180"/>
    </row>
    <row r="30" spans="1:2" ht="28.8" x14ac:dyDescent="0.3">
      <c r="A30" s="184" t="s">
        <v>153</v>
      </c>
      <c r="B30" s="180"/>
    </row>
    <row r="31" spans="1:2" ht="43.2" x14ac:dyDescent="0.3">
      <c r="A31" s="184" t="s">
        <v>154</v>
      </c>
      <c r="B31" s="180"/>
    </row>
    <row r="32" spans="1:2" ht="28.8" x14ac:dyDescent="0.3">
      <c r="A32" s="184" t="s">
        <v>155</v>
      </c>
      <c r="B32" s="180"/>
    </row>
    <row r="33" spans="1:2" x14ac:dyDescent="0.3">
      <c r="A33" s="104"/>
      <c r="B33" s="163"/>
    </row>
    <row r="34" spans="1:2" x14ac:dyDescent="0.3">
      <c r="A34" s="201" t="s">
        <v>156</v>
      </c>
      <c r="B34" s="187"/>
    </row>
    <row r="35" spans="1:2" ht="43.2" x14ac:dyDescent="0.3">
      <c r="A35" s="184" t="s">
        <v>157</v>
      </c>
      <c r="B35" s="180"/>
    </row>
    <row r="36" spans="1:2" x14ac:dyDescent="0.3">
      <c r="A36" s="184" t="s">
        <v>158</v>
      </c>
      <c r="B36" s="180"/>
    </row>
    <row r="37" spans="1:2" x14ac:dyDescent="0.3">
      <c r="A37" s="184" t="s">
        <v>159</v>
      </c>
      <c r="B37" s="180"/>
    </row>
    <row r="38" spans="1:2" ht="28.8" x14ac:dyDescent="0.3">
      <c r="A38" s="184" t="s">
        <v>252</v>
      </c>
      <c r="B38" s="180"/>
    </row>
    <row r="39" spans="1:2" x14ac:dyDescent="0.3">
      <c r="A39" s="105"/>
      <c r="B39" s="164"/>
    </row>
    <row r="40" spans="1:2" x14ac:dyDescent="0.3">
      <c r="A40" s="201" t="s">
        <v>163</v>
      </c>
      <c r="B40" s="187"/>
    </row>
    <row r="41" spans="1:2" ht="28.8" x14ac:dyDescent="0.3">
      <c r="A41" s="212" t="s">
        <v>164</v>
      </c>
      <c r="B41" s="213"/>
    </row>
    <row r="42" spans="1:2" ht="86.4" x14ac:dyDescent="0.3">
      <c r="A42" s="212" t="s">
        <v>166</v>
      </c>
      <c r="B42" s="213"/>
    </row>
    <row r="43" spans="1:2" x14ac:dyDescent="0.3">
      <c r="A43" s="212" t="s">
        <v>167</v>
      </c>
      <c r="B43" s="213"/>
    </row>
    <row r="44" spans="1:2" ht="72" x14ac:dyDescent="0.3">
      <c r="A44" s="212" t="s">
        <v>168</v>
      </c>
      <c r="B44" s="213"/>
    </row>
    <row r="45" spans="1:2" ht="28.8" x14ac:dyDescent="0.3">
      <c r="A45" s="212" t="s">
        <v>170</v>
      </c>
      <c r="B45" s="213"/>
    </row>
    <row r="46" spans="1:2" ht="72" x14ac:dyDescent="0.3">
      <c r="A46" s="212" t="s">
        <v>172</v>
      </c>
      <c r="B46" s="213"/>
    </row>
    <row r="47" spans="1:2" ht="43.2" x14ac:dyDescent="0.3">
      <c r="A47" s="212" t="s">
        <v>175</v>
      </c>
      <c r="B47" s="213"/>
    </row>
    <row r="48" spans="1:2" x14ac:dyDescent="0.3">
      <c r="A48" s="105"/>
      <c r="B48" s="164"/>
    </row>
    <row r="49" spans="1:2" x14ac:dyDescent="0.3">
      <c r="A49" s="201" t="s">
        <v>177</v>
      </c>
      <c r="B49" s="187"/>
    </row>
    <row r="50" spans="1:2" ht="28.8" x14ac:dyDescent="0.3">
      <c r="A50" s="184" t="s">
        <v>178</v>
      </c>
      <c r="B50" s="180"/>
    </row>
    <row r="51" spans="1:2" x14ac:dyDescent="0.3">
      <c r="A51" s="184" t="s">
        <v>180</v>
      </c>
      <c r="B51" s="180"/>
    </row>
    <row r="52" spans="1:2" ht="28.8" x14ac:dyDescent="0.3">
      <c r="A52" s="184" t="s">
        <v>181</v>
      </c>
      <c r="B52" s="180"/>
    </row>
    <row r="53" spans="1:2" ht="28.8" x14ac:dyDescent="0.3">
      <c r="A53" s="184" t="s">
        <v>182</v>
      </c>
      <c r="B53" s="180"/>
    </row>
    <row r="54" spans="1:2" ht="28.8" x14ac:dyDescent="0.3">
      <c r="A54" s="184" t="s">
        <v>184</v>
      </c>
      <c r="B54" s="180"/>
    </row>
    <row r="55" spans="1:2" x14ac:dyDescent="0.3">
      <c r="A55" s="106"/>
      <c r="B55" s="165"/>
    </row>
    <row r="56" spans="1:2" x14ac:dyDescent="0.3">
      <c r="A56" s="297" t="s">
        <v>186</v>
      </c>
      <c r="B56" s="298"/>
    </row>
    <row r="57" spans="1:2" ht="28.8" x14ac:dyDescent="0.3">
      <c r="A57" s="184" t="s">
        <v>188</v>
      </c>
      <c r="B57" s="180"/>
    </row>
    <row r="58" spans="1:2" ht="43.2" x14ac:dyDescent="0.3">
      <c r="A58" s="184" t="s">
        <v>190</v>
      </c>
      <c r="B58" s="180"/>
    </row>
    <row r="59" spans="1:2" x14ac:dyDescent="0.3">
      <c r="A59" s="107"/>
      <c r="B59" s="166"/>
    </row>
    <row r="60" spans="1:2" x14ac:dyDescent="0.3">
      <c r="A60" s="201" t="s">
        <v>191</v>
      </c>
      <c r="B60" s="187"/>
    </row>
    <row r="61" spans="1:2" x14ac:dyDescent="0.3">
      <c r="A61" s="184" t="s">
        <v>191</v>
      </c>
      <c r="B61" s="180"/>
    </row>
    <row r="62" spans="1:2" x14ac:dyDescent="0.3">
      <c r="A62" s="107"/>
      <c r="B62" s="166"/>
    </row>
    <row r="63" spans="1:2" x14ac:dyDescent="0.3">
      <c r="A63" s="201" t="s">
        <v>193</v>
      </c>
      <c r="B63" s="187"/>
    </row>
    <row r="64" spans="1:2" x14ac:dyDescent="0.3">
      <c r="A64" s="184" t="s">
        <v>193</v>
      </c>
      <c r="B64" s="180"/>
    </row>
    <row r="65" spans="1:2" x14ac:dyDescent="0.3">
      <c r="A65" s="108"/>
      <c r="B65" s="167"/>
    </row>
    <row r="66" spans="1:2" x14ac:dyDescent="0.3">
      <c r="A66" s="201" t="s">
        <v>194</v>
      </c>
      <c r="B66" s="187"/>
    </row>
    <row r="67" spans="1:2" x14ac:dyDescent="0.3">
      <c r="A67" s="184" t="s">
        <v>195</v>
      </c>
      <c r="B67" s="180"/>
    </row>
    <row r="68" spans="1:2" x14ac:dyDescent="0.3">
      <c r="A68" s="106"/>
      <c r="B68" s="165"/>
    </row>
    <row r="69" spans="1:2" x14ac:dyDescent="0.3">
      <c r="A69" s="201" t="s">
        <v>197</v>
      </c>
      <c r="B69" s="187"/>
    </row>
    <row r="70" spans="1:2" x14ac:dyDescent="0.3">
      <c r="A70" s="184" t="s">
        <v>197</v>
      </c>
      <c r="B70" s="180"/>
    </row>
    <row r="71" spans="1:2" ht="43.2" x14ac:dyDescent="0.3">
      <c r="A71" s="184" t="s">
        <v>199</v>
      </c>
      <c r="B71" s="180"/>
    </row>
    <row r="72" spans="1:2" x14ac:dyDescent="0.3">
      <c r="A72" s="107"/>
      <c r="B72" s="166"/>
    </row>
    <row r="73" spans="1:2" x14ac:dyDescent="0.3">
      <c r="A73" s="201" t="s">
        <v>201</v>
      </c>
      <c r="B73" s="187"/>
    </row>
    <row r="74" spans="1:2" ht="28.8" x14ac:dyDescent="0.3">
      <c r="A74" s="184" t="s">
        <v>202</v>
      </c>
      <c r="B74" s="180"/>
    </row>
    <row r="75" spans="1:2" x14ac:dyDescent="0.3">
      <c r="A75" s="184" t="s">
        <v>203</v>
      </c>
      <c r="B75" s="180"/>
    </row>
    <row r="76" spans="1:2" x14ac:dyDescent="0.3">
      <c r="A76" s="109"/>
      <c r="B76" s="168"/>
    </row>
    <row r="77" spans="1:2" x14ac:dyDescent="0.3">
      <c r="A77" s="201" t="s">
        <v>204</v>
      </c>
      <c r="B77" s="187"/>
    </row>
    <row r="78" spans="1:2" ht="28.8" x14ac:dyDescent="0.3">
      <c r="A78" s="184" t="s">
        <v>206</v>
      </c>
      <c r="B78" s="157"/>
    </row>
    <row r="79" spans="1:2" x14ac:dyDescent="0.3">
      <c r="A79" s="107"/>
      <c r="B79" s="166"/>
    </row>
    <row r="80" spans="1:2" x14ac:dyDescent="0.3">
      <c r="A80" s="201" t="s">
        <v>208</v>
      </c>
      <c r="B80" s="187"/>
    </row>
    <row r="81" spans="1:2" ht="28.8" x14ac:dyDescent="0.3">
      <c r="A81" s="184" t="s">
        <v>209</v>
      </c>
      <c r="B81" s="157"/>
    </row>
    <row r="82" spans="1:2" x14ac:dyDescent="0.3">
      <c r="A82" s="107"/>
      <c r="B82" s="166"/>
    </row>
    <row r="83" spans="1:2" x14ac:dyDescent="0.3">
      <c r="A83" s="201" t="s">
        <v>211</v>
      </c>
      <c r="B83" s="187"/>
    </row>
    <row r="84" spans="1:2" x14ac:dyDescent="0.3">
      <c r="A84" s="218" t="s">
        <v>212</v>
      </c>
      <c r="B84" s="203"/>
    </row>
    <row r="85" spans="1:2" x14ac:dyDescent="0.3">
      <c r="A85" s="107"/>
      <c r="B85" s="166"/>
    </row>
    <row r="86" spans="1:2" x14ac:dyDescent="0.3">
      <c r="A86" s="201" t="s">
        <v>213</v>
      </c>
      <c r="B86" s="187"/>
    </row>
    <row r="87" spans="1:2" x14ac:dyDescent="0.3">
      <c r="A87" s="184" t="s">
        <v>214</v>
      </c>
      <c r="B87" s="180"/>
    </row>
    <row r="88" spans="1:2" x14ac:dyDescent="0.3">
      <c r="A88" s="107"/>
      <c r="B88" s="166"/>
    </row>
    <row r="89" spans="1:2" x14ac:dyDescent="0.3">
      <c r="A89" s="201" t="s">
        <v>215</v>
      </c>
      <c r="B89" s="187"/>
    </row>
    <row r="90" spans="1:2" x14ac:dyDescent="0.3">
      <c r="A90" s="184" t="s">
        <v>216</v>
      </c>
      <c r="B90" s="180"/>
    </row>
    <row r="91" spans="1:2" x14ac:dyDescent="0.3">
      <c r="A91" s="107"/>
      <c r="B91" s="166"/>
    </row>
    <row r="92" spans="1:2" x14ac:dyDescent="0.3">
      <c r="A92" s="297" t="s">
        <v>217</v>
      </c>
      <c r="B92" s="298"/>
    </row>
    <row r="93" spans="1:2" x14ac:dyDescent="0.3">
      <c r="A93" s="218" t="s">
        <v>218</v>
      </c>
      <c r="B93" s="203"/>
    </row>
    <row r="94" spans="1:2" x14ac:dyDescent="0.3">
      <c r="A94" s="218" t="s">
        <v>220</v>
      </c>
      <c r="B94" s="203"/>
    </row>
    <row r="95" spans="1:2" x14ac:dyDescent="0.3">
      <c r="A95" s="107"/>
      <c r="B95" s="166"/>
    </row>
    <row r="96" spans="1:2" x14ac:dyDescent="0.3">
      <c r="A96" s="201" t="s">
        <v>222</v>
      </c>
      <c r="B96" s="187"/>
    </row>
    <row r="97" spans="1:2" x14ac:dyDescent="0.3">
      <c r="A97" s="218" t="s">
        <v>253</v>
      </c>
      <c r="B97" s="158"/>
    </row>
    <row r="99" spans="1:2" x14ac:dyDescent="0.3">
      <c r="A99" s="201" t="s">
        <v>225</v>
      </c>
      <c r="B99" s="187"/>
    </row>
    <row r="100" spans="1:2" ht="28.8" x14ac:dyDescent="0.3">
      <c r="A100" s="184" t="s">
        <v>226</v>
      </c>
      <c r="B100" s="180"/>
    </row>
    <row r="101" spans="1:2" x14ac:dyDescent="0.3">
      <c r="A101" s="218" t="s">
        <v>227</v>
      </c>
      <c r="B101" s="203"/>
    </row>
    <row r="102" spans="1:2" ht="72" x14ac:dyDescent="0.3">
      <c r="A102" s="184" t="s">
        <v>229</v>
      </c>
      <c r="B102" s="180"/>
    </row>
    <row r="103" spans="1:2" ht="28.8" x14ac:dyDescent="0.3">
      <c r="A103" s="184" t="s">
        <v>231</v>
      </c>
      <c r="B103" s="180"/>
    </row>
    <row r="104" spans="1:2" x14ac:dyDescent="0.3">
      <c r="A104" s="184" t="s">
        <v>233</v>
      </c>
      <c r="B104" s="18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54C36-3ED0-44C3-84B5-8F95EC83CC4C}">
  <dimension ref="A1:D139"/>
  <sheetViews>
    <sheetView topLeftCell="A10" zoomScale="70" zoomScaleNormal="70" workbookViewId="0">
      <selection activeCell="B20" sqref="B20:B22"/>
    </sheetView>
  </sheetViews>
  <sheetFormatPr baseColWidth="10" defaultColWidth="11.44140625" defaultRowHeight="14.4" x14ac:dyDescent="0.3"/>
  <cols>
    <col min="2" max="2" width="87" customWidth="1"/>
    <col min="3" max="3" width="23.109375" style="137" customWidth="1"/>
  </cols>
  <sheetData>
    <row r="1" spans="1:4" s="149" customFormat="1" x14ac:dyDescent="0.3">
      <c r="A1" s="226">
        <v>410101</v>
      </c>
      <c r="B1" s="227" t="s">
        <v>87</v>
      </c>
      <c r="C1" s="228">
        <v>0.375</v>
      </c>
      <c r="D1" s="156"/>
    </row>
    <row r="2" spans="1:4" s="149" customFormat="1" x14ac:dyDescent="0.3">
      <c r="A2" s="229">
        <v>11</v>
      </c>
      <c r="B2" s="230" t="s">
        <v>96</v>
      </c>
      <c r="C2" s="231"/>
    </row>
    <row r="3" spans="1:4" s="149" customFormat="1" x14ac:dyDescent="0.3">
      <c r="A3" s="226">
        <v>410122</v>
      </c>
      <c r="B3" s="227" t="s">
        <v>215</v>
      </c>
      <c r="C3" s="232"/>
    </row>
    <row r="4" spans="1:4" s="149" customFormat="1" x14ac:dyDescent="0.3">
      <c r="A4" s="229">
        <v>12</v>
      </c>
      <c r="B4" s="230" t="s">
        <v>216</v>
      </c>
      <c r="C4" s="231"/>
    </row>
    <row r="5" spans="1:4" s="149" customFormat="1" x14ac:dyDescent="0.3">
      <c r="A5" s="226">
        <v>410118</v>
      </c>
      <c r="B5" s="227" t="s">
        <v>211</v>
      </c>
      <c r="C5" s="232"/>
    </row>
    <row r="6" spans="1:4" s="149" customFormat="1" x14ac:dyDescent="0.3">
      <c r="A6" s="229">
        <v>39</v>
      </c>
      <c r="B6" s="233" t="s">
        <v>212</v>
      </c>
      <c r="C6" s="229"/>
    </row>
    <row r="7" spans="1:4" s="149" customFormat="1" x14ac:dyDescent="0.3">
      <c r="A7" s="153"/>
      <c r="B7" s="154"/>
      <c r="C7" s="155"/>
    </row>
    <row r="8" spans="1:4" s="149" customFormat="1" x14ac:dyDescent="0.3">
      <c r="A8" s="226">
        <v>410102</v>
      </c>
      <c r="B8" s="227" t="s">
        <v>103</v>
      </c>
      <c r="C8" s="232"/>
    </row>
    <row r="9" spans="1:4" s="149" customFormat="1" x14ac:dyDescent="0.3">
      <c r="A9" s="229">
        <v>5</v>
      </c>
      <c r="B9" s="230" t="s">
        <v>105</v>
      </c>
      <c r="C9" s="231"/>
    </row>
    <row r="10" spans="1:4" s="149" customFormat="1" x14ac:dyDescent="0.3">
      <c r="A10" s="226">
        <v>410112</v>
      </c>
      <c r="B10" s="227" t="s">
        <v>193</v>
      </c>
      <c r="C10" s="232"/>
    </row>
    <row r="11" spans="1:4" s="149" customFormat="1" x14ac:dyDescent="0.3">
      <c r="A11" s="229">
        <v>9</v>
      </c>
      <c r="B11" s="230" t="s">
        <v>193</v>
      </c>
      <c r="C11" s="231"/>
    </row>
    <row r="12" spans="1:4" x14ac:dyDescent="0.3">
      <c r="A12" s="91"/>
      <c r="B12" s="103"/>
      <c r="C12" s="136"/>
    </row>
    <row r="13" spans="1:4" ht="28.8" x14ac:dyDescent="0.3">
      <c r="A13" s="200">
        <v>410103</v>
      </c>
      <c r="B13" s="201" t="s">
        <v>108</v>
      </c>
      <c r="C13" s="234" t="s">
        <v>254</v>
      </c>
      <c r="D13" s="135"/>
    </row>
    <row r="14" spans="1:4" x14ac:dyDescent="0.3">
      <c r="A14" s="229">
        <v>24</v>
      </c>
      <c r="B14" s="230" t="s">
        <v>110</v>
      </c>
      <c r="C14" s="180"/>
    </row>
    <row r="15" spans="1:4" ht="28.8" x14ac:dyDescent="0.3">
      <c r="A15" s="229">
        <v>0</v>
      </c>
      <c r="B15" s="230" t="s">
        <v>112</v>
      </c>
      <c r="C15" s="180"/>
    </row>
    <row r="16" spans="1:4" ht="28.8" x14ac:dyDescent="0.3">
      <c r="A16" s="229">
        <v>52</v>
      </c>
      <c r="B16" s="230" t="s">
        <v>255</v>
      </c>
      <c r="C16" s="180"/>
    </row>
    <row r="17" spans="1:3" ht="28.8" x14ac:dyDescent="0.3">
      <c r="A17" s="229">
        <v>53</v>
      </c>
      <c r="B17" s="230" t="s">
        <v>250</v>
      </c>
      <c r="C17" s="180"/>
    </row>
    <row r="18" spans="1:3" ht="28.8" x14ac:dyDescent="0.3">
      <c r="A18" s="203"/>
      <c r="B18" s="184" t="s">
        <v>121</v>
      </c>
      <c r="C18" s="180"/>
    </row>
    <row r="19" spans="1:3" ht="28.8" x14ac:dyDescent="0.3">
      <c r="A19" s="203"/>
      <c r="B19" s="184" t="s">
        <v>125</v>
      </c>
      <c r="C19" s="180"/>
    </row>
    <row r="20" spans="1:3" ht="43.2" x14ac:dyDescent="0.3">
      <c r="A20" s="203"/>
      <c r="B20" s="184" t="s">
        <v>132</v>
      </c>
      <c r="C20" s="180"/>
    </row>
    <row r="21" spans="1:3" ht="43.2" x14ac:dyDescent="0.3">
      <c r="A21" s="203"/>
      <c r="B21" s="184" t="s">
        <v>127</v>
      </c>
      <c r="C21" s="180"/>
    </row>
    <row r="22" spans="1:3" ht="28.8" x14ac:dyDescent="0.3">
      <c r="A22" s="203"/>
      <c r="B22" s="184" t="s">
        <v>134</v>
      </c>
      <c r="C22" s="180"/>
    </row>
    <row r="23" spans="1:3" ht="43.2" x14ac:dyDescent="0.3">
      <c r="A23" s="203"/>
      <c r="B23" s="184" t="s">
        <v>135</v>
      </c>
      <c r="C23" s="180"/>
    </row>
    <row r="24" spans="1:3" s="149" customFormat="1" x14ac:dyDescent="0.3">
      <c r="A24" s="226">
        <v>410104</v>
      </c>
      <c r="B24" s="227" t="s">
        <v>138</v>
      </c>
      <c r="C24" s="232"/>
    </row>
    <row r="25" spans="1:3" s="149" customFormat="1" x14ac:dyDescent="0.3">
      <c r="A25" s="229">
        <v>23</v>
      </c>
      <c r="B25" s="230" t="s">
        <v>139</v>
      </c>
      <c r="C25" s="231"/>
    </row>
    <row r="26" spans="1:3" s="149" customFormat="1" ht="28.8" x14ac:dyDescent="0.3">
      <c r="A26" s="229">
        <v>35</v>
      </c>
      <c r="B26" s="230" t="s">
        <v>140</v>
      </c>
      <c r="C26" s="231"/>
    </row>
    <row r="27" spans="1:3" s="149" customFormat="1" ht="28.8" x14ac:dyDescent="0.3">
      <c r="A27" s="229">
        <v>41</v>
      </c>
      <c r="B27" s="230" t="s">
        <v>141</v>
      </c>
      <c r="C27" s="231"/>
    </row>
    <row r="28" spans="1:3" s="149" customFormat="1" ht="28.8" x14ac:dyDescent="0.3">
      <c r="A28" s="229">
        <v>51</v>
      </c>
      <c r="B28" s="230" t="s">
        <v>143</v>
      </c>
      <c r="C28" s="231"/>
    </row>
    <row r="29" spans="1:3" s="149" customFormat="1" ht="28.8" x14ac:dyDescent="0.3">
      <c r="A29" s="229"/>
      <c r="B29" s="230" t="s">
        <v>144</v>
      </c>
      <c r="C29" s="231"/>
    </row>
    <row r="30" spans="1:3" s="149" customFormat="1" x14ac:dyDescent="0.3">
      <c r="A30" s="226">
        <v>410103</v>
      </c>
      <c r="B30" s="235" t="s">
        <v>108</v>
      </c>
      <c r="C30" s="232"/>
    </row>
    <row r="31" spans="1:3" ht="51.6" customHeight="1" x14ac:dyDescent="0.3">
      <c r="A31" s="203">
        <v>24</v>
      </c>
      <c r="B31" s="230" t="s">
        <v>256</v>
      </c>
      <c r="C31" s="180"/>
    </row>
    <row r="32" spans="1:3" x14ac:dyDescent="0.3">
      <c r="A32" s="200">
        <v>410104</v>
      </c>
      <c r="B32" s="235" t="s">
        <v>138</v>
      </c>
      <c r="C32" s="187"/>
    </row>
    <row r="33" spans="1:3" ht="28.8" x14ac:dyDescent="0.3">
      <c r="A33" s="203">
        <v>42</v>
      </c>
      <c r="B33" s="230" t="s">
        <v>239</v>
      </c>
      <c r="C33" s="180"/>
    </row>
    <row r="34" spans="1:3" s="149" customFormat="1" x14ac:dyDescent="0.3">
      <c r="A34" s="226">
        <v>410103</v>
      </c>
      <c r="B34" s="235" t="s">
        <v>108</v>
      </c>
      <c r="C34" s="232"/>
    </row>
    <row r="35" spans="1:3" s="149" customFormat="1" x14ac:dyDescent="0.3">
      <c r="A35" s="229">
        <v>24</v>
      </c>
      <c r="B35" s="236" t="s">
        <v>110</v>
      </c>
      <c r="C35" s="231"/>
    </row>
    <row r="36" spans="1:3" s="149" customFormat="1" x14ac:dyDescent="0.3">
      <c r="A36" s="226">
        <v>410104</v>
      </c>
      <c r="B36" s="235" t="s">
        <v>138</v>
      </c>
      <c r="C36" s="232"/>
    </row>
    <row r="37" spans="1:3" s="149" customFormat="1" x14ac:dyDescent="0.3">
      <c r="A37" s="229">
        <v>23</v>
      </c>
      <c r="B37" s="230" t="s">
        <v>139</v>
      </c>
      <c r="C37" s="231"/>
    </row>
    <row r="38" spans="1:3" x14ac:dyDescent="0.3">
      <c r="C38"/>
    </row>
    <row r="39" spans="1:3" x14ac:dyDescent="0.3">
      <c r="A39" s="200">
        <v>410107</v>
      </c>
      <c r="B39" s="201" t="s">
        <v>156</v>
      </c>
      <c r="C39" s="187"/>
    </row>
    <row r="40" spans="1:3" ht="33" customHeight="1" x14ac:dyDescent="0.3">
      <c r="A40" s="203">
        <v>29</v>
      </c>
      <c r="B40" s="184" t="s">
        <v>157</v>
      </c>
      <c r="C40" s="180"/>
    </row>
    <row r="41" spans="1:3" ht="33" customHeight="1" x14ac:dyDescent="0.3">
      <c r="A41" s="203"/>
      <c r="B41" s="184" t="s">
        <v>257</v>
      </c>
      <c r="C41" s="180"/>
    </row>
    <row r="42" spans="1:3" ht="30" customHeight="1" x14ac:dyDescent="0.3">
      <c r="A42" s="203"/>
      <c r="B42" s="184" t="s">
        <v>252</v>
      </c>
      <c r="C42" s="180"/>
    </row>
    <row r="43" spans="1:3" x14ac:dyDescent="0.3">
      <c r="A43" s="91"/>
      <c r="B43" s="103"/>
      <c r="C43" s="136"/>
    </row>
    <row r="44" spans="1:3" s="149" customFormat="1" x14ac:dyDescent="0.3">
      <c r="A44" s="226">
        <v>410105</v>
      </c>
      <c r="B44" s="227" t="s">
        <v>145</v>
      </c>
      <c r="C44" s="228">
        <v>0.47916666666666669</v>
      </c>
    </row>
    <row r="45" spans="1:3" s="149" customFormat="1" x14ac:dyDescent="0.3">
      <c r="A45" s="229">
        <v>38</v>
      </c>
      <c r="B45" s="230" t="s">
        <v>251</v>
      </c>
      <c r="C45" s="231"/>
    </row>
    <row r="46" spans="1:3" s="149" customFormat="1" ht="16.2" customHeight="1" x14ac:dyDescent="0.3">
      <c r="A46" s="226">
        <v>410105</v>
      </c>
      <c r="B46" s="235" t="s">
        <v>145</v>
      </c>
      <c r="C46" s="232"/>
    </row>
    <row r="47" spans="1:3" s="149" customFormat="1" x14ac:dyDescent="0.3">
      <c r="A47" s="229">
        <v>37</v>
      </c>
      <c r="B47" s="230" t="s">
        <v>240</v>
      </c>
      <c r="C47" s="231"/>
    </row>
    <row r="48" spans="1:3" s="149" customFormat="1" x14ac:dyDescent="0.3">
      <c r="A48" s="226">
        <v>410105</v>
      </c>
      <c r="B48" s="235" t="s">
        <v>145</v>
      </c>
      <c r="C48" s="232"/>
    </row>
    <row r="49" spans="1:3" s="149" customFormat="1" x14ac:dyDescent="0.3">
      <c r="A49" s="229">
        <v>36</v>
      </c>
      <c r="B49" s="230" t="s">
        <v>247</v>
      </c>
      <c r="C49" s="231"/>
    </row>
    <row r="50" spans="1:3" s="149" customFormat="1" x14ac:dyDescent="0.3">
      <c r="A50" s="153"/>
      <c r="B50" s="154"/>
      <c r="C50" s="155"/>
    </row>
    <row r="51" spans="1:3" s="149" customFormat="1" x14ac:dyDescent="0.3">
      <c r="A51" s="226">
        <v>410106</v>
      </c>
      <c r="B51" s="227" t="s">
        <v>148</v>
      </c>
      <c r="C51" s="228">
        <v>0.625</v>
      </c>
    </row>
    <row r="52" spans="1:3" s="149" customFormat="1" x14ac:dyDescent="0.3">
      <c r="A52" s="229">
        <v>2</v>
      </c>
      <c r="B52" s="230" t="s">
        <v>149</v>
      </c>
      <c r="C52" s="231"/>
    </row>
    <row r="53" spans="1:3" s="149" customFormat="1" x14ac:dyDescent="0.3">
      <c r="A53" s="229">
        <v>14</v>
      </c>
      <c r="B53" s="230" t="s">
        <v>151</v>
      </c>
      <c r="C53" s="231"/>
    </row>
    <row r="54" spans="1:3" s="149" customFormat="1" x14ac:dyDescent="0.3">
      <c r="A54" s="229">
        <v>15</v>
      </c>
      <c r="B54" s="230" t="s">
        <v>153</v>
      </c>
      <c r="C54" s="231"/>
    </row>
    <row r="55" spans="1:3" s="149" customFormat="1" ht="28.8" x14ac:dyDescent="0.3">
      <c r="A55" s="229">
        <v>43</v>
      </c>
      <c r="B55" s="230" t="s">
        <v>154</v>
      </c>
      <c r="C55" s="231"/>
    </row>
    <row r="56" spans="1:3" s="149" customFormat="1" x14ac:dyDescent="0.3">
      <c r="A56" s="229">
        <v>46</v>
      </c>
      <c r="B56" s="230" t="s">
        <v>155</v>
      </c>
      <c r="C56" s="231"/>
    </row>
    <row r="57" spans="1:3" s="149" customFormat="1" x14ac:dyDescent="0.3">
      <c r="A57" s="226">
        <v>410106</v>
      </c>
      <c r="B57" s="235" t="s">
        <v>148</v>
      </c>
      <c r="C57" s="232"/>
    </row>
    <row r="58" spans="1:3" s="149" customFormat="1" x14ac:dyDescent="0.3">
      <c r="A58" s="229">
        <v>44</v>
      </c>
      <c r="B58" s="230" t="s">
        <v>241</v>
      </c>
      <c r="C58" s="231"/>
    </row>
    <row r="59" spans="1:3" s="149" customFormat="1" x14ac:dyDescent="0.3">
      <c r="A59" s="226">
        <v>410106</v>
      </c>
      <c r="B59" s="235" t="s">
        <v>148</v>
      </c>
      <c r="C59" s="232"/>
    </row>
    <row r="60" spans="1:3" s="149" customFormat="1" x14ac:dyDescent="0.3">
      <c r="A60" s="229">
        <v>45</v>
      </c>
      <c r="B60" s="230" t="s">
        <v>248</v>
      </c>
      <c r="C60" s="231"/>
    </row>
    <row r="61" spans="1:3" x14ac:dyDescent="0.3">
      <c r="A61" s="90"/>
      <c r="B61" s="104"/>
      <c r="C61" s="138"/>
    </row>
    <row r="62" spans="1:3" x14ac:dyDescent="0.3">
      <c r="A62" s="226">
        <v>410108</v>
      </c>
      <c r="B62" s="227" t="s">
        <v>163</v>
      </c>
      <c r="C62" s="234">
        <v>0.4375</v>
      </c>
    </row>
    <row r="63" spans="1:3" hidden="1" x14ac:dyDescent="0.3">
      <c r="A63" s="229">
        <v>25</v>
      </c>
      <c r="B63" s="237" t="s">
        <v>164</v>
      </c>
      <c r="C63" s="213"/>
    </row>
    <row r="64" spans="1:3" ht="57.6" hidden="1" x14ac:dyDescent="0.3">
      <c r="A64" s="229">
        <v>26</v>
      </c>
      <c r="B64" s="237" t="s">
        <v>166</v>
      </c>
      <c r="C64" s="213"/>
    </row>
    <row r="65" spans="1:3" hidden="1" x14ac:dyDescent="0.3">
      <c r="A65" s="229">
        <v>31</v>
      </c>
      <c r="B65" s="237" t="s">
        <v>167</v>
      </c>
      <c r="C65" s="213"/>
    </row>
    <row r="66" spans="1:3" ht="43.2" x14ac:dyDescent="0.3">
      <c r="A66" s="229">
        <v>32</v>
      </c>
      <c r="B66" s="237" t="s">
        <v>168</v>
      </c>
      <c r="C66" s="213"/>
    </row>
    <row r="67" spans="1:3" ht="28.8" x14ac:dyDescent="0.3">
      <c r="A67" s="229">
        <v>48</v>
      </c>
      <c r="B67" s="237" t="s">
        <v>170</v>
      </c>
      <c r="C67" s="213"/>
    </row>
    <row r="68" spans="1:3" ht="43.2" x14ac:dyDescent="0.3">
      <c r="A68" s="229">
        <v>49</v>
      </c>
      <c r="B68" s="237" t="s">
        <v>172</v>
      </c>
      <c r="C68" s="213"/>
    </row>
    <row r="69" spans="1:3" ht="28.8" x14ac:dyDescent="0.3">
      <c r="A69" s="229"/>
      <c r="B69" s="237" t="s">
        <v>175</v>
      </c>
      <c r="C69" s="213"/>
    </row>
    <row r="70" spans="1:3" x14ac:dyDescent="0.3">
      <c r="A70" s="226">
        <v>410108</v>
      </c>
      <c r="B70" s="235" t="s">
        <v>163</v>
      </c>
      <c r="C70" s="187"/>
    </row>
    <row r="71" spans="1:3" x14ac:dyDescent="0.3">
      <c r="A71" s="304">
        <v>47</v>
      </c>
      <c r="B71" s="305" t="s">
        <v>242</v>
      </c>
      <c r="C71" s="180"/>
    </row>
    <row r="72" spans="1:3" ht="28.8" x14ac:dyDescent="0.3">
      <c r="A72" s="229">
        <v>61</v>
      </c>
      <c r="B72" s="237" t="s">
        <v>243</v>
      </c>
      <c r="C72" s="213"/>
    </row>
    <row r="73" spans="1:3" x14ac:dyDescent="0.3">
      <c r="A73" s="226">
        <v>410108</v>
      </c>
      <c r="B73" s="235" t="s">
        <v>163</v>
      </c>
      <c r="C73" s="187"/>
    </row>
    <row r="74" spans="1:3" ht="28.8" x14ac:dyDescent="0.3">
      <c r="A74" s="229">
        <v>50</v>
      </c>
      <c r="B74" s="237" t="s">
        <v>249</v>
      </c>
      <c r="C74" s="180"/>
    </row>
    <row r="75" spans="1:3" x14ac:dyDescent="0.3">
      <c r="A75" s="90"/>
      <c r="B75" s="105"/>
      <c r="C75" s="139"/>
    </row>
    <row r="76" spans="1:3" s="149" customFormat="1" x14ac:dyDescent="0.3">
      <c r="A76" s="226">
        <v>410109</v>
      </c>
      <c r="B76" s="227" t="s">
        <v>177</v>
      </c>
      <c r="C76" s="228">
        <v>0.64583333333333337</v>
      </c>
    </row>
    <row r="77" spans="1:3" s="149" customFormat="1" ht="28.8" x14ac:dyDescent="0.3">
      <c r="A77" s="229">
        <v>1</v>
      </c>
      <c r="B77" s="230" t="s">
        <v>178</v>
      </c>
      <c r="C77" s="231"/>
    </row>
    <row r="78" spans="1:3" s="149" customFormat="1" x14ac:dyDescent="0.3">
      <c r="A78" s="229">
        <v>7</v>
      </c>
      <c r="B78" s="230" t="s">
        <v>180</v>
      </c>
      <c r="C78" s="231"/>
    </row>
    <row r="79" spans="1:3" s="149" customFormat="1" x14ac:dyDescent="0.3">
      <c r="A79" s="229">
        <v>34</v>
      </c>
      <c r="B79" s="230" t="s">
        <v>181</v>
      </c>
      <c r="C79" s="231"/>
    </row>
    <row r="80" spans="1:3" s="149" customFormat="1" x14ac:dyDescent="0.3">
      <c r="A80" s="229">
        <v>40</v>
      </c>
      <c r="B80" s="230" t="s">
        <v>182</v>
      </c>
      <c r="C80" s="231"/>
    </row>
    <row r="81" spans="1:3" s="149" customFormat="1" x14ac:dyDescent="0.3">
      <c r="A81" s="229"/>
      <c r="B81" s="230" t="s">
        <v>184</v>
      </c>
      <c r="C81" s="231"/>
    </row>
    <row r="82" spans="1:3" s="149" customFormat="1" x14ac:dyDescent="0.3">
      <c r="A82" s="229"/>
      <c r="B82" s="230" t="s">
        <v>258</v>
      </c>
      <c r="C82" s="231"/>
    </row>
    <row r="83" spans="1:3" s="149" customFormat="1" x14ac:dyDescent="0.3">
      <c r="A83" s="226">
        <v>410109</v>
      </c>
      <c r="B83" s="235" t="s">
        <v>177</v>
      </c>
      <c r="C83" s="232"/>
    </row>
    <row r="84" spans="1:3" s="149" customFormat="1" x14ac:dyDescent="0.3">
      <c r="A84" s="229">
        <v>40</v>
      </c>
      <c r="B84" s="236" t="s">
        <v>244</v>
      </c>
      <c r="C84" s="231"/>
    </row>
    <row r="85" spans="1:3" s="149" customFormat="1" x14ac:dyDescent="0.3">
      <c r="A85" s="226">
        <v>410109</v>
      </c>
      <c r="B85" s="235" t="s">
        <v>177</v>
      </c>
      <c r="C85" s="232"/>
    </row>
    <row r="86" spans="1:3" s="149" customFormat="1" x14ac:dyDescent="0.3">
      <c r="A86" s="229">
        <v>40</v>
      </c>
      <c r="B86" s="238" t="s">
        <v>244</v>
      </c>
      <c r="C86" s="231"/>
    </row>
    <row r="87" spans="1:3" x14ac:dyDescent="0.3">
      <c r="A87" s="95"/>
      <c r="B87" s="106"/>
      <c r="C87" s="140"/>
    </row>
    <row r="88" spans="1:3" s="149" customFormat="1" x14ac:dyDescent="0.3">
      <c r="A88" s="306">
        <v>410110</v>
      </c>
      <c r="B88" s="307" t="s">
        <v>186</v>
      </c>
      <c r="C88" s="228"/>
    </row>
    <row r="89" spans="1:3" s="149" customFormat="1" ht="28.8" x14ac:dyDescent="0.3">
      <c r="A89" s="229">
        <v>4</v>
      </c>
      <c r="B89" s="230" t="s">
        <v>188</v>
      </c>
      <c r="C89" s="231"/>
    </row>
    <row r="90" spans="1:3" s="149" customFormat="1" ht="28.8" x14ac:dyDescent="0.3">
      <c r="A90" s="229">
        <v>8</v>
      </c>
      <c r="B90" s="230" t="s">
        <v>190</v>
      </c>
      <c r="C90" s="231"/>
    </row>
    <row r="91" spans="1:3" s="149" customFormat="1" x14ac:dyDescent="0.3">
      <c r="A91" s="226">
        <v>410120</v>
      </c>
      <c r="B91" s="227" t="s">
        <v>213</v>
      </c>
      <c r="C91" s="232"/>
    </row>
    <row r="92" spans="1:3" s="149" customFormat="1" x14ac:dyDescent="0.3">
      <c r="A92" s="229">
        <v>27</v>
      </c>
      <c r="B92" s="230" t="s">
        <v>214</v>
      </c>
      <c r="C92" s="231"/>
    </row>
    <row r="93" spans="1:3" x14ac:dyDescent="0.3">
      <c r="A93" s="200">
        <v>410120</v>
      </c>
      <c r="B93" s="223" t="s">
        <v>213</v>
      </c>
      <c r="C93" s="187"/>
    </row>
    <row r="94" spans="1:3" x14ac:dyDescent="0.3">
      <c r="A94" s="203">
        <v>27</v>
      </c>
      <c r="B94" s="184" t="s">
        <v>214</v>
      </c>
      <c r="C94" s="180"/>
    </row>
    <row r="95" spans="1:3" x14ac:dyDescent="0.3">
      <c r="A95" s="200">
        <v>410109</v>
      </c>
      <c r="B95" s="223" t="s">
        <v>213</v>
      </c>
      <c r="C95" s="187"/>
    </row>
    <row r="96" spans="1:3" x14ac:dyDescent="0.3">
      <c r="A96" s="203">
        <v>27</v>
      </c>
      <c r="B96" s="184" t="s">
        <v>214</v>
      </c>
      <c r="C96" s="180"/>
    </row>
    <row r="97" spans="1:3" x14ac:dyDescent="0.3">
      <c r="A97" s="96"/>
      <c r="B97" s="107"/>
      <c r="C97" s="141"/>
    </row>
    <row r="98" spans="1:3" x14ac:dyDescent="0.3">
      <c r="A98" s="296">
        <v>410111</v>
      </c>
      <c r="B98" s="201" t="s">
        <v>191</v>
      </c>
      <c r="C98" s="234">
        <v>0.70833333333333337</v>
      </c>
    </row>
    <row r="99" spans="1:3" x14ac:dyDescent="0.3">
      <c r="A99" s="203">
        <v>19</v>
      </c>
      <c r="B99" s="184" t="s">
        <v>191</v>
      </c>
      <c r="C99" s="180"/>
    </row>
    <row r="100" spans="1:3" x14ac:dyDescent="0.3">
      <c r="A100" s="96"/>
      <c r="B100" s="107"/>
      <c r="C100" s="141"/>
    </row>
    <row r="101" spans="1:3" x14ac:dyDescent="0.3">
      <c r="A101" s="200">
        <v>410113</v>
      </c>
      <c r="B101" s="201" t="s">
        <v>194</v>
      </c>
      <c r="C101" s="234">
        <v>0.71875</v>
      </c>
    </row>
    <row r="102" spans="1:3" x14ac:dyDescent="0.3">
      <c r="A102" s="203">
        <v>28</v>
      </c>
      <c r="B102" s="184" t="s">
        <v>195</v>
      </c>
      <c r="C102" s="180"/>
    </row>
    <row r="103" spans="1:3" s="149" customFormat="1" x14ac:dyDescent="0.3">
      <c r="A103" s="226">
        <v>410114</v>
      </c>
      <c r="B103" s="227" t="s">
        <v>197</v>
      </c>
      <c r="C103" s="232"/>
    </row>
    <row r="104" spans="1:3" s="149" customFormat="1" x14ac:dyDescent="0.3">
      <c r="A104" s="229">
        <v>20</v>
      </c>
      <c r="B104" s="230" t="s">
        <v>197</v>
      </c>
      <c r="C104" s="231"/>
    </row>
    <row r="105" spans="1:3" s="149" customFormat="1" ht="28.8" x14ac:dyDescent="0.3">
      <c r="A105" s="229"/>
      <c r="B105" s="230" t="s">
        <v>199</v>
      </c>
      <c r="C105" s="231"/>
    </row>
    <row r="106" spans="1:3" x14ac:dyDescent="0.3">
      <c r="A106" s="200">
        <v>410115</v>
      </c>
      <c r="B106" s="201" t="s">
        <v>201</v>
      </c>
      <c r="C106" s="187"/>
    </row>
    <row r="107" spans="1:3" x14ac:dyDescent="0.3">
      <c r="A107" s="203">
        <v>22</v>
      </c>
      <c r="B107" s="184" t="s">
        <v>202</v>
      </c>
      <c r="C107" s="180"/>
    </row>
    <row r="108" spans="1:3" x14ac:dyDescent="0.3">
      <c r="A108" s="203">
        <v>56</v>
      </c>
      <c r="B108" s="184" t="s">
        <v>203</v>
      </c>
      <c r="C108" s="180"/>
    </row>
    <row r="109" spans="1:3" x14ac:dyDescent="0.3">
      <c r="A109" s="200"/>
      <c r="B109" s="201" t="s">
        <v>259</v>
      </c>
      <c r="C109" s="187"/>
    </row>
    <row r="110" spans="1:3" x14ac:dyDescent="0.3">
      <c r="A110" s="203">
        <v>54</v>
      </c>
      <c r="B110" s="184" t="s">
        <v>226</v>
      </c>
      <c r="C110" s="180"/>
    </row>
    <row r="111" spans="1:3" x14ac:dyDescent="0.3">
      <c r="A111" s="203">
        <v>55</v>
      </c>
      <c r="B111" s="218" t="s">
        <v>227</v>
      </c>
      <c r="C111" s="180"/>
    </row>
    <row r="112" spans="1:3" ht="43.2" x14ac:dyDescent="0.3">
      <c r="A112" s="203">
        <v>57</v>
      </c>
      <c r="B112" s="184" t="s">
        <v>229</v>
      </c>
      <c r="C112" s="180"/>
    </row>
    <row r="113" spans="1:3" x14ac:dyDescent="0.3">
      <c r="A113" s="97"/>
      <c r="B113" s="109"/>
      <c r="C113" s="142"/>
    </row>
    <row r="114" spans="1:3" s="149" customFormat="1" x14ac:dyDescent="0.3">
      <c r="A114" s="226">
        <v>410116</v>
      </c>
      <c r="B114" s="227" t="s">
        <v>204</v>
      </c>
      <c r="C114" s="228"/>
    </row>
    <row r="115" spans="1:3" s="149" customFormat="1" x14ac:dyDescent="0.3">
      <c r="A115" s="229">
        <v>21</v>
      </c>
      <c r="B115" s="230" t="s">
        <v>206</v>
      </c>
      <c r="C115" s="231"/>
    </row>
    <row r="116" spans="1:3" x14ac:dyDescent="0.3">
      <c r="A116" s="96"/>
      <c r="B116" s="107"/>
      <c r="C116" s="141"/>
    </row>
    <row r="117" spans="1:3" s="149" customFormat="1" x14ac:dyDescent="0.3">
      <c r="A117" s="226">
        <v>410117</v>
      </c>
      <c r="B117" s="227" t="s">
        <v>208</v>
      </c>
      <c r="C117" s="228"/>
    </row>
    <row r="118" spans="1:3" s="149" customFormat="1" x14ac:dyDescent="0.3">
      <c r="A118" s="229">
        <v>13</v>
      </c>
      <c r="B118" s="230" t="s">
        <v>209</v>
      </c>
      <c r="C118" s="231"/>
    </row>
    <row r="119" spans="1:3" s="149" customFormat="1" x14ac:dyDescent="0.3">
      <c r="A119" s="150"/>
      <c r="B119" s="151"/>
      <c r="C119" s="152"/>
    </row>
    <row r="120" spans="1:3" s="149" customFormat="1" x14ac:dyDescent="0.3">
      <c r="A120" s="306">
        <v>410123</v>
      </c>
      <c r="B120" s="307" t="s">
        <v>217</v>
      </c>
      <c r="C120" s="228">
        <v>0.6875</v>
      </c>
    </row>
    <row r="121" spans="1:3" s="149" customFormat="1" x14ac:dyDescent="0.3">
      <c r="A121" s="229">
        <v>10</v>
      </c>
      <c r="B121" s="233" t="s">
        <v>218</v>
      </c>
      <c r="C121" s="229"/>
    </row>
    <row r="122" spans="1:3" s="149" customFormat="1" x14ac:dyDescent="0.3">
      <c r="A122" s="229"/>
      <c r="B122" s="233" t="s">
        <v>220</v>
      </c>
      <c r="C122" s="229"/>
    </row>
    <row r="123" spans="1:3" x14ac:dyDescent="0.3">
      <c r="A123" s="96"/>
      <c r="B123" s="107"/>
      <c r="C123" s="141"/>
    </row>
    <row r="124" spans="1:3" x14ac:dyDescent="0.3">
      <c r="A124" s="200">
        <v>410124</v>
      </c>
      <c r="B124" s="201" t="s">
        <v>222</v>
      </c>
      <c r="C124" s="234">
        <v>0.35416666666666669</v>
      </c>
    </row>
    <row r="125" spans="1:3" x14ac:dyDescent="0.3">
      <c r="A125" s="203">
        <v>33</v>
      </c>
      <c r="B125" s="218" t="s">
        <v>253</v>
      </c>
      <c r="C125" s="203"/>
    </row>
    <row r="126" spans="1:3" x14ac:dyDescent="0.3">
      <c r="A126" s="29"/>
      <c r="B126" s="110"/>
      <c r="C126" s="143"/>
    </row>
    <row r="131" spans="1:2" x14ac:dyDescent="0.3">
      <c r="A131" s="91"/>
      <c r="B131" s="91"/>
    </row>
    <row r="132" spans="1:2" x14ac:dyDescent="0.3">
      <c r="A132" s="91"/>
      <c r="B132" s="91"/>
    </row>
    <row r="135" spans="1:2" x14ac:dyDescent="0.3">
      <c r="A135" s="90"/>
      <c r="B135" s="94"/>
    </row>
    <row r="136" spans="1:2" x14ac:dyDescent="0.3">
      <c r="A136" s="90"/>
      <c r="B136" s="94"/>
    </row>
    <row r="139" spans="1:2" x14ac:dyDescent="0.3">
      <c r="A139" s="95"/>
      <c r="B139" s="9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CA81A-9A19-478A-9CB3-A33EF54BB039}">
  <dimension ref="B1:H17"/>
  <sheetViews>
    <sheetView view="pageBreakPreview" zoomScale="70" zoomScaleNormal="90" zoomScaleSheetLayoutView="70" workbookViewId="0">
      <pane xSplit="2" topLeftCell="C1" activePane="topRight" state="frozen"/>
      <selection pane="topRight" activeCell="D14" sqref="D14"/>
    </sheetView>
  </sheetViews>
  <sheetFormatPr baseColWidth="10" defaultColWidth="21.33203125" defaultRowHeight="18" x14ac:dyDescent="0.35"/>
  <cols>
    <col min="1" max="1" width="2.109375" style="2" customWidth="1"/>
    <col min="2" max="2" width="32.6640625" customWidth="1"/>
    <col min="3" max="5" width="20.6640625" style="2" customWidth="1"/>
    <col min="6" max="6" width="22.6640625" style="2" customWidth="1"/>
    <col min="7" max="7" width="21.109375" style="2" customWidth="1"/>
    <col min="8" max="8" width="2.33203125" style="101" customWidth="1"/>
    <col min="9" max="16384" width="21.33203125" style="2"/>
  </cols>
  <sheetData>
    <row r="1" spans="2:8" s="4" customFormat="1" x14ac:dyDescent="0.35">
      <c r="B1" s="9"/>
      <c r="C1" s="6"/>
      <c r="D1" s="14"/>
      <c r="E1" s="9"/>
      <c r="F1" s="9"/>
      <c r="H1" s="100"/>
    </row>
    <row r="2" spans="2:8" s="6" customFormat="1" ht="11.25" customHeight="1" x14ac:dyDescent="0.35">
      <c r="B2" s="111"/>
      <c r="C2" s="111"/>
      <c r="D2" s="111"/>
      <c r="E2" s="113"/>
      <c r="F2" s="113"/>
      <c r="H2" s="100"/>
    </row>
    <row r="3" spans="2:8" s="6" customFormat="1" ht="35.25" customHeight="1" x14ac:dyDescent="0.35">
      <c r="B3" s="373" t="s">
        <v>260</v>
      </c>
      <c r="C3" s="373"/>
      <c r="D3" s="373"/>
      <c r="E3" s="373"/>
      <c r="F3" s="373"/>
      <c r="G3" s="373"/>
      <c r="H3" s="100"/>
    </row>
    <row r="4" spans="2:8" s="6" customFormat="1" ht="35.25" customHeight="1" x14ac:dyDescent="0.35">
      <c r="B4" s="373" t="s">
        <v>261</v>
      </c>
      <c r="C4" s="373"/>
      <c r="D4" s="373"/>
      <c r="E4" s="373"/>
      <c r="F4" s="373"/>
      <c r="G4" s="373"/>
      <c r="H4" s="100"/>
    </row>
    <row r="5" spans="2:8" s="4" customFormat="1" ht="27.6" customHeight="1" x14ac:dyDescent="0.35">
      <c r="B5" s="114"/>
      <c r="C5" s="114"/>
      <c r="D5" s="114"/>
      <c r="E5" s="114"/>
      <c r="F5" s="114"/>
      <c r="H5" s="100"/>
    </row>
    <row r="6" spans="2:8" s="4" customFormat="1" ht="24.75" customHeight="1" x14ac:dyDescent="0.35">
      <c r="B6" s="189" t="s">
        <v>1</v>
      </c>
      <c r="C6" s="190"/>
      <c r="E6" s="9"/>
      <c r="F6" s="9"/>
      <c r="H6" s="100"/>
    </row>
    <row r="7" spans="2:8" s="4" customFormat="1" ht="24.75" customHeight="1" x14ac:dyDescent="0.35">
      <c r="B7" s="283" t="s">
        <v>3</v>
      </c>
      <c r="C7" s="191">
        <v>2</v>
      </c>
      <c r="E7" s="9"/>
      <c r="F7" s="9"/>
      <c r="H7" s="100"/>
    </row>
    <row r="8" spans="2:8" s="4" customFormat="1" x14ac:dyDescent="0.35">
      <c r="B8" s="88"/>
      <c r="C8" s="89"/>
      <c r="E8" s="9"/>
      <c r="F8" s="9"/>
      <c r="H8" s="100"/>
    </row>
    <row r="9" spans="2:8" s="4" customFormat="1" ht="15" customHeight="1" x14ac:dyDescent="0.35">
      <c r="B9" s="284" t="s">
        <v>4</v>
      </c>
      <c r="C9" s="270"/>
      <c r="D9" s="270"/>
      <c r="E9" s="270"/>
      <c r="F9" s="270"/>
      <c r="G9" s="285"/>
      <c r="H9" s="100"/>
    </row>
    <row r="10" spans="2:8" s="5" customFormat="1" ht="19.95" customHeight="1" x14ac:dyDescent="0.2">
      <c r="B10" s="368" t="s">
        <v>5</v>
      </c>
      <c r="C10" s="377" t="s">
        <v>6</v>
      </c>
      <c r="D10" s="378"/>
      <c r="E10" s="379"/>
      <c r="F10" s="278" t="s">
        <v>262</v>
      </c>
      <c r="G10" s="370" t="s">
        <v>10</v>
      </c>
    </row>
    <row r="11" spans="2:8" s="5" customFormat="1" ht="22.95" customHeight="1" x14ac:dyDescent="0.2">
      <c r="B11" s="368"/>
      <c r="C11" s="377" t="s">
        <v>263</v>
      </c>
      <c r="D11" s="378"/>
      <c r="E11" s="379"/>
      <c r="F11" s="278" t="s">
        <v>264</v>
      </c>
      <c r="G11" s="370"/>
    </row>
    <row r="12" spans="2:8" s="5" customFormat="1" ht="67.2" customHeight="1" x14ac:dyDescent="0.2">
      <c r="B12" s="369"/>
      <c r="C12" s="277" t="s">
        <v>265</v>
      </c>
      <c r="D12" s="278" t="s">
        <v>266</v>
      </c>
      <c r="E12" s="278" t="s">
        <v>267</v>
      </c>
      <c r="F12" s="278" t="s">
        <v>268</v>
      </c>
      <c r="G12" s="370"/>
    </row>
    <row r="13" spans="2:8" s="5" customFormat="1" ht="28.95" customHeight="1" x14ac:dyDescent="0.2">
      <c r="B13" s="286" t="s">
        <v>269</v>
      </c>
      <c r="C13" s="192"/>
      <c r="D13" s="192"/>
      <c r="E13" s="192"/>
      <c r="F13" s="194"/>
      <c r="G13" s="196"/>
    </row>
    <row r="14" spans="2:8" s="5" customFormat="1" ht="29.25" customHeight="1" x14ac:dyDescent="0.2">
      <c r="B14" s="286" t="s">
        <v>270</v>
      </c>
      <c r="C14" s="192">
        <v>1</v>
      </c>
      <c r="D14" s="192">
        <v>0</v>
      </c>
      <c r="E14" s="192">
        <v>0</v>
      </c>
      <c r="F14" s="192">
        <v>0</v>
      </c>
      <c r="G14" s="196">
        <f>SUM(C14:F14)</f>
        <v>1</v>
      </c>
    </row>
    <row r="15" spans="2:8" s="5" customFormat="1" ht="29.25" customHeight="1" x14ac:dyDescent="0.2">
      <c r="B15" s="286" t="s">
        <v>271</v>
      </c>
      <c r="C15" s="192">
        <v>0</v>
      </c>
      <c r="D15" s="192">
        <v>1</v>
      </c>
      <c r="E15" s="192">
        <v>0</v>
      </c>
      <c r="F15" s="192">
        <v>0</v>
      </c>
      <c r="G15" s="196">
        <f t="shared" ref="G15:G16" si="0">SUM(C15:F15)</f>
        <v>1</v>
      </c>
    </row>
    <row r="16" spans="2:8" ht="40.950000000000003" customHeight="1" x14ac:dyDescent="0.2">
      <c r="B16" s="286" t="s">
        <v>272</v>
      </c>
      <c r="C16" s="192">
        <v>0</v>
      </c>
      <c r="D16" s="195">
        <v>2662177528.5999999</v>
      </c>
      <c r="E16" s="192">
        <v>0</v>
      </c>
      <c r="F16" s="195">
        <v>295566028.69</v>
      </c>
      <c r="G16" s="196">
        <f t="shared" si="0"/>
        <v>2957743557.29</v>
      </c>
      <c r="H16" s="118"/>
    </row>
    <row r="17" spans="2:7" s="38" customFormat="1" ht="10.199999999999999" x14ac:dyDescent="0.2">
      <c r="B17" s="120"/>
      <c r="C17" s="120"/>
      <c r="D17" s="120"/>
      <c r="E17" s="120"/>
      <c r="F17" s="121"/>
      <c r="G17" s="121"/>
    </row>
  </sheetData>
  <sheetProtection selectLockedCells="1" selectUnlockedCells="1"/>
  <autoFilter ref="B1:FP17" xr:uid="{00000000-0009-0000-0000-000001000000}"/>
  <mergeCells count="6">
    <mergeCell ref="C11:E11"/>
    <mergeCell ref="B3:G3"/>
    <mergeCell ref="B10:B12"/>
    <mergeCell ref="G10:G12"/>
    <mergeCell ref="B4:G4"/>
    <mergeCell ref="C10:E10"/>
  </mergeCells>
  <printOptions horizontalCentered="1"/>
  <pageMargins left="0.23622047244094491" right="0.23622047244094491" top="0.74803149606299213" bottom="0.74803149606299213" header="0.31496062992125984" footer="0.31496062992125984"/>
  <pageSetup paperSize="121" scale="1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559AE-603E-460A-96BA-BEC901E40C5B}">
  <dimension ref="A1:G11"/>
  <sheetViews>
    <sheetView view="pageBreakPreview" zoomScale="50" zoomScaleNormal="90" zoomScaleSheetLayoutView="50" workbookViewId="0">
      <selection activeCell="E8" sqref="E8"/>
    </sheetView>
  </sheetViews>
  <sheetFormatPr baseColWidth="10" defaultColWidth="21.33203125" defaultRowHeight="12" x14ac:dyDescent="0.25"/>
  <cols>
    <col min="1" max="1" width="1.6640625" style="2" customWidth="1"/>
    <col min="2" max="3" width="37.5546875" style="13" customWidth="1"/>
    <col min="4" max="4" width="18.88671875" style="7" customWidth="1"/>
    <col min="5" max="5" width="67.44140625" style="19" customWidth="1"/>
    <col min="6" max="6" width="31.109375" style="11" customWidth="1"/>
    <col min="7" max="7" width="29.109375" style="11" customWidth="1"/>
    <col min="8" max="8" width="1.109375" style="2" customWidth="1"/>
    <col min="9" max="9" width="23.44140625" style="2" customWidth="1"/>
    <col min="10" max="10" width="21.33203125" style="2"/>
    <col min="11" max="11" width="27" style="2" customWidth="1"/>
    <col min="12" max="16384" width="21.33203125" style="2"/>
  </cols>
  <sheetData>
    <row r="1" spans="1:7" s="4" customFormat="1" ht="13.8" x14ac:dyDescent="0.3">
      <c r="A1" s="4" t="s">
        <v>84</v>
      </c>
      <c r="B1" s="9"/>
      <c r="C1" s="9"/>
      <c r="D1" s="6"/>
      <c r="E1" s="14"/>
      <c r="F1" s="9"/>
      <c r="G1" s="9"/>
    </row>
    <row r="2" spans="1:7" s="6" customFormat="1" x14ac:dyDescent="0.25">
      <c r="B2" s="111"/>
      <c r="C2" s="111"/>
      <c r="D2" s="111"/>
      <c r="E2" s="111"/>
      <c r="F2" s="113"/>
      <c r="G2" s="113"/>
    </row>
    <row r="3" spans="1:7" s="74" customFormat="1" ht="30" x14ac:dyDescent="0.25">
      <c r="B3" s="376" t="s">
        <v>245</v>
      </c>
      <c r="C3" s="376"/>
      <c r="D3" s="376"/>
      <c r="E3" s="376"/>
      <c r="F3" s="376"/>
      <c r="G3" s="376"/>
    </row>
    <row r="4" spans="1:7" s="4" customFormat="1" ht="35.4" x14ac:dyDescent="0.3">
      <c r="B4" s="114"/>
      <c r="C4" s="114"/>
      <c r="D4" s="114"/>
      <c r="E4" s="114"/>
      <c r="F4" s="114"/>
      <c r="G4" s="114"/>
    </row>
    <row r="5" spans="1:7" s="4" customFormat="1" ht="13.8" x14ac:dyDescent="0.3">
      <c r="B5" s="9"/>
      <c r="C5" s="9"/>
      <c r="D5" s="6"/>
      <c r="E5" s="14"/>
      <c r="F5" s="9"/>
      <c r="G5" s="9"/>
    </row>
    <row r="6" spans="1:7" s="15" customFormat="1" ht="39.6" customHeight="1" x14ac:dyDescent="0.2">
      <c r="B6" s="199" t="s">
        <v>85</v>
      </c>
      <c r="C6" s="199" t="s">
        <v>86</v>
      </c>
      <c r="D6" s="200">
        <v>5103010202</v>
      </c>
      <c r="E6" s="223" t="s">
        <v>273</v>
      </c>
      <c r="F6" s="199" t="s">
        <v>92</v>
      </c>
      <c r="G6" s="204">
        <f>+'POAI FCTeI'!G16</f>
        <v>2957743557.29</v>
      </c>
    </row>
    <row r="7" spans="1:7" s="15" customFormat="1" ht="50.4" customHeight="1" x14ac:dyDescent="0.2">
      <c r="B7" s="92" t="s">
        <v>94</v>
      </c>
      <c r="C7" s="180" t="s">
        <v>104</v>
      </c>
      <c r="D7" s="203"/>
      <c r="E7" s="224"/>
      <c r="F7" s="199" t="s">
        <v>101</v>
      </c>
      <c r="G7" s="205"/>
    </row>
    <row r="8" spans="1:7" s="15" customFormat="1" ht="50.4" customHeight="1" x14ac:dyDescent="0.2">
      <c r="B8" s="92" t="s">
        <v>94</v>
      </c>
      <c r="C8" s="180" t="s">
        <v>104</v>
      </c>
      <c r="D8" s="203"/>
      <c r="E8" s="224"/>
      <c r="F8" s="199" t="s">
        <v>101</v>
      </c>
      <c r="G8" s="205"/>
    </row>
    <row r="9" spans="1:7" s="15" customFormat="1" ht="50.4" customHeight="1" x14ac:dyDescent="0.2">
      <c r="B9" s="92" t="s">
        <v>94</v>
      </c>
      <c r="C9" s="180" t="s">
        <v>104</v>
      </c>
      <c r="D9" s="203"/>
      <c r="E9" s="224"/>
      <c r="F9" s="199" t="s">
        <v>101</v>
      </c>
      <c r="G9" s="205"/>
    </row>
    <row r="10" spans="1:7" s="15" customFormat="1" ht="50.4" customHeight="1" x14ac:dyDescent="0.2">
      <c r="B10" s="92" t="s">
        <v>94</v>
      </c>
      <c r="C10" s="180" t="s">
        <v>104</v>
      </c>
      <c r="D10" s="203"/>
      <c r="E10" s="224"/>
      <c r="F10" s="199" t="s">
        <v>101</v>
      </c>
      <c r="G10" s="205"/>
    </row>
    <row r="11" spans="1:7" s="15" customFormat="1" ht="50.4" customHeight="1" x14ac:dyDescent="0.2">
      <c r="B11" s="92" t="s">
        <v>94</v>
      </c>
      <c r="C11" s="180" t="s">
        <v>104</v>
      </c>
      <c r="D11" s="203"/>
      <c r="E11" s="224"/>
      <c r="F11" s="199" t="s">
        <v>101</v>
      </c>
      <c r="G11" s="205"/>
    </row>
  </sheetData>
  <sheetProtection selectLockedCells="1" selectUnlockedCells="1"/>
  <autoFilter ref="A1:FW13" xr:uid="{00000000-0009-0000-0000-000004000000}"/>
  <mergeCells count="1">
    <mergeCell ref="B3:G3"/>
  </mergeCells>
  <printOptions horizontalCentered="1"/>
  <pageMargins left="0.23622047244094491" right="0.23622047244094491" top="0.74803149606299213" bottom="0.74803149606299213" header="0.31496062992125984" footer="0.31496062992125984"/>
  <pageSetup paperSize="121" scale="1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Portada</vt:lpstr>
      <vt:lpstr>POAI GENERAL </vt:lpstr>
      <vt:lpstr>POAI GENERAL</vt:lpstr>
      <vt:lpstr>POAI GIRARDOT</vt:lpstr>
      <vt:lpstr>POAI FACATATIVÁ</vt:lpstr>
      <vt:lpstr>Hoja2</vt:lpstr>
      <vt:lpstr>Hoja1</vt:lpstr>
      <vt:lpstr>POAI FCTeI</vt:lpstr>
      <vt:lpstr>POAI FCTeI - Inversión </vt:lpstr>
      <vt:lpstr>REPORT EJECUT</vt:lpstr>
      <vt:lpstr>SEGUIMIENTO PROESTATALES</vt:lpstr>
      <vt:lpstr>Presupuesto (2)</vt:lpstr>
      <vt:lpstr>'POAI FACATATIVÁ'!Área_de_impresión</vt:lpstr>
      <vt:lpstr>'POAI FCTeI'!Área_de_impresión</vt:lpstr>
      <vt:lpstr>'POAI FCTeI - Inversión '!Área_de_impresión</vt:lpstr>
      <vt:lpstr>'POAI GENERAL'!Área_de_impresión</vt:lpstr>
      <vt:lpstr>'POAI GENERAL '!Área_de_impresión</vt:lpstr>
      <vt:lpstr>'POAI GIRARDOT'!Área_de_impresión</vt:lpstr>
      <vt:lpstr>Portada!Área_de_impresión</vt:lpstr>
      <vt:lpstr>'Presupuesto (2)'!Área_de_impresión</vt:lpstr>
      <vt:lpstr>'REPORT EJECUT'!Área_de_impresión</vt:lpstr>
      <vt:lpstr>'SEGUIMIENTO PROESTATALES'!Área_de_impresión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PAOLA AVILA FRANCO</dc:creator>
  <cp:keywords/>
  <dc:description/>
  <cp:lastModifiedBy>Pilar Ubaque</cp:lastModifiedBy>
  <cp:revision/>
  <dcterms:created xsi:type="dcterms:W3CDTF">2015-09-07T17:56:11Z</dcterms:created>
  <dcterms:modified xsi:type="dcterms:W3CDTF">2020-09-02T21:05:51Z</dcterms:modified>
  <cp:category/>
  <cp:contentStatus/>
</cp:coreProperties>
</file>