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panaranjo\OneDrive - UNIVERSIDAD DE CUNDINAMARCA\Escritorio\"/>
    </mc:Choice>
  </mc:AlternateContent>
  <xr:revisionPtr revIDLastSave="11" documentId="8_{95E61989-32B5-4DF9-84CD-374D7A0E0A2B}" xr6:coauthVersionLast="36" xr6:coauthVersionMax="36" xr10:uidLastSave="{1ADD017E-7736-453F-9C6B-562DD495997D}"/>
  <workbookProtection workbookAlgorithmName="SHA-512" workbookHashValue="CvLee30Cb/cGl0X5ssIBmLYdnkKG7qWVn5Z7g8MuTkwCci9GPfq4nN5ldWBzObb5z8e1tkZgoisnHOBUg0xhCg==" workbookSaltValue="ITn65RcQSXKloYOj//DlmA==" workbookSpinCount="100000" lockStructure="1"/>
  <bookViews>
    <workbookView xWindow="0" yWindow="0" windowWidth="8760" windowHeight="12192" tabRatio="864" activeTab="1" xr2:uid="{11FC4064-5B83-4F91-B38E-47D1A253A80C}"/>
  </bookViews>
  <sheets>
    <sheet name="PROYECTOS PRESUPUESTO GENERAL" sheetId="1" r:id="rId1"/>
    <sheet name="PROYECTOS FONDO SECC Y EXT" sheetId="5" r:id="rId2"/>
  </sheets>
  <definedNames>
    <definedName name="_xlnm._FilterDatabase" localSheetId="1" hidden="1">'PROYECTOS FONDO SECC Y EXT'!$A$15:$O$15</definedName>
    <definedName name="_xlnm._FilterDatabase" localSheetId="0" hidden="1">'PROYECTOS PRESUPUESTO GENERAL'!$A$165:$Q$165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68" i="1" l="1"/>
  <c r="G245" i="1" l="1"/>
  <c r="K153" i="5"/>
  <c r="K154" i="5"/>
  <c r="K152" i="5"/>
  <c r="K145" i="5"/>
  <c r="K142" i="5"/>
  <c r="J140" i="5"/>
  <c r="K140" i="5" s="1"/>
  <c r="J134" i="5"/>
  <c r="K134" i="5" s="1"/>
  <c r="J123" i="5"/>
  <c r="K123" i="5" s="1"/>
  <c r="K120" i="5"/>
  <c r="K116" i="5"/>
  <c r="K114" i="5"/>
  <c r="K119" i="5"/>
  <c r="I158" i="5"/>
  <c r="I149" i="5"/>
  <c r="I155" i="5"/>
  <c r="K155" i="5" s="1"/>
  <c r="I157" i="5"/>
  <c r="K127" i="5"/>
  <c r="K122" i="5"/>
  <c r="J150" i="5"/>
  <c r="K150" i="5" s="1"/>
  <c r="J148" i="5"/>
  <c r="J146" i="5"/>
  <c r="K146" i="5" s="1"/>
  <c r="J144" i="5"/>
  <c r="J143" i="5"/>
  <c r="K143" i="5" s="1"/>
  <c r="J139" i="5"/>
  <c r="K139" i="5" s="1"/>
  <c r="J138" i="5"/>
  <c r="K138" i="5" s="1"/>
  <c r="J135" i="5"/>
  <c r="K135" i="5" s="1"/>
  <c r="J131" i="5"/>
  <c r="K131" i="5" s="1"/>
  <c r="J130" i="5"/>
  <c r="K130" i="5" s="1"/>
  <c r="K23" i="5" l="1"/>
  <c r="K44" i="5"/>
  <c r="K43" i="5"/>
  <c r="K42" i="5"/>
  <c r="K41" i="5"/>
  <c r="K40" i="5"/>
  <c r="K39" i="5"/>
  <c r="K33" i="5"/>
  <c r="K32" i="5"/>
  <c r="K29" i="5"/>
  <c r="K24" i="5"/>
  <c r="K35" i="5"/>
  <c r="K98" i="1" l="1"/>
  <c r="K74" i="1"/>
  <c r="K101" i="1"/>
  <c r="L101" i="1" s="1"/>
  <c r="K89" i="1"/>
  <c r="K83" i="1"/>
  <c r="J82" i="1"/>
  <c r="K82" i="1" s="1"/>
  <c r="K81" i="1"/>
  <c r="K94" i="1"/>
  <c r="K80" i="1"/>
  <c r="K78" i="1"/>
  <c r="J77" i="1"/>
  <c r="K77" i="1" s="1"/>
  <c r="K76" i="1"/>
  <c r="K75" i="1"/>
  <c r="K148" i="5"/>
  <c r="J147" i="5"/>
  <c r="K147" i="5" s="1"/>
  <c r="K149" i="5"/>
  <c r="J157" i="5"/>
  <c r="K157" i="5" s="1"/>
  <c r="K158" i="5"/>
  <c r="K132" i="5"/>
  <c r="K133" i="5"/>
  <c r="K151" i="5"/>
  <c r="K156" i="5"/>
  <c r="J136" i="5"/>
  <c r="K136" i="5" s="1"/>
  <c r="K129" i="5"/>
  <c r="K128" i="5"/>
  <c r="K126" i="5"/>
  <c r="K124" i="5"/>
  <c r="L128" i="5" l="1"/>
  <c r="K113" i="5"/>
  <c r="K88" i="1"/>
  <c r="K87" i="1"/>
  <c r="K166" i="5"/>
  <c r="L166" i="5" s="1"/>
  <c r="L167" i="5" s="1"/>
  <c r="K226" i="1"/>
  <c r="L226" i="1" s="1"/>
  <c r="K223" i="1"/>
  <c r="K222" i="1"/>
  <c r="K197" i="1"/>
  <c r="K215" i="1"/>
  <c r="K93" i="5"/>
  <c r="K74" i="5"/>
  <c r="K71" i="5"/>
  <c r="K76" i="5"/>
  <c r="K75" i="5"/>
  <c r="K73" i="5"/>
  <c r="K72" i="5"/>
  <c r="K70" i="5"/>
  <c r="K66" i="5"/>
  <c r="K65" i="5"/>
  <c r="K64" i="5"/>
  <c r="I38" i="5"/>
  <c r="K38" i="5" s="1"/>
  <c r="K37" i="5"/>
  <c r="K36" i="5"/>
  <c r="K34" i="5"/>
  <c r="L71" i="5" l="1"/>
  <c r="K144" i="5" l="1"/>
  <c r="K267" i="1"/>
  <c r="K266" i="1"/>
  <c r="K243" i="1"/>
  <c r="K265" i="1"/>
  <c r="K263" i="1"/>
  <c r="K264" i="1"/>
  <c r="L263" i="1" l="1"/>
  <c r="L193" i="1"/>
  <c r="J191" i="1"/>
  <c r="K191" i="1" s="1"/>
  <c r="K114" i="1"/>
  <c r="K111" i="1"/>
  <c r="K109" i="1"/>
  <c r="K108" i="1"/>
  <c r="J106" i="1"/>
  <c r="K106" i="1" s="1"/>
  <c r="K104" i="1"/>
  <c r="K103" i="1"/>
  <c r="K102" i="1"/>
  <c r="K155" i="1"/>
  <c r="K156" i="1"/>
  <c r="K149" i="1"/>
  <c r="J166" i="1"/>
  <c r="K166" i="1" s="1"/>
  <c r="K129" i="1"/>
  <c r="L129" i="1" s="1"/>
  <c r="L128" i="1"/>
  <c r="K31" i="1"/>
  <c r="J28" i="1"/>
  <c r="K28" i="1" s="1"/>
  <c r="K27" i="1"/>
  <c r="K148" i="1"/>
  <c r="J134" i="1"/>
  <c r="K134" i="1" s="1"/>
  <c r="L73" i="1"/>
  <c r="L72" i="1"/>
  <c r="K58" i="1"/>
  <c r="K56" i="1"/>
  <c r="K31" i="5" l="1"/>
  <c r="K30" i="5"/>
  <c r="K28" i="5"/>
  <c r="K26" i="5"/>
  <c r="K25" i="5"/>
  <c r="K22" i="5"/>
  <c r="K27" i="5"/>
  <c r="K21" i="5"/>
  <c r="K20" i="5"/>
  <c r="L20" i="5" s="1"/>
  <c r="K19" i="5"/>
  <c r="L19" i="5" s="1"/>
  <c r="K61" i="5"/>
  <c r="L61" i="5" s="1"/>
  <c r="K60" i="5"/>
  <c r="L60" i="5" s="1"/>
  <c r="K57" i="5"/>
  <c r="L57" i="5" s="1"/>
  <c r="K58" i="5"/>
  <c r="K59" i="5"/>
  <c r="K56" i="5"/>
  <c r="L56" i="5" s="1"/>
  <c r="L54" i="5"/>
  <c r="K55" i="5"/>
  <c r="L55" i="5" s="1"/>
  <c r="K54" i="5"/>
  <c r="L22" i="5" l="1"/>
  <c r="L58" i="5"/>
  <c r="K79" i="5"/>
  <c r="J141" i="5" l="1"/>
  <c r="K141" i="5" s="1"/>
  <c r="J137" i="5"/>
  <c r="K137" i="5" s="1"/>
  <c r="L130" i="5" s="1"/>
  <c r="K107" i="1"/>
  <c r="K105" i="1"/>
  <c r="K192" i="1"/>
  <c r="K32" i="1"/>
  <c r="J125" i="1"/>
  <c r="K42" i="1"/>
  <c r="K29" i="1"/>
  <c r="K189" i="1"/>
  <c r="K130" i="1"/>
  <c r="J169" i="1"/>
  <c r="K169" i="1" s="1"/>
  <c r="J113" i="1"/>
  <c r="K113" i="1" s="1"/>
  <c r="K122" i="1"/>
  <c r="K128" i="1"/>
  <c r="K26" i="1"/>
  <c r="K133" i="1"/>
  <c r="K24" i="1"/>
  <c r="K132" i="1"/>
  <c r="K39" i="1"/>
  <c r="K110" i="1"/>
  <c r="K200" i="1" l="1"/>
  <c r="K220" i="1"/>
  <c r="K199" i="1" l="1"/>
  <c r="K68" i="5" l="1"/>
  <c r="K67" i="5"/>
  <c r="L69" i="1"/>
  <c r="K80" i="5"/>
  <c r="K81" i="5"/>
  <c r="K82" i="5"/>
  <c r="K83" i="5"/>
  <c r="K84" i="5"/>
  <c r="K85" i="5"/>
  <c r="K86" i="5"/>
  <c r="K87" i="5"/>
  <c r="K88" i="5"/>
  <c r="K89" i="5"/>
  <c r="K78" i="5"/>
  <c r="K69" i="5"/>
  <c r="L69" i="5" s="1"/>
  <c r="L64" i="5"/>
  <c r="K77" i="5"/>
  <c r="L77" i="5" s="1"/>
  <c r="L70" i="5"/>
  <c r="L78" i="5" l="1"/>
  <c r="L67" i="5"/>
  <c r="L68" i="1"/>
  <c r="K34" i="1" l="1"/>
  <c r="L97" i="5" l="1"/>
  <c r="L246" i="1"/>
  <c r="K99" i="1"/>
  <c r="K167" i="1" l="1"/>
  <c r="K168" i="1"/>
  <c r="K150" i="1"/>
  <c r="K151" i="1"/>
  <c r="K152" i="1"/>
  <c r="K153" i="1"/>
  <c r="K154" i="1"/>
  <c r="K157" i="1"/>
  <c r="K158" i="1"/>
  <c r="K144" i="1"/>
  <c r="K145" i="1"/>
  <c r="K146" i="1"/>
  <c r="K147" i="1"/>
  <c r="K143" i="1"/>
  <c r="K136" i="1"/>
  <c r="K137" i="1"/>
  <c r="K138" i="1"/>
  <c r="K139" i="1"/>
  <c r="K140" i="1"/>
  <c r="K141" i="1"/>
  <c r="K142" i="1"/>
  <c r="K135" i="1"/>
  <c r="K127" i="1"/>
  <c r="K126" i="1"/>
  <c r="K21" i="1"/>
  <c r="K22" i="1"/>
  <c r="K23" i="1"/>
  <c r="K25" i="1"/>
  <c r="K30" i="1"/>
  <c r="K33" i="1"/>
  <c r="L166" i="1" l="1"/>
  <c r="L126" i="1"/>
  <c r="L21" i="1"/>
  <c r="L135" i="1"/>
  <c r="L143" i="1"/>
  <c r="L149" i="1"/>
  <c r="K125" i="5" l="1"/>
  <c r="K115" i="5"/>
  <c r="K117" i="5"/>
  <c r="K118" i="5"/>
  <c r="K121" i="5"/>
  <c r="L113" i="5" l="1"/>
  <c r="K188" i="1"/>
  <c r="K190" i="1"/>
  <c r="K187" i="1"/>
  <c r="L191" i="1"/>
  <c r="K211" i="1"/>
  <c r="K212" i="1"/>
  <c r="K213" i="1"/>
  <c r="K214" i="1"/>
  <c r="K210" i="1"/>
  <c r="K225" i="1"/>
  <c r="L225" i="1" s="1"/>
  <c r="K224" i="1"/>
  <c r="L224" i="1" s="1"/>
  <c r="K198" i="1"/>
  <c r="K196" i="1"/>
  <c r="K195" i="1"/>
  <c r="L210" i="1" l="1"/>
  <c r="L187" i="1"/>
  <c r="K50" i="5"/>
  <c r="L50" i="5" s="1"/>
  <c r="K208" i="1" l="1"/>
  <c r="K207" i="1"/>
  <c r="K194" i="1"/>
  <c r="K203" i="1"/>
  <c r="K204" i="1"/>
  <c r="K205" i="1"/>
  <c r="K206" i="1"/>
  <c r="K209" i="1"/>
  <c r="K202" i="1"/>
  <c r="K201" i="1"/>
  <c r="K217" i="1"/>
  <c r="K218" i="1"/>
  <c r="K219" i="1"/>
  <c r="K221" i="1"/>
  <c r="L223" i="1"/>
  <c r="K216" i="1"/>
  <c r="L216" i="1" l="1"/>
  <c r="L194" i="1"/>
  <c r="K245" i="1"/>
  <c r="G244" i="1"/>
  <c r="K244" i="1" s="1"/>
  <c r="L243" i="1" l="1"/>
  <c r="K52" i="5" l="1"/>
  <c r="K53" i="5"/>
  <c r="K51" i="5"/>
  <c r="K49" i="5"/>
  <c r="L49" i="5" s="1"/>
  <c r="K48" i="5"/>
  <c r="L48" i="5" s="1"/>
  <c r="K47" i="5"/>
  <c r="L47" i="5" s="1"/>
  <c r="K46" i="5"/>
  <c r="L46" i="5" s="1"/>
  <c r="K16" i="5"/>
  <c r="L16" i="5" s="1"/>
  <c r="L51" i="5" l="1"/>
  <c r="K104" i="5"/>
  <c r="K105" i="5"/>
  <c r="K103" i="5"/>
  <c r="K95" i="5"/>
  <c r="K96" i="5"/>
  <c r="K94" i="5"/>
  <c r="K98" i="5"/>
  <c r="L98" i="5" s="1"/>
  <c r="K91" i="5"/>
  <c r="K92" i="5"/>
  <c r="K90" i="5"/>
  <c r="L103" i="5" l="1"/>
  <c r="L90" i="5"/>
  <c r="L94" i="5"/>
  <c r="K101" i="5"/>
  <c r="K102" i="5"/>
  <c r="K100" i="5"/>
  <c r="K99" i="5"/>
  <c r="L99" i="5" l="1"/>
  <c r="K180" i="1"/>
  <c r="K181" i="1"/>
  <c r="K182" i="1"/>
  <c r="K183" i="1"/>
  <c r="K184" i="1"/>
  <c r="K185" i="1"/>
  <c r="K179" i="1"/>
  <c r="K186" i="1"/>
  <c r="L186" i="1" s="1"/>
  <c r="K20" i="1"/>
  <c r="L20" i="1" s="1"/>
  <c r="K92" i="1"/>
  <c r="K93" i="1"/>
  <c r="K95" i="1"/>
  <c r="K96" i="1"/>
  <c r="K97" i="1"/>
  <c r="K91" i="1"/>
  <c r="K90" i="1"/>
  <c r="K84" i="1"/>
  <c r="K85" i="1"/>
  <c r="K100" i="1"/>
  <c r="L100" i="1" s="1"/>
  <c r="K86" i="1"/>
  <c r="K79" i="1"/>
  <c r="L74" i="1" l="1"/>
  <c r="L179" i="1"/>
  <c r="K232" i="1"/>
  <c r="K233" i="1"/>
  <c r="K234" i="1"/>
  <c r="K235" i="1"/>
  <c r="K236" i="1"/>
  <c r="K237" i="1"/>
  <c r="K238" i="1"/>
  <c r="K239" i="1"/>
  <c r="K240" i="1"/>
  <c r="K241" i="1"/>
  <c r="K242" i="1"/>
  <c r="K231" i="1"/>
  <c r="K230" i="1"/>
  <c r="K228" i="1"/>
  <c r="K229" i="1"/>
  <c r="K227" i="1"/>
  <c r="L231" i="1" l="1"/>
  <c r="L227" i="1"/>
  <c r="K35" i="1"/>
  <c r="K65" i="1"/>
  <c r="K66" i="1"/>
  <c r="K67" i="1"/>
  <c r="K62" i="1"/>
  <c r="L62" i="1" s="1"/>
  <c r="K63" i="1"/>
  <c r="L63" i="1" s="1"/>
  <c r="K64" i="1"/>
  <c r="L34" i="1" l="1"/>
  <c r="L64" i="1"/>
  <c r="K59" i="1"/>
  <c r="K60" i="1"/>
  <c r="K61" i="1"/>
  <c r="K49" i="1"/>
  <c r="K50" i="1"/>
  <c r="K51" i="1"/>
  <c r="K52" i="1"/>
  <c r="K53" i="1"/>
  <c r="K54" i="1"/>
  <c r="K55" i="1"/>
  <c r="K57" i="1"/>
  <c r="K48" i="1"/>
  <c r="L48" i="1" l="1"/>
  <c r="L59" i="1"/>
  <c r="K255" i="1"/>
  <c r="L255" i="1" s="1"/>
  <c r="K254" i="1"/>
  <c r="K253" i="1"/>
  <c r="K252" i="1"/>
  <c r="L252" i="1" s="1"/>
  <c r="K251" i="1"/>
  <c r="L251" i="1" s="1"/>
  <c r="K250" i="1"/>
  <c r="L250" i="1" s="1"/>
  <c r="K249" i="1"/>
  <c r="L249" i="1" s="1"/>
  <c r="K248" i="1"/>
  <c r="L248" i="1" s="1"/>
  <c r="K247" i="1"/>
  <c r="L247" i="1" s="1"/>
  <c r="K246" i="1"/>
  <c r="L253" i="1" l="1"/>
  <c r="K47" i="1" l="1"/>
  <c r="K45" i="1"/>
  <c r="K43" i="1"/>
  <c r="K19" i="1"/>
  <c r="K15" i="1"/>
  <c r="K117" i="1"/>
  <c r="K131" i="1"/>
  <c r="K112" i="1"/>
  <c r="K116" i="1"/>
  <c r="K18" i="1"/>
  <c r="L102" i="1"/>
  <c r="K125" i="1"/>
  <c r="K119" i="1"/>
  <c r="K120" i="1"/>
  <c r="K121" i="1"/>
  <c r="K123" i="1"/>
  <c r="K124" i="1"/>
  <c r="K118" i="1"/>
  <c r="K115" i="1"/>
  <c r="K46" i="1"/>
  <c r="K37" i="1"/>
  <c r="K38" i="1"/>
  <c r="K40" i="1"/>
  <c r="K41" i="1"/>
  <c r="K44" i="1"/>
  <c r="K17" i="1"/>
  <c r="K16" i="1"/>
  <c r="K14" i="1"/>
  <c r="L110" i="1" l="1"/>
  <c r="L132" i="1"/>
  <c r="L130" i="1"/>
  <c r="L43" i="1"/>
  <c r="L118" i="1"/>
  <c r="L39" i="1"/>
  <c r="L37" i="1"/>
  <c r="L14" i="1"/>
  <c r="K176" i="1"/>
  <c r="K177" i="1"/>
  <c r="K178" i="1"/>
  <c r="K175" i="1"/>
  <c r="K171" i="1"/>
  <c r="K172" i="1"/>
  <c r="K173" i="1"/>
  <c r="K170" i="1"/>
  <c r="K174" i="1"/>
  <c r="L169" i="1"/>
  <c r="L170" i="1" l="1"/>
  <c r="L256" i="1" s="1"/>
  <c r="L18" i="5"/>
  <c r="L17" i="5"/>
  <c r="L99" i="1"/>
  <c r="L161" i="5" l="1"/>
  <c r="L45" i="5" l="1"/>
  <c r="L102" i="5" l="1"/>
  <c r="L106" i="5"/>
  <c r="L93" i="5"/>
  <c r="L107" i="5" s="1"/>
  <c r="F169" i="1" l="1"/>
  <c r="F36" i="1" l="1"/>
  <c r="L36" i="1" s="1"/>
  <c r="L159" i="1" l="1"/>
  <c r="L258" i="1" s="1"/>
  <c r="K36" i="1"/>
  <c r="L259" i="1" l="1"/>
</calcChain>
</file>

<file path=xl/sharedStrings.xml><?xml version="1.0" encoding="utf-8"?>
<sst xmlns="http://schemas.openxmlformats.org/spreadsheetml/2006/main" count="1069" uniqueCount="283">
  <si>
    <t>PLAN OPERATIVO ANUAL DE INVERSIONES 
UNIVERSIDAD DE CUNDINAMARCA 
POAI - VIGENCIA 2024</t>
  </si>
  <si>
    <t>a) Inversión Misional</t>
  </si>
  <si>
    <t>JEFE INMEDIATO</t>
  </si>
  <si>
    <t>UNIDAD ADMINISTRATIVA RESPONSABLE</t>
  </si>
  <si>
    <t>NOMBRE DEL PROYECTO</t>
  </si>
  <si>
    <t>CUENTA PRESUPUESTAL</t>
  </si>
  <si>
    <t>RUBRO</t>
  </si>
  <si>
    <t>ASIGNACIÓN INICIAL POR CUENTA ACUERDO 019 DE 19 DE DICIEMBRE DE 2023</t>
  </si>
  <si>
    <t>RECURSOS DEL BALANCE</t>
  </si>
  <si>
    <t xml:space="preserve">VALOR PROYECTO </t>
  </si>
  <si>
    <t>Vicerrectoría Académica</t>
  </si>
  <si>
    <t>Centro de Estudio Agroambiental</t>
  </si>
  <si>
    <t>Implementación de buenas prácticas en los Sistemas Agropecuarios de la Unidad Agroambiental la Esperanza de la UCundinamarca 2024.</t>
  </si>
  <si>
    <t>MAQUINARIA PARA USO GENERAL</t>
  </si>
  <si>
    <t>l</t>
  </si>
  <si>
    <t>MAQUINARIA PARA USOS ESPECIALES</t>
  </si>
  <si>
    <t>OTROS SERVICIOS PROFESIONALES, CIENTIFICOS Y TECNICOS</t>
  </si>
  <si>
    <t>SERVICIOS DE FABRICACIÓN DE INSUMOS FÍSICOS QUE SON PROPIEDAD DE OTROS</t>
  </si>
  <si>
    <t xml:space="preserve">OTROS SERVICIOS DE FABRICACIÓN; SERVICIOS DE EDICIÓN, IMPRESIÓN Y REPRODUCCIÓN; SERVICIOS DE RECUPERACIÓN DE MATERIALES </t>
  </si>
  <si>
    <t>SERVICIOS DE CONSTRUCCION</t>
  </si>
  <si>
    <t>Adquisición de un tractor agrícola para la Unidad Agroambiental la Esperanza de la Universidad de Cundinamarca</t>
  </si>
  <si>
    <t>Experiencias Vivenciales Nacionales e internacionales de intercambio y dinámicas curriculares en la Facultad de Ciencias Agropecuarias, UCundinamarca</t>
  </si>
  <si>
    <t>PRODUCTOS DE LA AGRICULTURA Y LA HORTICULTURA</t>
  </si>
  <si>
    <t>PIEDRA, ARENA Y ARCILLA</t>
  </si>
  <si>
    <t>DESPERDICIOS, DESECHOS Y RESIDUOS</t>
  </si>
  <si>
    <t>ALOJAMIENTO; SERVICIOS DE SUMINISTROS DE COMIDAS Y BEBIDAS</t>
  </si>
  <si>
    <t>SERVICIOS DE TRANSPORTE DE CARGA</t>
  </si>
  <si>
    <t>SERVICIOS DE ARRENDAMIENTO O ALQUILER SIN OPERARIO</t>
  </si>
  <si>
    <t>SERVICIOS DE TELECOMUNICACIONES, TRANSMISIÓN Y SUMINISTRO DE INFORMACIÓN</t>
  </si>
  <si>
    <t>SERVICIOS DE SOPORTE</t>
  </si>
  <si>
    <t>SERVICIOS DE ESPARCIMIENTO, CULTURALES Y DEPORTIVOS</t>
  </si>
  <si>
    <t>DISTINTAS A MEMBRESIAS</t>
  </si>
  <si>
    <t>Unidad de Apoyo Académico</t>
  </si>
  <si>
    <t>Gestión de recursos electrónicos, bases de datos, publicaciones seriadas y material bibliográfico para las bibliotecas de la UCundinamarca 2024.</t>
  </si>
  <si>
    <t>PASTA O PULPA, PAPEL Y PRODUCTOS DE PAPEL; IMPRESOS Y ARTÍCULOS RELACIONADOS</t>
  </si>
  <si>
    <t>Sistemas de Gestión para las Bibliotecas de la UCundinamarca 2024.</t>
  </si>
  <si>
    <t xml:space="preserve"> Unidad Móvil para el Consultorio de Psicología en la Extensión Facatativá de la Universidad de Cundinamarca.</t>
  </si>
  <si>
    <t>EQUIPO DE TRANSPORTE</t>
  </si>
  <si>
    <t>OTROS SERVICIOS PROFESIONALES, CIENTÍFICOS Y TÉCNICOS</t>
  </si>
  <si>
    <t xml:space="preserve"> Campo de Aprendizaje Cultural - Expo UCundinamarca, 2024.</t>
  </si>
  <si>
    <t>SERVICIOS DE TRANSPORTE DE PASAJEROS</t>
  </si>
  <si>
    <t>Gestión de recursos educativos para los laboratorios y Unidad Agroambiental a Esperanza de la Universidad de Cundinamarca, Sede Fusagasugá.</t>
  </si>
  <si>
    <t>MUEBLES, INSTRUMENTOS MUSICALES, ARTÍCULOS DE DEPORTE Y ANTIGÜEDADES</t>
  </si>
  <si>
    <t>MAQUINARIA DE OFICINA, CONTABILIDAD E INFORMÁTICA</t>
  </si>
  <si>
    <t>MAQUINARIA Y APRATOS ELECTRICOS</t>
  </si>
  <si>
    <t>OTROS BIENES TRANSPORTABLES N.C.P.(no clasificados en otra parte)</t>
  </si>
  <si>
    <t>PRODUCTOS METÁLICOS ELABORADOS (EXCEPTO MAQUINARIA Y EQUIPO)</t>
  </si>
  <si>
    <t>Diseño y dotación de un Laboratorio de Tecnologías Emergentes, para la Universidad De Cundinamarca- Extensión Soacha</t>
  </si>
  <si>
    <t>EQUIPO Y APARATOS DE RADIO, TELEVISIÓN Y COMUNICACIONES</t>
  </si>
  <si>
    <t>APARATOS MÉDICOS, INSTRUMENTOS ÓPTICOS Y DE PRECISIÓN, RELOJES</t>
  </si>
  <si>
    <t>SERVICIOS DE CONSTRUCCIÓN</t>
  </si>
  <si>
    <t>HUB de innovación Centro Digital de Emprendimiento e Innovación CDEI de la Ucundinamarca</t>
  </si>
  <si>
    <t>adecuación locativa para el salón de los espejos de la sede de Fusagasugá de la UdeC</t>
  </si>
  <si>
    <t>Adquisición de equipos especializados para los Laboratorios de Suelos y Nutrición de la sede de Fusagasugá de la Ucundinamarca</t>
  </si>
  <si>
    <t>OTROS PRODUCTOS QUÍMICOS; FIBRAS ARTIFICIALES (O FIBRAS INDUSTRIALES HECHAS POR EL HOMBRE)</t>
  </si>
  <si>
    <t>Dirección de Bienestar Universitario</t>
  </si>
  <si>
    <t>Fomento de hábitos, estilos de vida saludables, y aprovechamiento del tiempo libre - UCundinamarca 2024.</t>
  </si>
  <si>
    <t xml:space="preserve">SUELDO BÁSICO PERSONAL ADMINISTRATIVO OCASIONAL  </t>
  </si>
  <si>
    <t xml:space="preserve">AUXILIO DE TRANSPORTE PERSONAL ADMINISTRATIVO OCASIONAL  </t>
  </si>
  <si>
    <t xml:space="preserve">PRIMA DE SERVICIO PERSONAL ADMINISTRATIVO OCASIONAL  </t>
  </si>
  <si>
    <t xml:space="preserve">AUXILIO DE CESANTÍAS  PERSONAL ADMINISTRATIVO OCASIONAL  </t>
  </si>
  <si>
    <t xml:space="preserve">VACACIONES PERSONAL ADMINISTRATIVO OCASIONAL  </t>
  </si>
  <si>
    <t>SERVICIOS POSTALES Y DE MENSAJERÍA</t>
  </si>
  <si>
    <t>SERVICIOS DE EDUCACIÓN</t>
  </si>
  <si>
    <t>MEMBRESIAS, AFILIACIONES Y CUOTAS DE SOSTENIMIENTO</t>
  </si>
  <si>
    <t>ARTÍCULOS TEXTILES (EXCEPTO PRENDAS DE VESTIR)</t>
  </si>
  <si>
    <t>DOTACIÓN (PRENDAS DE VESTIR Y CALZADO)</t>
  </si>
  <si>
    <t>PRODUCTOS DE MADERA, CORCHO, CESTERÍA Y ESPARTERÍA</t>
  </si>
  <si>
    <t>MAQUINARIA Y APARATOS ELÉCTRICOS</t>
  </si>
  <si>
    <t>SERVICIOS PARA EL CUIDADO DE LA SALUD HUMANA Y SERVICIOS SOCIALES</t>
  </si>
  <si>
    <t>Programas socioeconómicos y acogida a la vida universitaria 2024.</t>
  </si>
  <si>
    <t>APOYOS SOCIOECONOMICOS A ESTUDIANTES</t>
  </si>
  <si>
    <t>Fomento a la permanencia estudiantil y becas para la movilidad saliente 2024.</t>
  </si>
  <si>
    <t>BENEFICIOS EDUCATIVOS A LA COMUNIDAD UNIVERSITARIA</t>
  </si>
  <si>
    <t>Dirección de Interacción Universitaria</t>
  </si>
  <si>
    <t>Fortalecimiento de la Política de Interacción Social Universitaria de la UCundinamarca 2024.</t>
  </si>
  <si>
    <t>SERVICIOS DE VENTA AL POR MENOR</t>
  </si>
  <si>
    <t>OTROS SERVICIOS DE FABRICACIÓN; SERVICIOS DE EDICIÓN, IMPRESIÓN Y REPRODUCCIÓN; SERVICIOS DE RECUPERACIÓN DE MATERIALES</t>
  </si>
  <si>
    <t>Dialogando con el Mundo</t>
  </si>
  <si>
    <t>Gestión y fortalecimiento de la Política de Dialogando con el Mundo en la UCundinamarca 2024.</t>
  </si>
  <si>
    <t>Oficina de Desarrollo Académico</t>
  </si>
  <si>
    <t>Aseguramiento de la Calidad del Aprendizaje en la UCundinamarca 2024.</t>
  </si>
  <si>
    <t>Apoyo a la formación y desarrollo de los gestores del conocimiento y el aprendizaje de la UCundinamarca 2024.</t>
  </si>
  <si>
    <t xml:space="preserve">Fortalecimiento de los Procesos del Campo Multidimensional de Aprendizaje en el marco del MEDIT de la UCundinamarca 2024. </t>
  </si>
  <si>
    <t>Oficina de Educación Virtual y a Distancia</t>
  </si>
  <si>
    <t>UCundinamarca Virtual 2024.</t>
  </si>
  <si>
    <t>Dirección de Autoevaluación y Acreditación</t>
  </si>
  <si>
    <t>Fortalecimiento de los Procesos de Autoevaluación, Registro Calificado y Acreditación en alta calidad de Programas Académicos e Institucional de la UCundinamarca 2024.</t>
  </si>
  <si>
    <t>Área de Equidad y Diversidad Institucional</t>
  </si>
  <si>
    <t>Implementación de la Política de Educación Superior Inclusiva y el protocolo de prevención y atención a violencias sexuales y/o basadas en género de la UCundinamarca 2024.</t>
  </si>
  <si>
    <t>Escuela de Formación y Aprendizaje</t>
  </si>
  <si>
    <t>Gestión de la Escuela de Formación y Aprendizaje Docente UCundinamarca 2024.</t>
  </si>
  <si>
    <t>Oficina de Graduados</t>
  </si>
  <si>
    <t>Gestión y fortalecimiento de la Política de Graduados de la Universidad de Cundinamarca 2024</t>
  </si>
  <si>
    <t>b) Inversión institucional</t>
  </si>
  <si>
    <t>TOTAL</t>
  </si>
  <si>
    <t>Secretaría General</t>
  </si>
  <si>
    <r>
      <t>Dirección de Planeación Institucional-</t>
    </r>
    <r>
      <rPr>
        <b/>
        <sz val="9"/>
        <rFont val="Century Gothic"/>
        <family val="2"/>
      </rPr>
      <t>Calidad</t>
    </r>
  </si>
  <si>
    <t>Sostenimiento y fortalecimiento del Sistema de Gestión de la Calidad en la UCundinamarca 2024.</t>
  </si>
  <si>
    <t>Dirección de Planeación Institucional</t>
  </si>
  <si>
    <t>Fortalecimiento de la Planeación Física en la UCundinamarca 2024.</t>
  </si>
  <si>
    <t>Fortalecimiento de la estrategia institucional del Modelo Integrado de Planeación y Gestión- MIPG y del Sistema de Gestión Antisoborno- SGAS en la UCundinamarca 2024.</t>
  </si>
  <si>
    <r>
      <t xml:space="preserve">Dirección de Planeación Institucional- </t>
    </r>
    <r>
      <rPr>
        <b/>
        <sz val="9"/>
        <rFont val="Century Gothic"/>
        <family val="2"/>
      </rPr>
      <t>SEGURIDAD DE LA INFORMACIÓN</t>
    </r>
  </si>
  <si>
    <t>Implementación del Sistema de Gestión de Seguridad de la Información y la Ley de Protección de Datos Personales en la UCundinamarca 2024.</t>
  </si>
  <si>
    <t>Contratación del servicio del rol de Oficial de Protección de Datos Personales en cumplimiento y acorde al Programa Integral de Gestión de Datos Personales – PIGDP de la Universidad de Cundinamarca de acuerdo con la normatividad legal vigente.</t>
  </si>
  <si>
    <r>
      <t>Dirección de Planeación Institucional-</t>
    </r>
    <r>
      <rPr>
        <b/>
        <sz val="9"/>
        <rFont val="Century Gothic"/>
        <family val="2"/>
      </rPr>
      <t xml:space="preserve"> AMBIENTAL SGA</t>
    </r>
  </si>
  <si>
    <t>Mantenimiento y certificación del Sistema de Gestión Ambiental de la UCundinamarca en equilibrio con la naturaleza 2024.</t>
  </si>
  <si>
    <t>PRODUCTOS DE CAUCHO Y PLÁSTICO</t>
  </si>
  <si>
    <t>Vicerrectoría Administrativa y Financiera</t>
  </si>
  <si>
    <t>Dirección de Talento Humano</t>
  </si>
  <si>
    <t>Fortalecimiento de las competencias y habilidades administrativas del personal vinculado a la Universidad de Cundinamarca – vigencia 2024.</t>
  </si>
  <si>
    <t>Dirección de Sistemas y Tecnología</t>
  </si>
  <si>
    <t>Renovación de Infraestructura Tecnológica, Paquetes de Licenciamiento y Controles de Seguridad Lógica para la Universidad de Cundinamarca – vigencia 2024.</t>
  </si>
  <si>
    <t>QUÍMICOS BÁSICOS</t>
  </si>
  <si>
    <t>SERVICIOS DE MANTENIMIENTO, REPARACIÓN E INSTALACIÓN (EXCEPTO SERVICIOS DE CONSTRUCCIÓN)</t>
  </si>
  <si>
    <t>Fortalecimiento del Talento Humano y los Sistemas que soportan las Tecnologías de la Información y las Comunicaciones en concordancia con el Plan Estratégico de Tecnología – PETI de la UCundinamarca – vigencia 2024.</t>
  </si>
  <si>
    <t>Fortalecimiento de la infraestructura Wifi y recursos tecnológicos en las unidades regionales de la Universidad de Cundinamarca.</t>
  </si>
  <si>
    <t xml:space="preserve">Contratar los servicios de Fábrica de software para realizar las actividades del ciclo de vida de desarrollo de software de acuerdo con las necesidades de la Universidad de Cundinamarca </t>
  </si>
  <si>
    <t>Implementación de una solución segura basada en Blockchain para la emisión de diplomas de pregrado y posgrado en la Universidad de Cundinamarca.</t>
  </si>
  <si>
    <t>Modernización de la infraestructura tecnológica de la red de cableado estructurado, red Wifi, voz y datos de la Extensión Soacha</t>
  </si>
  <si>
    <t>Oficina de Archivo y Correspondencia</t>
  </si>
  <si>
    <t>Adquisición de elementos para la conservación del archivo de gestión, central e histórico de la UCundinamarca 2024.</t>
  </si>
  <si>
    <t>Adquisición de elementos para restaurar, proteger, custodiar y preservar los documentos de los depósitos del
archivo de la UCundinamarca.</t>
  </si>
  <si>
    <t>Bienes y Servicios</t>
  </si>
  <si>
    <t>Construcción de la planta física y dotación de mobiliario de la II fase de la Extensión Zipaquirá de la Universidad de Cundinamarca.</t>
  </si>
  <si>
    <t>OTROS SERVICIOS PROFESIONALES,  CIENTÍFICOS Y TÉCNICOS</t>
  </si>
  <si>
    <t>Adquisición sillas ergonómicas Universidad de Cundinamarca vigencia 2023</t>
  </si>
  <si>
    <t>Adecuación física y dotación de mobiliario para la sala de docentes en la Extensión Facatativá y Seccional Girardot.</t>
  </si>
  <si>
    <t>construcción de la primera fase de la nueva sede de la extensión zipaquirá de la universidad de cundinamarca</t>
  </si>
  <si>
    <t>Diseños, estudios previos y licenciamientos, e interventoría a estos diseños y estudios para la construcción de la 2 etapa de la nueva sede de la extensión Zipaquirá.</t>
  </si>
  <si>
    <t>Estudio para la adecuación y habilitación de las Unidades de salud para la sede, seccionales y extensiones.</t>
  </si>
  <si>
    <t>Estudios previos, licenciamiento e interventoría para la construcción de un bloque de aulas en el centro de estudio agroambientales del vergel en la extensión Facatativá.</t>
  </si>
  <si>
    <t xml:space="preserve">I FASE - Intervención general de la plata física del Centro Académico Deportivo C.A.D. de la Universidad de Cundinamarca </t>
  </si>
  <si>
    <t>PASTA O PULPA, PAPEL Y PRODUCTOS DE PAPEL, IMPRESOS Y ARTICULOS RELACIONADOS - PROYECTO FORTALECIMIENTO DE LA INFRAESTRUCTURA FISICA Y TECNOLOGICA DEL CENTRO DE ESTUDIOS AGROAMBIENTALES DE LA UNIVERSIDAD DE CUNDINAMARCA AGROUCUNDINAMARCA BPIN 2020000100158</t>
  </si>
  <si>
    <t>SERVICIOS DE CONSTRUCCION - PROYECTO FORTALECIMIENTO DE LA INFRAESTRUCTURA FISICA Y TECNOLOGICA DEL CENTRO DE ESTUDIOS AGROAMBIENTALES DE LA UNIVERSIDAD DE CUNDINAMARCA AGROUCUNDINAMARCA BPIN 2020000100158</t>
  </si>
  <si>
    <t>SERVICIOS DE VENTA AL POR MAYOR - PROYECTO FORTALECIMIENTO DE LA INFRAESTRUCTURA FISICA Y TECNOLOGICA DEL CENTRO DE ESTUDIOS AGROAMBIENTALES DE LA UNIVERSIDAD DE CUNDINAMARCA AGROUCUNDINAMARCA BPIN 2020000100158</t>
  </si>
  <si>
    <t>OTROS SERVICIOS PROFESIONALES, CIENTIFICOS Y TECNICOS - PROYECTO FORTALECIMIENTO DE LA INFRAESTRUCTURA FISICA Y TECNOLOGICA DEL CENTRO DE ESTUDIOS AGROAMBIENTALES DE LA UNIVERSIDAD DE CUNDINAMARCA AGROUCUNDINAMARCA BPIN 2020000100158</t>
  </si>
  <si>
    <t>a.) Inversión Fondo Especial de Seccionales y Extensiones</t>
  </si>
  <si>
    <t>Jefe Inmediato</t>
  </si>
  <si>
    <t>Gerencia del 
Proyecto</t>
  </si>
  <si>
    <t>Nombre de la Propuesta del Proyecto</t>
  </si>
  <si>
    <t>Dirección Administrativa de la Seccional Girardot</t>
  </si>
  <si>
    <t>Adecuación Locativa de la Fachada y Portería de la Universidad de Cundinamarca, Seccional Girardot.</t>
  </si>
  <si>
    <t>Adquisición de Equipos de Cómputo Portátiles para el Centro de Gestión del Conocimiento y Aprendizaje (CGCA), de la Seccional Girardot de la UCundinamarca.</t>
  </si>
  <si>
    <t>Adquisición de Equipos de Cómputo Portátiles para el Centro de Recursos Educativos (CRE) en la Seccional Girardot de la UCundinamarca.</t>
  </si>
  <si>
    <t>Exoneraciones de matrícula como apoyo socioeconómico para la optimización de la permanencia estudiantil de estudiantes de pregrado de la Seccional Girardot de la UCundinamarca.</t>
  </si>
  <si>
    <t>Adquisición de termohigrómetro digital y deshumidificador para el depósito de los Archivos de la Universidad de Cundinamarca, Seccional Girardot.</t>
  </si>
  <si>
    <t>Fortalecimiento y visibilidad de la investigación de la Seccional de Girardot de la Universidad de Cundinamarca.</t>
  </si>
  <si>
    <t>PESCADO Y OTROS PRODUCTOS DE LA PESCA</t>
  </si>
  <si>
    <t>PRODUCTOS DE MOLINERÍA, ALMIDONES Y PRODUCTOS DERIVADOS DEL ALMIDÓN; OTROS PRODUCTOS ALIMENTICIOS</t>
  </si>
  <si>
    <t>TEJIDO DE PUNTO O GANCHILLO; PRENDAS DE VESTIR</t>
  </si>
  <si>
    <t>VIDRIO Y PRODUCTOS DE VIDRIO Y OTROS PRODUCTOS NO METÁLICOS N.C.P.</t>
  </si>
  <si>
    <t>MUEBLES; OTROS BIENES TRANSPORTABLES N.C.P.</t>
  </si>
  <si>
    <t xml:space="preserve">OTROS SERVICIOS PROFESIONALES, CIENTÍFICOS Y TÉCNICOS - SERVICIOS CIENTÍFICOS Y OTROS SERVICIOS TÉCNICOS </t>
  </si>
  <si>
    <t>SERVICIOS DE ARRENDAMIENTO O ALQUILER SIN OPERA</t>
  </si>
  <si>
    <t>Adquisición de Equipos Analíticos para el Laboratorio de Aguas de la Seccional Girardot de la UCundinamarca.</t>
  </si>
  <si>
    <t>Adecuación Locativa del Bloque Académico de la Universidad de Cundinamarca de la Seccional Girardot</t>
  </si>
  <si>
    <t>Adquisición de equipos de laboratorio para la Seccional Girardot</t>
  </si>
  <si>
    <t>Adquisición de máquinas y elementos para el archivo de Gestión Documental de la Universidad de Cundinamarca Seccional Girardot.</t>
  </si>
  <si>
    <t>Adquisición de mobiliario para el Centro de Gestión del Conocimiento y Aprendizaje (CGCA), de la Universidad de Cundinamarca Seccional Girardot</t>
  </si>
  <si>
    <t>Contratar el suministro de dispositivos tecnológicos periféricos de entrada para el Campus Universitario de la Seccional Girardot</t>
  </si>
  <si>
    <t>Fomento de hábitos, estilos de vida saludables, y
aprovechamiento del tiempo libre - UCundinamarca 2024._x000D_</t>
  </si>
  <si>
    <t>SERVICIOS DE FABRICACION DE INSUMOS FISICOS QUE SON PROPIEDAD DE OTROS</t>
  </si>
  <si>
    <t xml:space="preserve"> Vicerrectoría Administrativa y Financiera</t>
  </si>
  <si>
    <t>Dirección Administrativa de la Extensión Facatativá</t>
  </si>
  <si>
    <t>Adquisición de equipos y mobiliario para la modernización de los laboratorios de Ciencias Agropecuarias y Ambientales de la Universidad de Cundinamarca, Extensión Facatativá.</t>
  </si>
  <si>
    <t>Adquisición de equipos portátiles y complementación de laboratorios móviles para la Extensión Facatativá de la Universidad de Cundinamarca.</t>
  </si>
  <si>
    <t>Exoneraciones de matrícula como apoyo socioeconómico para la optimización de la permanencia estudiantil de estudiantes de pregrado de la Extensión Facatativá de la Universidad de Cundinamarca.</t>
  </si>
  <si>
    <t>Adecuación de una sala lúdica en el bloque A de la Universidad de Cundinamarca, Extensión Facatativá.</t>
  </si>
  <si>
    <t>Adquisición de componentes y equipos audiovisuales para el mejoramiento del servicio de préstamo de elementos tecnológicos del CGCA (Biblioteca) de la Universidad de Cundinamarca, Extensión Facatativá.</t>
  </si>
  <si>
    <t>Adquirir una aspiradora inalámbrica para la limpieza y conservación en el depósito del Archivo documental en la Extensión Facatativá de la Universidad de Cundinamarca.</t>
  </si>
  <si>
    <t>Fortalecimiento y visibilidad de la investigación en la Extensión Facatativá de la Universidad de Cundinamarca.</t>
  </si>
  <si>
    <t>Dirección Administrativa de la Extension Soacha</t>
  </si>
  <si>
    <t>Modernización, adecuación y mejoramiento del aula especial de formación (cancha sintética futbol 8) de la Universidad de Cundinamarca, extensión Soacha</t>
  </si>
  <si>
    <t>Dirección Administrativa de la Extension Chia - Zipaquirá</t>
  </si>
  <si>
    <t>Dirección Administrativa de la Seccional Ubate</t>
  </si>
  <si>
    <t>b.) Inversión Fondo Ciencia Tecnología e Innovación</t>
  </si>
  <si>
    <t>Dirección de Ciencia Tecnología e Innovación</t>
  </si>
  <si>
    <t>Fortalecimiento, visibilidad y transferencia de la Investigación y los procesos editoriales en el marco del Modelo Educativo Digital Transmoderno (MEDIT) de la Universidad de Cundinamarca.</t>
  </si>
  <si>
    <t>OTROS SERVICIOS PROFESIONALES, CIENTÍFICOS Y TÉCNICOS - SERVICIOS DE CONSULTORÍA EN ADMINISTRACIÓN Y SERVICIOS DE GESTIÓN; SERVICIOS DE TECNOLOGÍA DE LA INFORMACIÓN</t>
  </si>
  <si>
    <t>OTROS SERVICIOS PROFESIONALES, CIENTÍFICOS Y TÉCNICOS - OTROS SERVICIOS PROFESIONALES Y TÉCNICOS NCP</t>
  </si>
  <si>
    <t>Gestión de Ciencia Tecnología e Innovación en el marco del Modelo Educativo Digital Transmoderno (MEDIT) de la Universidad de Cundinamarca.</t>
  </si>
  <si>
    <t>Visibilidad y gestión de la Investigación en el marco del Modelo de Medición establecido por el Sistema Nacional de Ciencia, Tecnología e Innovación.</t>
  </si>
  <si>
    <t>ANIMALES VIVOS Y PRODUCTOS ANIMALES (EXCEPTO LA CARNE)</t>
  </si>
  <si>
    <t>PRODUCTOS DE HORNOS DE COQUE; PRODUCTOS DE REFINACIÓN DE PETRÓLEO Y COMBUSTIBLE NUCLEAR</t>
  </si>
  <si>
    <t>METALES BÁSICOS</t>
  </si>
  <si>
    <t>OTROS SERVICIOS PROFESIONALES, CIENTÍFICOS Y TÉCNICOS - SERVICIOS CIENTÍFICOS Y OTROS SERVICIOS TÉCNICOS</t>
  </si>
  <si>
    <t>adquisición e instalación de mobiliario para los laboratorios de suelos, microbiología, química y biología molecular de la universidad de cundinamarca, sede fusagasugá.</t>
  </si>
  <si>
    <t>Zona Campo Institucional de Aprendizaje (CAI) - Adecuación Física e implementación de recursos educativos y equipo tecnológico para los espacios académicos de las unidades regionales de la Universidad que operan el campo de aprendizaje como una apuesta de aseguramiento de la calidad académica y gestión curricular desde el Modelo Educativo Digital Transmoderno en la UCundinamarca.</t>
  </si>
  <si>
    <t xml:space="preserve">MAQUINARIA PARA USUS ESPECIALES </t>
  </si>
  <si>
    <t>CREDITOS</t>
  </si>
  <si>
    <t>CONTRACREDITOS</t>
  </si>
  <si>
    <t>Adquirir Archivadores rodantes para la oficina de admisiones y registro de la Universidad de Cundinamarca Seccional Girardot Vigencia 2024.</t>
  </si>
  <si>
    <t xml:space="preserve">INCORPORACIONES </t>
  </si>
  <si>
    <t>Adecuación de techados en el campus Universitario de la Seccional Girardot. Vigencia 2024</t>
  </si>
  <si>
    <t>Adquirir módulos especializados para los espacios académicos de la Universidad de Cundinamarca Seccional Girardot. 2024</t>
  </si>
  <si>
    <t>Adquisición de un vehículo aéreo no tripulado con cámaras multiespectrales para el laboratorio de aguas de la Seccional Girardot, Vigencia 2024</t>
  </si>
  <si>
    <t>Contratar equipamiento para el Centro de Gestion del Conocimiento y Aprendizaje (CGCA) de la Universidad de Cundinamarca Seccional Girardot Vigencia 2024.</t>
  </si>
  <si>
    <t>Contratar la consultoría para la cubierta y adecuación locativa de la cancha múltiple de la Seccional Girardot Vigencia 2024.</t>
  </si>
  <si>
    <t>Adquirir aires acondicionados para los espacios académicos para la Universidad de Cundinamarca, , seccional Girardot</t>
  </si>
  <si>
    <t>adquision de pantallas interactivas y equipos de computo para los espacios academicos de la universidad de Cundinamarca</t>
  </si>
  <si>
    <t>Solución digital para el despliegue del Campo de Aprendizaje Institucional Lengua Extranjera de la Ucundinamarca</t>
  </si>
  <si>
    <t>sistema de gestión digital y curricular del campo multidimensional de aprendizaje (sigdcma).</t>
  </si>
  <si>
    <t>Concurso de carrera administrativa de la universidad de Cundinamarca</t>
  </si>
  <si>
    <t>Posgrados</t>
  </si>
  <si>
    <t>SERVICIOS DE FABRICACIÓN DE INSUMOS FÍSICOS QUE SON PROPIEDAD DE OTROS - PROYECTO FORTALECIMIENTO DE LA INFRAESTRUCTURA FISICA Y TECNOLOGICA DEL CENTRO DE ESTUDIOS AGROAMBIENTALES DE LA UNIVERSIDAD DE CUNDINAMARCA AGROUCUNDINAMARCA BPIN 2020000100158</t>
  </si>
  <si>
    <t>SERVICIOS DE VENTA AL POR MAYOR</t>
  </si>
  <si>
    <t>VALOR TOTAL POR CUENTA</t>
  </si>
  <si>
    <t>Fortalecimiento de procesos de interacción, comunicación y relacionamiento del Instituto de Posgrados de la Universidad de Cundinamarca.</t>
  </si>
  <si>
    <t>SERVICIOS FINANCIEROS y SERVICIOS CONEXOS</t>
  </si>
  <si>
    <t>Adquisición de implementos de sonido, carpas, tarimas y sillas para el aprovechamiento del tiempo libre, el fortalecimiento  de las aptitudes y actitudes culturales y deportivas de la comunidad de la UCundinamarca.</t>
  </si>
  <si>
    <t>Mejoramiento y adecuación infraestructura de cancha deportiva institucional de Futbol de la seccional Girardot – universidad de Cundinamarca 2024.</t>
  </si>
  <si>
    <t>Adquirir equipos de cómputo para la renovación del parque tecnológico por obsolescencia, con el propósito de fortalecer las herramientas tecnológicas del que se encuentran al servicio de la Universidad de Cundinamarca Seccional Girardot.2024</t>
  </si>
  <si>
    <t>APOYO PARA EL DESARROLLO DE LAS ACTIVIDADES DE DOCENCIA E INVESTIGACION O EXTENSION</t>
  </si>
  <si>
    <t>C) Regalias</t>
  </si>
  <si>
    <t>Decanatura de la Facultad de Ciencias Agropecuarias</t>
  </si>
  <si>
    <t>ACUERDO 010 DE 19 DE DICIEMBRE DE 2023                                                                                                                                                                                                                                                                                                                                                                                                                                                                                                                                                                                                                                    "POR EL CUAL SE APRUEBAN LOS COMPUTOS DE RENTAS Y GASTOS DEL PRESUPUESTO GENERAL Y LOS PRESUPUESTOS DE LOS FONDOS ESPECIALES DE LA UNIVERISDAD DE CUNDINAMARCA PARA LA VIGENCIA FISCAL AÑO 2024"</t>
  </si>
  <si>
    <t>c) Posgrados</t>
  </si>
  <si>
    <t>TOTAL INVERSIÓN POSGRADOS</t>
  </si>
  <si>
    <t>Organización universitaria inteligente con alma y corazón</t>
  </si>
  <si>
    <t>Misión de Impacto y Alta Calidad Transmoderna Translocal</t>
  </si>
  <si>
    <t>ESTRATEGIA</t>
  </si>
  <si>
    <t xml:space="preserve">FRENTE DE PLAN DE DESARROLLO </t>
  </si>
  <si>
    <t>Organización Social del Conocimiento y Aprendizaje Viva</t>
  </si>
  <si>
    <t xml:space="preserve"> Dinamizar las comunidades y redes académico-científicas transdisciplinarias, trascendiendo las fronteras del conocimiento.</t>
  </si>
  <si>
    <t>Articular ISU y Ciencia, Tecnología e Innovación.</t>
  </si>
  <si>
    <t>Dinamizar las comunidades y redes académico-científicas transdisciplinarias, trascendiendo las fronteras del conocimiento.</t>
  </si>
  <si>
    <t>5.2 Fortalecer el plan de medios y recursos educativos.</t>
  </si>
  <si>
    <t xml:space="preserve">
Misión trascendente</t>
  </si>
  <si>
    <t>Campo de Aprendizaje Institucional (CAI)</t>
  </si>
  <si>
    <t>Organización
universitaria inteligente
con alma y corazón</t>
  </si>
  <si>
    <t>Plan de Recursos Educativos</t>
  </si>
  <si>
    <t>1.4 Fortalecer el Campo Multidimensional de Aprendizaje (CMA).</t>
  </si>
  <si>
    <t xml:space="preserve">Bienestar Constitutivo de la Vida y la Libertad, Expresión de Éxito Académico y Aseguramiento del Aprendizaje </t>
  </si>
  <si>
    <t>3.1 Implementar la gestión de éxito académico en la Universidad de Cundinamarca.
3.2 Promover, crear, y fortalecer las condiciones de un estilo de vida propio, saludable y propicio.
3.3 Fortalecer la salud mental, física, emocional y espiritual; el arte, el deporte, la cultura, la gimnasia, la música.</t>
  </si>
  <si>
    <t>3.1 Implementar la gestión de éxito académico en la Universidad de Cundinamarca.</t>
  </si>
  <si>
    <t>3.2 Promover, crear, y fortalecer las condiciones de un estilo de vida propio, saludable y propicio.
3.3 Fortalecer la salud mental, física, emocional y espiritual; el arte, el deporte, la cultura, la gimnasia, la música.</t>
  </si>
  <si>
    <t>1.8 Realizar intercambio de buenas prácticas sociales innovadoras para agregar valor social.
1.9 Propiciar el diálogo de saberes para el desarrollo territorial.
1.10 Aportar soluciones a problemas translocales de la mano con organizaciones y comunidades.
1.11 Articular ISU y Ciencia, Tecnología e Innovación.</t>
  </si>
  <si>
    <t>Diálogo Latinoamericano</t>
  </si>
  <si>
    <t>4.1 Internacionalizar el currículo. 
4.2 Concretar el diálogo científico latinoamericano.
4.3 Favorecer la internacionalización transcultural.</t>
  </si>
  <si>
    <t>1.3 Validar el Modelo Educativo Digital Transmoderno MEDIT.</t>
  </si>
  <si>
    <t>Comunidad Universitaria Agentes de Mejora y Transformación</t>
  </si>
  <si>
    <t>2.2 Generar identidad y sentido de pertenencia institucional en la comunidad universitaria como agente de cambio y transformación translocal.</t>
  </si>
  <si>
    <t>Campo Multidimensional
de Aprendizaje (CMA).</t>
  </si>
  <si>
    <t>2. Campo multidimensional de aprendizaje (CMA) Institucional, organizativo y digital</t>
  </si>
  <si>
    <t>1.1 Diversificar la oferta académica en coherencia con las realidades y necesidades del entorno.</t>
  </si>
  <si>
    <t>1.1 Diversificar la oferta académica en coherencia con las realidades y necesidades del entorno.
1.2 Implementar la ruta de alta calidad académica.</t>
  </si>
  <si>
    <t>2.1 Consolidar una cultura digital y translocal como estrategia para la mejora y la transformación.</t>
  </si>
  <si>
    <t>5.7 Implementar los sistemas integrados de gestión en la Universidad de Cundinamarca.</t>
  </si>
  <si>
    <t>5.6 Modernizar la infraestructura física de la Universidad de Cundinamarca</t>
  </si>
  <si>
    <t>5.5 Avanzar en la implementación de Gobierno de datos, Gobierno en línea, e incorporar componentes de procesos académicos y administrativos.
5.7 Implementar los sistemas integrados de gestión en la Universidad de Cundinamarca.</t>
  </si>
  <si>
    <t>5.1 Convertir a la Universidad de Cundinamarca en una Institución educativa ágil para responder a los retos de una organización transmoderna y translocal</t>
  </si>
  <si>
    <t>5.1 Convertir a la Universidad de Cundinamarca en una Institución educativa ágil para responder a los retos de una organización transmoderna y translocal.
5.4 Modernizar la infraestructura tecnológica de la Universidad de Cundinamarca.</t>
  </si>
  <si>
    <t>5.1 Convertir a la Universidad de Cundinamarca en una Institución educativa ágil para responder a los retos de una organización transmoderna y translocal.</t>
  </si>
  <si>
    <t>49 Transformación y cultura digital para soportar los procesos académicos y administrativos</t>
  </si>
  <si>
    <t>51 Desarrollo físico, mejoramiento de la infraestructura, modernización y adecuación de laboratorios
54 Plan de Recursos Educativos</t>
  </si>
  <si>
    <t>5.3 Consolidar al Instituto de Posgrados como una unidad de servicios y de negocio.</t>
  </si>
  <si>
    <t xml:space="preserve"> Convertir a la Universidad de Cundinamarca en una Institución educativa ágil para responder a los retos de una organización transmoderna y translocal</t>
  </si>
  <si>
    <t xml:space="preserve">13. producción de Nuevo conocimiento </t>
  </si>
  <si>
    <t>Frente 2. Misión trascendente</t>
  </si>
  <si>
    <t>Frente 6. Organización universitaria inteligente con alma y corazón</t>
  </si>
  <si>
    <t>42. Plan de Recursos Educativos</t>
  </si>
  <si>
    <t>42. Implementar el Modelo Integrado de Planeación y Gestión (MIPG)</t>
  </si>
  <si>
    <t xml:space="preserve">51. Desarrollo físico, mejoramiento de la infraestructura, modernización y
adecuación de laboratorios </t>
  </si>
  <si>
    <t xml:space="preserve">3.1  Implementar la gestión de éxito académico en la Universidad de Cundinamarca. </t>
  </si>
  <si>
    <t>5.4 Modernizar la infraestructura tecnológica de la Universidad de
Cundinamarca.</t>
  </si>
  <si>
    <t>5.4 Modernizar la infraestructura tecnológica de la Universidad de
Cundinamarca</t>
  </si>
  <si>
    <t>1.6  Dinamizar las comunidades y redes académico-científicas transdisciplinarias, trascendiendo las fronteras del conocimiento.</t>
  </si>
  <si>
    <t>1.11Articular ISU y Ciencia, Tecnología e Innovación.</t>
  </si>
  <si>
    <t>1.6 Dinamizar las comunidades y redes académico-científicas transdisciplinarias, trascendiendo las fronteras del conocimiento.</t>
  </si>
  <si>
    <t xml:space="preserve"> 5.6 Modernizar la infraestructura física de la Universidad de Cundinamarca</t>
  </si>
  <si>
    <t>5.4 Modernizar la infraestructura tecnológica de la Universidad de
Cundinamarca."</t>
  </si>
  <si>
    <t xml:space="preserve"> 5.6Modernizar la infraestructura física de la Universidad de Cundinamarca</t>
  </si>
  <si>
    <t xml:space="preserve"> Organización Social del Conocimiento y Aprendizaje Viva </t>
  </si>
  <si>
    <t xml:space="preserve"> 5.4 Modernizar la infraestructura tecnológica de la Universidad de
Cundinamarca."</t>
  </si>
  <si>
    <t>3.1  Implementar la gestión de éxito académico en la Universidad de Cundinamarca.</t>
  </si>
  <si>
    <t>5.1  Convertir a la Universidad de Cundinamarca en una Institución educativa ágil para responder a los retos de una organización transmoderna y translocal</t>
  </si>
  <si>
    <t xml:space="preserve">
Organización universitaria inteligente con alma y corazón</t>
  </si>
  <si>
    <t>45. Certificación de los Sistemas de Gestión e integración</t>
  </si>
  <si>
    <t xml:space="preserve">
Organización universitaria inteligente con alma y corazón
</t>
  </si>
  <si>
    <t>Renovación Tecnológica de la Plataforma Institucional de la Universidad de Cundinamarca.</t>
  </si>
  <si>
    <t>Fortalecimiento de la infraestructura fisica y tecnologica del centro de estudios agroambientales - agroucundinamarca de la universidad de cundinamarca</t>
  </si>
  <si>
    <t>ACUERDO 010 DE 19 DE DICIEMBRE DE 2023                                                                                                                                                                                                                                                                                                                    "POR EL CUAL SE APRUEBAN LOS COMPUTOS DE RENTAS Y GASTOS DEL PRESUPUESTO GENERAL Y LOS PRESUPUESTOS DE LOS FONDOS ESPECIALES DE LA UNIVERISDAD DE CUNDINAMARCA PARA LA VIGENCIA FISCAL 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</si>
</sst>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_-* #,##0_-;\-* #,##0_-;_-* &quot;-&quot;??_-;_-@_-"/>
    <numFmt numFmtId="166" formatCode="00"/>
  </numFmts>
  <fonts count="31" x14ac:knownFonts="1">
    <font>
      <sz val="11"/>
      <color theme="1"/>
      <name val="Calibri"/>
      <family val="2"/>
      <scheme val="minor"/>
    </font>
    <font>
      <sz val="11"/>
      <color theme="1"/>
      <name val="Calibri"/>
      <family val="2"/>
      <scheme val="minor"/>
    </font>
    <font>
      <b/>
      <sz val="9"/>
      <color rgb="FFFFFFFF"/>
      <name val="Century Gothic"/>
      <family val="2"/>
    </font>
    <font>
      <sz val="9"/>
      <name val="Century Gothic"/>
      <family val="2"/>
    </font>
    <font>
      <b/>
      <sz val="9"/>
      <color theme="1"/>
      <name val="Century Gothic"/>
      <family val="2"/>
    </font>
    <font>
      <sz val="9"/>
      <color theme="1"/>
      <name val="Century Gothic"/>
      <family val="2"/>
    </font>
    <font>
      <b/>
      <sz val="11"/>
      <color theme="1"/>
      <name val="Calibri"/>
      <family val="2"/>
      <scheme val="minor"/>
    </font>
    <font>
      <b/>
      <sz val="20"/>
      <color theme="9" tint="-0.499984740745262"/>
      <name val="Calibri"/>
      <family val="2"/>
      <scheme val="minor"/>
    </font>
    <font>
      <sz val="12"/>
      <color theme="1"/>
      <name val="Arial"/>
      <family val="2"/>
    </font>
    <font>
      <sz val="11"/>
      <name val="Calibri"/>
      <family val="2"/>
      <scheme val="minor"/>
    </font>
    <font>
      <b/>
      <sz val="9"/>
      <name val="Century Gothic"/>
      <family val="2"/>
    </font>
    <font>
      <sz val="10"/>
      <color theme="1"/>
      <name val="Calibri"/>
      <family val="2"/>
      <scheme val="minor"/>
    </font>
    <font>
      <b/>
      <sz val="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Century Gothic"/>
      <family val="2"/>
    </font>
    <font>
      <b/>
      <sz val="11"/>
      <color rgb="FFFF0000"/>
      <name val="Calibri"/>
      <family val="2"/>
      <scheme val="minor"/>
    </font>
    <font>
      <sz val="9"/>
      <name val="Century Gothic"/>
      <family val="1"/>
    </font>
  </fonts>
  <fills count="46">
    <fill>
      <patternFill patternType="none"/>
    </fill>
    <fill>
      <patternFill patternType="gray125"/>
    </fill>
    <fill>
      <patternFill patternType="solid">
        <fgColor rgb="FF006600"/>
        <bgColor rgb="FF000000"/>
      </patternFill>
    </fill>
    <fill>
      <patternFill patternType="solid">
        <fgColor rgb="FF006600"/>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rgb="FFF4B083"/>
      </patternFill>
    </fill>
    <fill>
      <patternFill patternType="solid">
        <fgColor theme="9" tint="0.59999389629810485"/>
        <bgColor rgb="FFF4B083"/>
      </patternFill>
    </fill>
    <fill>
      <patternFill patternType="solid">
        <fgColor theme="9" tint="0.59999389629810485"/>
        <bgColor rgb="FFF7CAAC"/>
      </patternFill>
    </fill>
    <fill>
      <patternFill patternType="solid">
        <fgColor theme="9" tint="0.79998168889431442"/>
        <bgColor rgb="FFF7CAAC"/>
      </patternFill>
    </fill>
    <fill>
      <patternFill patternType="solid">
        <fgColor theme="9" tint="0.59999389629810485"/>
        <bgColor rgb="FF000000"/>
      </patternFill>
    </fill>
    <fill>
      <patternFill patternType="solid">
        <fgColor theme="9" tint="0.79998168889431442"/>
        <bgColor rgb="FFDEEAF6"/>
      </patternFill>
    </fill>
    <fill>
      <patternFill patternType="solid">
        <fgColor theme="9" tint="0.59999389629810485"/>
        <bgColor rgb="FFFCE4D6"/>
      </patternFill>
    </fill>
    <fill>
      <patternFill patternType="solid">
        <fgColor theme="9" tint="0.59999389629810485"/>
        <bgColor rgb="FFDEEAF6"/>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8">
    <xf numFmtId="0" fontId="0" fillId="0" borderId="0"/>
    <xf numFmtId="43"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0" fontId="8" fillId="0" borderId="0"/>
    <xf numFmtId="0" fontId="8" fillId="0" borderId="0"/>
    <xf numFmtId="0" fontId="13" fillId="0" borderId="0" applyNumberFormat="0" applyFill="0" applyBorder="0" applyAlignment="0" applyProtection="0"/>
    <xf numFmtId="0" fontId="14" fillId="0" borderId="7"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0" applyNumberFormat="0" applyFill="0" applyBorder="0" applyAlignment="0" applyProtection="0"/>
    <xf numFmtId="0" fontId="17" fillId="7" borderId="0" applyNumberFormat="0" applyBorder="0" applyAlignment="0" applyProtection="0"/>
    <xf numFmtId="0" fontId="18" fillId="8" borderId="0" applyNumberFormat="0" applyBorder="0" applyAlignment="0" applyProtection="0"/>
    <xf numFmtId="0" fontId="19" fillId="9" borderId="0" applyNumberFormat="0" applyBorder="0" applyAlignment="0" applyProtection="0"/>
    <xf numFmtId="0" fontId="20" fillId="10" borderId="10" applyNumberFormat="0" applyAlignment="0" applyProtection="0"/>
    <xf numFmtId="0" fontId="21" fillId="11" borderId="11" applyNumberFormat="0" applyAlignment="0" applyProtection="0"/>
    <xf numFmtId="0" fontId="22" fillId="11" borderId="10" applyNumberFormat="0" applyAlignment="0" applyProtection="0"/>
    <xf numFmtId="0" fontId="23" fillId="0" borderId="12" applyNumberFormat="0" applyFill="0" applyAlignment="0" applyProtection="0"/>
    <xf numFmtId="0" fontId="24" fillId="12" borderId="13" applyNumberFormat="0" applyAlignment="0" applyProtection="0"/>
    <xf numFmtId="0" fontId="25" fillId="0" borderId="0" applyNumberFormat="0" applyFill="0" applyBorder="0" applyAlignment="0" applyProtection="0"/>
    <xf numFmtId="0" fontId="1" fillId="13" borderId="14" applyNumberFormat="0" applyFont="0" applyAlignment="0" applyProtection="0"/>
    <xf numFmtId="0" fontId="26" fillId="0" borderId="0" applyNumberFormat="0" applyFill="0" applyBorder="0" applyAlignment="0" applyProtection="0"/>
    <xf numFmtId="0" fontId="6" fillId="0" borderId="15" applyNumberFormat="0" applyFill="0" applyAlignment="0" applyProtection="0"/>
    <xf numFmtId="0" fontId="27"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27"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27"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27"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27"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27"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44" fontId="1" fillId="0" borderId="0" applyFont="0" applyFill="0" applyBorder="0" applyAlignment="0" applyProtection="0"/>
  </cellStyleXfs>
  <cellXfs count="331">
    <xf numFmtId="0" fontId="0" fillId="0" borderId="0" xfId="0"/>
    <xf numFmtId="0" fontId="5" fillId="0" borderId="0" xfId="0" applyFont="1" applyAlignment="1">
      <alignment wrapText="1"/>
    </xf>
    <xf numFmtId="0" fontId="5" fillId="0" borderId="0" xfId="0" applyFont="1"/>
    <xf numFmtId="0" fontId="5" fillId="4" borderId="0" xfId="0" applyFont="1" applyFill="1"/>
    <xf numFmtId="0" fontId="3" fillId="4" borderId="0" xfId="0" applyFont="1" applyFill="1" applyAlignment="1">
      <alignment horizontal="center" vertical="center" wrapText="1"/>
    </xf>
    <xf numFmtId="0" fontId="6" fillId="0" borderId="0" xfId="0" applyFont="1" applyAlignment="1">
      <alignment horizontal="left" wrapText="1"/>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42" fontId="2" fillId="3" borderId="1" xfId="2"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5" fillId="0" borderId="0" xfId="0" applyFont="1" applyAlignment="1">
      <alignment horizontal="center" vertical="center"/>
    </xf>
    <xf numFmtId="0" fontId="5" fillId="4" borderId="0" xfId="0" applyFont="1" applyFill="1" applyAlignment="1">
      <alignment wrapText="1"/>
    </xf>
    <xf numFmtId="0" fontId="4" fillId="0" borderId="0" xfId="0" applyFont="1"/>
    <xf numFmtId="44" fontId="4" fillId="5" borderId="1" xfId="3" applyFont="1" applyFill="1" applyBorder="1"/>
    <xf numFmtId="164" fontId="4" fillId="5" borderId="1" xfId="3" applyNumberFormat="1" applyFont="1" applyFill="1" applyBorder="1" applyAlignment="1">
      <alignment horizontal="center" vertical="center"/>
    </xf>
    <xf numFmtId="0" fontId="5" fillId="0" borderId="0" xfId="0" applyFont="1" applyAlignment="1">
      <alignment horizontal="left"/>
    </xf>
    <xf numFmtId="0" fontId="5" fillId="5" borderId="1" xfId="0" applyFont="1" applyFill="1" applyBorder="1"/>
    <xf numFmtId="164" fontId="5" fillId="0" borderId="0" xfId="0" applyNumberFormat="1" applyFont="1"/>
    <xf numFmtId="0" fontId="3" fillId="6" borderId="1"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5" fillId="6" borderId="1" xfId="0" applyFont="1" applyFill="1" applyBorder="1"/>
    <xf numFmtId="0" fontId="5" fillId="6" borderId="1" xfId="0" applyFont="1" applyFill="1" applyBorder="1" applyAlignment="1">
      <alignment horizontal="center" vertical="center"/>
    </xf>
    <xf numFmtId="0" fontId="5" fillId="4" borderId="1" xfId="0" applyFont="1" applyFill="1" applyBorder="1"/>
    <xf numFmtId="165" fontId="5" fillId="4" borderId="0" xfId="0" applyNumberFormat="1" applyFont="1" applyFill="1"/>
    <xf numFmtId="164" fontId="5" fillId="4" borderId="0" xfId="0" applyNumberFormat="1" applyFont="1" applyFill="1"/>
    <xf numFmtId="164" fontId="4" fillId="6" borderId="1" xfId="3" applyNumberFormat="1" applyFont="1" applyFill="1" applyBorder="1" applyAlignment="1">
      <alignment vertical="center"/>
    </xf>
    <xf numFmtId="165" fontId="1" fillId="6" borderId="1" xfId="1" applyNumberFormat="1" applyFont="1" applyFill="1" applyBorder="1" applyAlignment="1">
      <alignment horizontal="left" vertical="center"/>
    </xf>
    <xf numFmtId="165" fontId="1" fillId="6" borderId="1" xfId="1" applyNumberFormat="1" applyFont="1" applyFill="1" applyBorder="1" applyAlignment="1">
      <alignment horizontal="center" vertical="center"/>
    </xf>
    <xf numFmtId="165" fontId="0" fillId="6" borderId="1" xfId="1" applyNumberFormat="1" applyFont="1" applyFill="1" applyBorder="1" applyAlignment="1">
      <alignment horizontal="center" vertical="center"/>
    </xf>
    <xf numFmtId="165" fontId="9" fillId="6" borderId="1" xfId="1" applyNumberFormat="1" applyFont="1" applyFill="1" applyBorder="1" applyAlignment="1">
      <alignment horizontal="center" vertical="center"/>
    </xf>
    <xf numFmtId="164" fontId="5" fillId="6" borderId="1" xfId="3" applyNumberFormat="1" applyFont="1" applyFill="1" applyBorder="1" applyAlignment="1">
      <alignment horizontal="left" vertical="center" indent="1"/>
    </xf>
    <xf numFmtId="164" fontId="4" fillId="6" borderId="1" xfId="3" applyNumberFormat="1" applyFont="1" applyFill="1" applyBorder="1" applyAlignment="1">
      <alignment horizontal="left" vertical="center" indent="1"/>
    </xf>
    <xf numFmtId="0" fontId="3" fillId="5" borderId="1" xfId="0" applyFont="1" applyFill="1" applyBorder="1" applyAlignment="1">
      <alignment horizontal="center" vertical="center" wrapText="1"/>
    </xf>
    <xf numFmtId="164" fontId="5" fillId="5" borderId="1" xfId="3" applyNumberFormat="1" applyFont="1" applyFill="1" applyBorder="1" applyAlignment="1">
      <alignment horizontal="left" vertical="center" indent="1"/>
    </xf>
    <xf numFmtId="0" fontId="3" fillId="5" borderId="4" xfId="0" applyFont="1" applyFill="1" applyBorder="1" applyAlignment="1">
      <alignment horizontal="center" vertical="center" wrapText="1"/>
    </xf>
    <xf numFmtId="164" fontId="4" fillId="5" borderId="1" xfId="3" applyNumberFormat="1" applyFont="1" applyFill="1" applyBorder="1" applyAlignment="1">
      <alignment horizontal="left" vertical="center" indent="1"/>
    </xf>
    <xf numFmtId="164" fontId="5" fillId="5" borderId="1" xfId="3" applyNumberFormat="1" applyFont="1" applyFill="1" applyBorder="1" applyAlignment="1">
      <alignment horizontal="left" indent="1"/>
    </xf>
    <xf numFmtId="164" fontId="5" fillId="5" borderId="1" xfId="3" applyNumberFormat="1" applyFont="1" applyFill="1" applyBorder="1" applyAlignment="1">
      <alignment horizontal="center" vertical="center"/>
    </xf>
    <xf numFmtId="165" fontId="9" fillId="5" borderId="1" xfId="1" applyNumberFormat="1" applyFont="1" applyFill="1" applyBorder="1" applyAlignment="1">
      <alignment horizontal="center" vertical="center" wrapText="1"/>
    </xf>
    <xf numFmtId="165" fontId="1" fillId="5" borderId="1" xfId="1" applyNumberFormat="1" applyFont="1" applyFill="1" applyBorder="1" applyAlignment="1">
      <alignment horizontal="center" vertical="center"/>
    </xf>
    <xf numFmtId="165" fontId="1" fillId="5" borderId="1" xfId="1" applyNumberFormat="1" applyFont="1" applyFill="1" applyBorder="1" applyAlignment="1">
      <alignment horizontal="left" vertical="center"/>
    </xf>
    <xf numFmtId="165" fontId="1" fillId="5" borderId="1" xfId="1" applyNumberFormat="1" applyFont="1" applyFill="1" applyBorder="1" applyAlignment="1">
      <alignment horizontal="right" vertical="center"/>
    </xf>
    <xf numFmtId="0" fontId="5" fillId="6" borderId="0" xfId="0" applyFont="1" applyFill="1"/>
    <xf numFmtId="0" fontId="1" fillId="6" borderId="1" xfId="4" applyFont="1" applyFill="1" applyBorder="1" applyAlignment="1">
      <alignment horizontal="left" vertical="center" wrapText="1"/>
    </xf>
    <xf numFmtId="0" fontId="5" fillId="5" borderId="1" xfId="0" applyFont="1" applyFill="1" applyBorder="1" applyAlignment="1">
      <alignment horizontal="center" vertical="center" wrapText="1"/>
    </xf>
    <xf numFmtId="164" fontId="9" fillId="6" borderId="1" xfId="3" applyNumberFormat="1" applyFont="1" applyFill="1" applyBorder="1" applyAlignment="1">
      <alignment horizontal="center" vertical="center"/>
    </xf>
    <xf numFmtId="164" fontId="1" fillId="6" borderId="1" xfId="3" applyNumberFormat="1" applyFont="1" applyFill="1" applyBorder="1" applyAlignment="1">
      <alignment horizontal="center" vertical="center"/>
    </xf>
    <xf numFmtId="164" fontId="9" fillId="5" borderId="1" xfId="3" applyNumberFormat="1" applyFont="1" applyFill="1" applyBorder="1" applyAlignment="1">
      <alignment horizontal="center" vertical="center" wrapText="1"/>
    </xf>
    <xf numFmtId="164" fontId="12" fillId="5" borderId="1" xfId="3" applyNumberFormat="1" applyFont="1" applyFill="1" applyBorder="1" applyAlignment="1">
      <alignment horizontal="center" vertical="center" wrapText="1"/>
    </xf>
    <xf numFmtId="164" fontId="1" fillId="5" borderId="1" xfId="3" applyNumberFormat="1" applyFont="1" applyFill="1" applyBorder="1" applyAlignment="1">
      <alignment horizontal="left" vertical="center"/>
    </xf>
    <xf numFmtId="164" fontId="1" fillId="5" borderId="1" xfId="3" applyNumberFormat="1" applyFont="1" applyFill="1" applyBorder="1" applyAlignment="1">
      <alignment horizontal="center" vertical="center"/>
    </xf>
    <xf numFmtId="164" fontId="1" fillId="40" borderId="1" xfId="3" applyNumberFormat="1" applyFont="1" applyFill="1" applyBorder="1" applyAlignment="1">
      <alignment horizontal="center" vertical="center"/>
    </xf>
    <xf numFmtId="164" fontId="9" fillId="5" borderId="1" xfId="3" applyNumberFormat="1" applyFont="1" applyFill="1" applyBorder="1" applyAlignment="1">
      <alignment horizontal="center" vertical="center"/>
    </xf>
    <xf numFmtId="164" fontId="0" fillId="5" borderId="1" xfId="3" applyNumberFormat="1" applyFont="1" applyFill="1" applyBorder="1" applyAlignment="1">
      <alignment horizontal="center" vertical="center"/>
    </xf>
    <xf numFmtId="0" fontId="3" fillId="6" borderId="1" xfId="0" applyFont="1" applyFill="1" applyBorder="1" applyAlignment="1" applyProtection="1">
      <alignment horizontal="center" vertical="center" wrapText="1"/>
      <protection locked="0"/>
    </xf>
    <xf numFmtId="164" fontId="1" fillId="40" borderId="1" xfId="3" applyNumberFormat="1" applyFont="1" applyFill="1" applyBorder="1" applyAlignment="1">
      <alignment horizontal="left" vertical="center"/>
    </xf>
    <xf numFmtId="164" fontId="1" fillId="5" borderId="1" xfId="3" applyNumberFormat="1" applyFont="1" applyFill="1" applyBorder="1" applyAlignment="1">
      <alignment horizontal="center" vertical="center" wrapText="1"/>
    </xf>
    <xf numFmtId="165" fontId="1" fillId="5" borderId="1" xfId="1" applyNumberFormat="1" applyFont="1" applyFill="1" applyBorder="1" applyAlignment="1">
      <alignment horizontal="left" vertical="center" wrapText="1" indent="6"/>
    </xf>
    <xf numFmtId="0" fontId="3" fillId="5" borderId="1" xfId="0" applyFont="1" applyFill="1" applyBorder="1" applyAlignment="1" applyProtection="1">
      <alignment horizontal="center" vertical="center" wrapText="1"/>
      <protection locked="0"/>
    </xf>
    <xf numFmtId="164" fontId="1" fillId="6" borderId="1" xfId="3" applyNumberFormat="1" applyFont="1" applyFill="1" applyBorder="1" applyAlignment="1">
      <alignment horizontal="left" vertical="center"/>
    </xf>
    <xf numFmtId="164" fontId="0" fillId="6" borderId="1" xfId="3" applyNumberFormat="1" applyFont="1" applyFill="1" applyBorder="1" applyAlignment="1">
      <alignment horizontal="center" vertical="center"/>
    </xf>
    <xf numFmtId="165" fontId="1" fillId="41" borderId="1" xfId="1" applyNumberFormat="1" applyFont="1" applyFill="1" applyBorder="1" applyAlignment="1">
      <alignment horizontal="left" vertical="center"/>
    </xf>
    <xf numFmtId="165" fontId="1" fillId="41" borderId="1" xfId="1" applyNumberFormat="1" applyFont="1" applyFill="1" applyBorder="1" applyAlignment="1">
      <alignment horizontal="center" vertical="center"/>
    </xf>
    <xf numFmtId="164" fontId="1" fillId="5" borderId="1" xfId="3" applyNumberFormat="1" applyFont="1" applyFill="1" applyBorder="1" applyAlignment="1">
      <alignment horizontal="right" vertical="center"/>
    </xf>
    <xf numFmtId="0" fontId="3" fillId="5" borderId="1" xfId="0" applyFont="1" applyFill="1" applyBorder="1" applyAlignment="1">
      <alignment vertical="center" wrapText="1"/>
    </xf>
    <xf numFmtId="164" fontId="1" fillId="5" borderId="1" xfId="3" applyNumberFormat="1" applyFont="1" applyFill="1" applyBorder="1" applyAlignment="1">
      <alignment horizontal="right" vertical="center" wrapText="1"/>
    </xf>
    <xf numFmtId="164" fontId="4" fillId="5" borderId="1" xfId="3" applyNumberFormat="1" applyFont="1" applyFill="1" applyBorder="1" applyAlignment="1">
      <alignment vertical="center"/>
    </xf>
    <xf numFmtId="0" fontId="4" fillId="6" borderId="4" xfId="0" applyFont="1" applyFill="1" applyBorder="1" applyAlignment="1">
      <alignment horizontal="right"/>
    </xf>
    <xf numFmtId="164" fontId="4" fillId="6" borderId="1" xfId="3" applyNumberFormat="1" applyFont="1" applyFill="1" applyBorder="1"/>
    <xf numFmtId="44" fontId="0" fillId="5" borderId="1" xfId="3" applyFont="1" applyFill="1" applyBorder="1" applyAlignment="1">
      <alignment horizontal="center" vertical="center" wrapText="1"/>
    </xf>
    <xf numFmtId="166" fontId="0" fillId="38" borderId="1" xfId="4" applyNumberFormat="1" applyFont="1" applyFill="1" applyBorder="1" applyAlignment="1">
      <alignment horizontal="left" vertical="center"/>
    </xf>
    <xf numFmtId="166" fontId="0" fillId="38" borderId="1" xfId="4" applyNumberFormat="1" applyFont="1" applyFill="1" applyBorder="1" applyAlignment="1">
      <alignment horizontal="left" vertical="center" wrapText="1"/>
    </xf>
    <xf numFmtId="165" fontId="0" fillId="6" borderId="1" xfId="1" applyNumberFormat="1" applyFont="1" applyFill="1" applyBorder="1" applyAlignment="1">
      <alignment horizontal="center" vertical="center" wrapText="1"/>
    </xf>
    <xf numFmtId="0" fontId="5" fillId="5" borderId="1" xfId="0" applyFont="1" applyFill="1" applyBorder="1" applyAlignment="1">
      <alignment horizontal="center" vertical="center"/>
    </xf>
    <xf numFmtId="43" fontId="28" fillId="5" borderId="5" xfId="1" applyFont="1" applyFill="1" applyBorder="1" applyAlignment="1">
      <alignment horizontal="center" vertical="center" wrapText="1"/>
    </xf>
    <xf numFmtId="164" fontId="9" fillId="5" borderId="1" xfId="3" applyNumberFormat="1" applyFont="1" applyFill="1" applyBorder="1" applyAlignment="1">
      <alignment horizontal="left" vertical="center" wrapText="1"/>
    </xf>
    <xf numFmtId="164" fontId="1" fillId="40" borderId="1" xfId="3" applyNumberFormat="1" applyFont="1" applyFill="1" applyBorder="1" applyAlignment="1">
      <alignment horizontal="center" vertical="center" wrapText="1"/>
    </xf>
    <xf numFmtId="164" fontId="6" fillId="40" borderId="1" xfId="3" applyNumberFormat="1" applyFont="1" applyFill="1" applyBorder="1" applyAlignment="1">
      <alignment horizontal="center" vertical="center" wrapText="1"/>
    </xf>
    <xf numFmtId="164" fontId="6" fillId="5" borderId="1" xfId="3" applyNumberFormat="1" applyFont="1" applyFill="1" applyBorder="1" applyAlignment="1">
      <alignment horizontal="center" vertical="center" wrapText="1"/>
    </xf>
    <xf numFmtId="166" fontId="0" fillId="39" borderId="1" xfId="4" applyNumberFormat="1" applyFont="1" applyFill="1" applyBorder="1" applyAlignment="1">
      <alignment horizontal="left" vertical="center" wrapText="1"/>
    </xf>
    <xf numFmtId="165" fontId="1" fillId="45" borderId="1" xfId="1" applyNumberFormat="1" applyFont="1" applyFill="1" applyBorder="1" applyAlignment="1">
      <alignment horizontal="center" vertical="center" wrapText="1"/>
    </xf>
    <xf numFmtId="164" fontId="1" fillId="45" borderId="1" xfId="3" applyNumberFormat="1" applyFont="1" applyFill="1" applyBorder="1" applyAlignment="1">
      <alignment horizontal="center" vertical="center" wrapText="1"/>
    </xf>
    <xf numFmtId="165" fontId="9" fillId="45" borderId="1" xfId="1" applyNumberFormat="1" applyFont="1" applyFill="1" applyBorder="1" applyAlignment="1">
      <alignment horizontal="center" vertical="center" wrapText="1"/>
    </xf>
    <xf numFmtId="164" fontId="0" fillId="5" borderId="1" xfId="3" applyNumberFormat="1" applyFont="1" applyFill="1" applyBorder="1" applyAlignment="1">
      <alignment horizontal="center" vertical="center" wrapText="1"/>
    </xf>
    <xf numFmtId="165" fontId="0" fillId="45" borderId="1" xfId="1" applyNumberFormat="1" applyFont="1" applyFill="1" applyBorder="1" applyAlignment="1">
      <alignment horizontal="center" vertical="center" wrapText="1"/>
    </xf>
    <xf numFmtId="165" fontId="1" fillId="45" borderId="4" xfId="1" applyNumberFormat="1" applyFont="1" applyFill="1" applyBorder="1" applyAlignment="1">
      <alignment horizontal="center" vertical="center" wrapText="1"/>
    </xf>
    <xf numFmtId="164" fontId="1" fillId="5" borderId="4" xfId="3" applyNumberFormat="1" applyFont="1" applyFill="1" applyBorder="1" applyAlignment="1">
      <alignment horizontal="center" vertical="center" wrapText="1"/>
    </xf>
    <xf numFmtId="0" fontId="5" fillId="4" borderId="0" xfId="0" applyFont="1" applyFill="1" applyAlignment="1">
      <alignment vertical="center"/>
    </xf>
    <xf numFmtId="0" fontId="5" fillId="0" borderId="0" xfId="0" applyFont="1" applyAlignment="1">
      <alignment vertical="center"/>
    </xf>
    <xf numFmtId="0" fontId="4" fillId="6" borderId="6" xfId="0" applyFont="1" applyFill="1" applyBorder="1"/>
    <xf numFmtId="164" fontId="5" fillId="5" borderId="1" xfId="3" applyNumberFormat="1" applyFont="1" applyFill="1" applyBorder="1" applyAlignment="1">
      <alignment horizontal="center" vertical="center" wrapText="1"/>
    </xf>
    <xf numFmtId="0" fontId="4" fillId="6" borderId="1" xfId="0" applyFont="1" applyFill="1" applyBorder="1" applyAlignment="1">
      <alignment horizontal="right"/>
    </xf>
    <xf numFmtId="0" fontId="5" fillId="4" borderId="4" xfId="0" applyFont="1" applyFill="1" applyBorder="1"/>
    <xf numFmtId="164" fontId="12" fillId="6" borderId="1" xfId="3"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5" fillId="6" borderId="5" xfId="0" applyFont="1" applyFill="1" applyBorder="1" applyAlignment="1">
      <alignment horizontal="center" vertical="center" wrapText="1"/>
    </xf>
    <xf numFmtId="164" fontId="4" fillId="5" borderId="1" xfId="3" applyNumberFormat="1" applyFont="1" applyFill="1" applyBorder="1" applyAlignment="1">
      <alignment horizontal="center" vertical="center"/>
    </xf>
    <xf numFmtId="164" fontId="4" fillId="6" borderId="2" xfId="3" applyNumberFormat="1" applyFont="1" applyFill="1" applyBorder="1" applyAlignment="1">
      <alignment horizontal="center" vertical="center"/>
    </xf>
    <xf numFmtId="164" fontId="4" fillId="6" borderId="3" xfId="3" applyNumberFormat="1" applyFont="1" applyFill="1" applyBorder="1" applyAlignment="1">
      <alignment horizontal="center" vertical="center"/>
    </xf>
    <xf numFmtId="164" fontId="4" fillId="5" borderId="3" xfId="3" applyNumberFormat="1" applyFont="1" applyFill="1" applyBorder="1" applyAlignment="1">
      <alignment horizontal="center" vertical="center"/>
    </xf>
    <xf numFmtId="164" fontId="4" fillId="5" borderId="2" xfId="3" applyNumberFormat="1" applyFont="1" applyFill="1" applyBorder="1" applyAlignment="1">
      <alignment horizontal="left" vertical="center" indent="1"/>
    </xf>
    <xf numFmtId="164" fontId="4" fillId="6" borderId="2" xfId="3" applyNumberFormat="1" applyFont="1" applyFill="1" applyBorder="1" applyAlignment="1">
      <alignment horizontal="left" vertical="center" indent="1"/>
    </xf>
    <xf numFmtId="164" fontId="4" fillId="6" borderId="5" xfId="3" applyNumberFormat="1" applyFont="1" applyFill="1" applyBorder="1" applyAlignment="1">
      <alignment horizontal="left" vertical="center" indent="1"/>
    </xf>
    <xf numFmtId="0" fontId="3" fillId="6" borderId="1" xfId="0" applyFont="1" applyFill="1" applyBorder="1" applyAlignment="1">
      <alignment horizontal="center" vertical="center" wrapText="1"/>
    </xf>
    <xf numFmtId="164" fontId="12" fillId="5" borderId="1" xfId="3" applyNumberFormat="1" applyFont="1" applyFill="1" applyBorder="1" applyAlignment="1">
      <alignment horizontal="center" vertical="center" wrapText="1"/>
    </xf>
    <xf numFmtId="164" fontId="4" fillId="6" borderId="1" xfId="3" applyNumberFormat="1" applyFont="1" applyFill="1" applyBorder="1" applyAlignment="1">
      <alignment horizontal="center" vertical="center"/>
    </xf>
    <xf numFmtId="0" fontId="5" fillId="5" borderId="4" xfId="0" applyFont="1" applyFill="1" applyBorder="1" applyAlignment="1">
      <alignment horizontal="right"/>
    </xf>
    <xf numFmtId="0" fontId="4" fillId="6" borderId="6" xfId="0" applyFont="1" applyFill="1" applyBorder="1" applyAlignment="1">
      <alignment horizontal="center"/>
    </xf>
    <xf numFmtId="0" fontId="5" fillId="4" borderId="0" xfId="0" applyFont="1" applyFill="1" applyBorder="1"/>
    <xf numFmtId="164" fontId="3" fillId="6" borderId="1" xfId="3" applyNumberFormat="1" applyFont="1" applyFill="1" applyBorder="1" applyAlignment="1">
      <alignment horizontal="left" vertical="center" indent="1"/>
    </xf>
    <xf numFmtId="164" fontId="3" fillId="6" borderId="5" xfId="3" applyNumberFormat="1" applyFont="1" applyFill="1" applyBorder="1" applyAlignment="1">
      <alignment horizontal="left" vertical="center" indent="1"/>
    </xf>
    <xf numFmtId="165" fontId="5" fillId="6" borderId="1" xfId="1" applyNumberFormat="1" applyFont="1" applyFill="1" applyBorder="1" applyAlignment="1">
      <alignment horizontal="left" vertical="center"/>
    </xf>
    <xf numFmtId="165" fontId="5" fillId="6" borderId="5" xfId="1" applyNumberFormat="1" applyFont="1" applyFill="1" applyBorder="1" applyAlignment="1">
      <alignment horizontal="left" vertical="center"/>
    </xf>
    <xf numFmtId="165" fontId="5" fillId="6" borderId="1" xfId="1" applyNumberFormat="1" applyFont="1" applyFill="1" applyBorder="1" applyAlignment="1">
      <alignment horizontal="center" vertical="center"/>
    </xf>
    <xf numFmtId="165" fontId="5" fillId="6" borderId="5" xfId="1" applyNumberFormat="1" applyFont="1" applyFill="1" applyBorder="1" applyAlignment="1">
      <alignment horizontal="center" vertical="center"/>
    </xf>
    <xf numFmtId="165" fontId="3" fillId="6" borderId="1" xfId="1" applyNumberFormat="1" applyFont="1" applyFill="1" applyBorder="1" applyAlignment="1">
      <alignment horizontal="center" vertical="center"/>
    </xf>
    <xf numFmtId="165" fontId="3" fillId="6" borderId="5" xfId="1" applyNumberFormat="1" applyFont="1" applyFill="1" applyBorder="1" applyAlignment="1">
      <alignment horizontal="center" vertical="center"/>
    </xf>
    <xf numFmtId="164" fontId="5" fillId="5" borderId="1" xfId="3" applyNumberFormat="1" applyFont="1" applyFill="1" applyBorder="1" applyAlignment="1">
      <alignment horizontal="left" vertical="center" wrapText="1" indent="7"/>
    </xf>
    <xf numFmtId="165" fontId="5" fillId="5" borderId="1" xfId="1" applyNumberFormat="1" applyFont="1" applyFill="1" applyBorder="1" applyAlignment="1">
      <alignment horizontal="center" vertical="center"/>
    </xf>
    <xf numFmtId="164" fontId="5" fillId="5" borderId="1" xfId="3" applyNumberFormat="1" applyFont="1" applyFill="1" applyBorder="1" applyAlignment="1">
      <alignment horizontal="left" vertical="center" wrapText="1" indent="1"/>
    </xf>
    <xf numFmtId="164" fontId="3" fillId="5" borderId="1" xfId="3" applyNumberFormat="1" applyFont="1" applyFill="1" applyBorder="1" applyAlignment="1">
      <alignment horizontal="left" vertical="center" wrapText="1" indent="1"/>
    </xf>
    <xf numFmtId="164" fontId="5" fillId="5" borderId="1" xfId="3" applyNumberFormat="1" applyFont="1" applyFill="1" applyBorder="1" applyAlignment="1">
      <alignment horizontal="left" vertical="center" wrapText="1" indent="5"/>
    </xf>
    <xf numFmtId="164" fontId="5" fillId="5" borderId="2" xfId="3" applyNumberFormat="1" applyFont="1" applyFill="1" applyBorder="1" applyAlignment="1">
      <alignment horizontal="left" vertical="center" wrapText="1" indent="7"/>
    </xf>
    <xf numFmtId="164" fontId="5" fillId="5" borderId="2" xfId="3" applyNumberFormat="1" applyFont="1" applyFill="1" applyBorder="1" applyAlignment="1">
      <alignment horizontal="left" vertical="center" indent="1"/>
    </xf>
    <xf numFmtId="165" fontId="5" fillId="5" borderId="1" xfId="1" applyNumberFormat="1" applyFont="1" applyFill="1" applyBorder="1" applyAlignment="1">
      <alignment horizontal="center" vertical="center" wrapText="1"/>
    </xf>
    <xf numFmtId="165" fontId="5" fillId="5" borderId="2" xfId="1" applyNumberFormat="1" applyFont="1" applyFill="1" applyBorder="1" applyAlignment="1">
      <alignment horizontal="center" vertical="center" wrapText="1"/>
    </xf>
    <xf numFmtId="165" fontId="3" fillId="5" borderId="1" xfId="1" applyNumberFormat="1" applyFont="1" applyFill="1" applyBorder="1" applyAlignment="1">
      <alignment horizontal="center" vertical="center" wrapText="1"/>
    </xf>
    <xf numFmtId="165" fontId="3" fillId="5" borderId="2" xfId="1" applyNumberFormat="1" applyFont="1" applyFill="1" applyBorder="1" applyAlignment="1">
      <alignment horizontal="center" vertical="center" wrapText="1"/>
    </xf>
    <xf numFmtId="165" fontId="5" fillId="5" borderId="1" xfId="1" applyNumberFormat="1" applyFont="1" applyFill="1" applyBorder="1" applyAlignment="1">
      <alignment horizontal="right" vertical="center" wrapText="1"/>
    </xf>
    <xf numFmtId="165" fontId="5" fillId="5" borderId="2" xfId="1" applyNumberFormat="1" applyFont="1" applyFill="1" applyBorder="1" applyAlignment="1">
      <alignment horizontal="right" vertical="center" wrapText="1"/>
    </xf>
    <xf numFmtId="164" fontId="5" fillId="5" borderId="3" xfId="3" applyNumberFormat="1" applyFont="1" applyFill="1" applyBorder="1" applyAlignment="1">
      <alignment horizontal="left" vertical="center" wrapText="1" indent="7"/>
    </xf>
    <xf numFmtId="165" fontId="5" fillId="5" borderId="3" xfId="1" applyNumberFormat="1" applyFont="1" applyFill="1" applyBorder="1" applyAlignment="1">
      <alignment horizontal="center" vertical="center"/>
    </xf>
    <xf numFmtId="164" fontId="5" fillId="5" borderId="3" xfId="3" applyNumberFormat="1" applyFont="1" applyFill="1" applyBorder="1" applyAlignment="1">
      <alignment horizontal="left" vertical="center" indent="1"/>
    </xf>
    <xf numFmtId="165" fontId="5" fillId="5" borderId="1" xfId="1" applyNumberFormat="1" applyFont="1" applyFill="1" applyBorder="1" applyAlignment="1">
      <alignment horizontal="left" vertical="center"/>
    </xf>
    <xf numFmtId="165" fontId="3" fillId="5" borderId="1" xfId="1" applyNumberFormat="1" applyFont="1" applyFill="1" applyBorder="1" applyAlignment="1">
      <alignment horizontal="center" vertical="center"/>
    </xf>
    <xf numFmtId="165" fontId="5" fillId="5" borderId="1" xfId="1" applyNumberFormat="1" applyFont="1" applyFill="1" applyBorder="1" applyAlignment="1">
      <alignment horizontal="right" vertical="center"/>
    </xf>
    <xf numFmtId="164" fontId="5" fillId="5" borderId="5" xfId="3" applyNumberFormat="1" applyFont="1" applyFill="1" applyBorder="1" applyAlignment="1">
      <alignment horizontal="left" vertical="center" wrapText="1" indent="7"/>
    </xf>
    <xf numFmtId="165" fontId="5" fillId="5" borderId="5" xfId="1" applyNumberFormat="1" applyFont="1" applyFill="1" applyBorder="1" applyAlignment="1">
      <alignment horizontal="center" vertical="center"/>
    </xf>
    <xf numFmtId="165" fontId="5" fillId="5" borderId="5" xfId="1" applyNumberFormat="1" applyFont="1" applyFill="1" applyBorder="1" applyAlignment="1">
      <alignment horizontal="right" vertical="center"/>
    </xf>
    <xf numFmtId="164" fontId="5" fillId="6" borderId="5" xfId="3" applyNumberFormat="1" applyFont="1" applyFill="1" applyBorder="1" applyAlignment="1">
      <alignment horizontal="left" vertical="center" indent="1"/>
    </xf>
    <xf numFmtId="164" fontId="5" fillId="6" borderId="0" xfId="3" applyNumberFormat="1" applyFont="1" applyFill="1" applyBorder="1" applyAlignment="1">
      <alignment horizontal="left" vertical="center" indent="1"/>
    </xf>
    <xf numFmtId="0" fontId="5" fillId="6" borderId="1" xfId="4" applyFont="1" applyFill="1" applyBorder="1" applyAlignment="1">
      <alignment horizontal="left" vertical="center" wrapText="1"/>
    </xf>
    <xf numFmtId="164" fontId="5" fillId="38" borderId="1" xfId="3" applyNumberFormat="1" applyFont="1" applyFill="1" applyBorder="1" applyAlignment="1">
      <alignment horizontal="left" vertical="center" indent="1"/>
    </xf>
    <xf numFmtId="164" fontId="10" fillId="6" borderId="1" xfId="3" applyNumberFormat="1" applyFont="1" applyFill="1" applyBorder="1" applyAlignment="1">
      <alignment horizontal="left" vertical="center" indent="1"/>
    </xf>
    <xf numFmtId="164" fontId="5" fillId="41" borderId="1" xfId="3" applyNumberFormat="1" applyFont="1" applyFill="1" applyBorder="1" applyAlignment="1">
      <alignment horizontal="left" vertical="center" indent="1"/>
    </xf>
    <xf numFmtId="164" fontId="5" fillId="6" borderId="2" xfId="3" applyNumberFormat="1" applyFont="1" applyFill="1" applyBorder="1" applyAlignment="1">
      <alignment horizontal="left" vertical="center" indent="1"/>
    </xf>
    <xf numFmtId="164" fontId="3" fillId="5" borderId="1" xfId="3" applyNumberFormat="1" applyFont="1" applyFill="1" applyBorder="1" applyAlignment="1">
      <alignment horizontal="left" vertical="center" indent="1"/>
    </xf>
    <xf numFmtId="164" fontId="3" fillId="5" borderId="1" xfId="3" applyNumberFormat="1" applyFont="1" applyFill="1" applyBorder="1" applyAlignment="1">
      <alignment horizontal="center" vertical="center" wrapText="1"/>
    </xf>
    <xf numFmtId="165" fontId="5" fillId="4" borderId="0" xfId="0" applyNumberFormat="1" applyFont="1" applyFill="1" applyBorder="1"/>
    <xf numFmtId="0" fontId="5" fillId="0" borderId="0" xfId="0" applyFont="1" applyAlignment="1">
      <alignment horizontal="center"/>
    </xf>
    <xf numFmtId="0" fontId="3" fillId="42" borderId="1" xfId="0" applyFont="1" applyFill="1" applyBorder="1" applyAlignment="1" applyProtection="1">
      <alignment horizontal="center" vertical="center" wrapText="1"/>
      <protection locked="0"/>
    </xf>
    <xf numFmtId="0" fontId="30" fillId="5" borderId="2" xfId="0" applyFont="1" applyFill="1" applyBorder="1" applyAlignment="1">
      <alignment horizontal="center" vertical="center" wrapText="1"/>
    </xf>
    <xf numFmtId="164" fontId="3" fillId="5" borderId="1" xfId="3" applyNumberFormat="1" applyFont="1" applyFill="1" applyBorder="1" applyAlignment="1">
      <alignment horizontal="left" vertical="center" wrapText="1"/>
    </xf>
    <xf numFmtId="0" fontId="5" fillId="4" borderId="0" xfId="0" applyFont="1" applyFill="1" applyAlignment="1">
      <alignment horizontal="left"/>
    </xf>
    <xf numFmtId="0" fontId="3" fillId="0" borderId="0" xfId="0" applyFont="1"/>
    <xf numFmtId="164" fontId="3" fillId="6" borderId="1" xfId="3" applyNumberFormat="1" applyFont="1" applyFill="1" applyBorder="1" applyAlignment="1">
      <alignment horizontal="center" vertical="center" wrapText="1"/>
    </xf>
    <xf numFmtId="164" fontId="3" fillId="6" borderId="1" xfId="3" applyNumberFormat="1" applyFont="1" applyFill="1" applyBorder="1" applyAlignment="1">
      <alignment horizontal="left" vertical="center" wrapText="1"/>
    </xf>
    <xf numFmtId="164" fontId="30" fillId="6" borderId="2" xfId="3" applyNumberFormat="1" applyFont="1" applyFill="1" applyBorder="1" applyAlignment="1">
      <alignment horizontal="left" vertical="center" wrapText="1"/>
    </xf>
    <xf numFmtId="164" fontId="30" fillId="6" borderId="1" xfId="3" applyNumberFormat="1" applyFont="1" applyFill="1" applyBorder="1" applyAlignment="1">
      <alignment horizontal="left" vertical="center" wrapText="1"/>
    </xf>
    <xf numFmtId="164" fontId="10" fillId="6" borderId="1" xfId="3" applyNumberFormat="1" applyFont="1" applyFill="1" applyBorder="1" applyAlignment="1">
      <alignment horizontal="left" vertical="center"/>
    </xf>
    <xf numFmtId="164" fontId="3" fillId="6" borderId="3" xfId="3" applyNumberFormat="1" applyFont="1" applyFill="1" applyBorder="1" applyAlignment="1">
      <alignment horizontal="center" vertical="center" wrapText="1"/>
    </xf>
    <xf numFmtId="164" fontId="3" fillId="6" borderId="2" xfId="3" applyNumberFormat="1" applyFont="1" applyFill="1" applyBorder="1" applyAlignment="1">
      <alignment horizontal="center" vertical="center" wrapText="1"/>
    </xf>
    <xf numFmtId="164" fontId="30" fillId="5" borderId="1" xfId="3" applyNumberFormat="1" applyFont="1" applyFill="1" applyBorder="1" applyAlignment="1">
      <alignment horizontal="center" vertical="center" wrapText="1"/>
    </xf>
    <xf numFmtId="164" fontId="10" fillId="5" borderId="1" xfId="0" applyNumberFormat="1" applyFont="1" applyFill="1" applyBorder="1" applyAlignment="1">
      <alignment horizontal="right" vertical="center"/>
    </xf>
    <xf numFmtId="164" fontId="10" fillId="0" borderId="0" xfId="0" applyNumberFormat="1" applyFont="1"/>
    <xf numFmtId="164" fontId="10" fillId="6" borderId="1" xfId="0" applyNumberFormat="1" applyFont="1" applyFill="1" applyBorder="1"/>
    <xf numFmtId="164" fontId="3" fillId="0" borderId="0" xfId="0" applyNumberFormat="1" applyFont="1"/>
    <xf numFmtId="164" fontId="3" fillId="6" borderId="2" xfId="3" applyNumberFormat="1" applyFont="1" applyFill="1" applyBorder="1" applyAlignment="1">
      <alignment horizontal="left" vertical="center" wrapText="1"/>
    </xf>
    <xf numFmtId="164" fontId="3" fillId="5" borderId="2" xfId="3" applyNumberFormat="1" applyFont="1" applyFill="1" applyBorder="1" applyAlignment="1">
      <alignment horizontal="left" vertical="center" wrapText="1"/>
    </xf>
    <xf numFmtId="164" fontId="10" fillId="6" borderId="1" xfId="3" applyNumberFormat="1" applyFont="1" applyFill="1" applyBorder="1" applyAlignment="1">
      <alignment horizontal="center" vertical="center"/>
    </xf>
    <xf numFmtId="0" fontId="5" fillId="5" borderId="1" xfId="0" applyFont="1" applyFill="1" applyBorder="1" applyAlignment="1">
      <alignment horizontal="left" vertical="center" wrapText="1"/>
    </xf>
    <xf numFmtId="44" fontId="4" fillId="5" borderId="1" xfId="3" applyFont="1" applyFill="1" applyBorder="1" applyAlignment="1">
      <alignment horizontal="center" vertical="center"/>
    </xf>
    <xf numFmtId="0" fontId="5" fillId="4" borderId="0" xfId="0" applyFont="1" applyFill="1" applyAlignment="1">
      <alignment horizontal="center" vertical="center"/>
    </xf>
    <xf numFmtId="0" fontId="30" fillId="5" borderId="1" xfId="0" applyFont="1" applyFill="1" applyBorder="1" applyAlignment="1">
      <alignment horizontal="center" vertical="center" wrapText="1"/>
    </xf>
    <xf numFmtId="164" fontId="4" fillId="6" borderId="0" xfId="3" applyNumberFormat="1" applyFont="1" applyFill="1" applyBorder="1" applyAlignment="1">
      <alignment horizontal="center" vertical="center"/>
    </xf>
    <xf numFmtId="164" fontId="5" fillId="0" borderId="0" xfId="0" applyNumberFormat="1" applyFont="1" applyAlignment="1">
      <alignment horizontal="center" vertical="center"/>
    </xf>
    <xf numFmtId="164" fontId="4" fillId="5" borderId="1" xfId="3" applyNumberFormat="1" applyFont="1" applyFill="1" applyBorder="1" applyAlignment="1">
      <alignment horizontal="center" vertical="center" wrapText="1"/>
    </xf>
    <xf numFmtId="0" fontId="5" fillId="0" borderId="0" xfId="0" applyFont="1" applyAlignment="1">
      <alignment horizontal="left" wrapText="1"/>
    </xf>
    <xf numFmtId="0" fontId="2" fillId="3" borderId="1" xfId="0" applyFont="1" applyFill="1" applyBorder="1" applyAlignment="1">
      <alignment horizontal="left" vertical="center" wrapText="1"/>
    </xf>
    <xf numFmtId="166" fontId="5" fillId="38" borderId="1" xfId="4" applyNumberFormat="1" applyFont="1" applyFill="1" applyBorder="1" applyAlignment="1">
      <alignment horizontal="left" vertical="center" wrapText="1"/>
    </xf>
    <xf numFmtId="0" fontId="3" fillId="6" borderId="1" xfId="4" applyFont="1" applyFill="1" applyBorder="1" applyAlignment="1">
      <alignment horizontal="left" vertical="center" wrapText="1"/>
    </xf>
    <xf numFmtId="166" fontId="5" fillId="6" borderId="1" xfId="4" applyNumberFormat="1" applyFont="1" applyFill="1" applyBorder="1" applyAlignment="1">
      <alignment horizontal="left" vertical="center" wrapText="1"/>
    </xf>
    <xf numFmtId="1" fontId="5" fillId="6" borderId="1" xfId="4" applyNumberFormat="1" applyFont="1" applyFill="1" applyBorder="1" applyAlignment="1">
      <alignment horizontal="left" vertical="center" wrapText="1"/>
    </xf>
    <xf numFmtId="1" fontId="3" fillId="6" borderId="1" xfId="4" applyNumberFormat="1" applyFont="1" applyFill="1" applyBorder="1" applyAlignment="1">
      <alignment horizontal="left" vertical="center" wrapText="1"/>
    </xf>
    <xf numFmtId="0" fontId="5" fillId="5" borderId="1" xfId="4" applyFont="1" applyFill="1" applyBorder="1" applyAlignment="1">
      <alignment horizontal="left" vertical="center" wrapText="1"/>
    </xf>
    <xf numFmtId="166" fontId="5" fillId="39" borderId="1" xfId="4" applyNumberFormat="1" applyFont="1" applyFill="1" applyBorder="1" applyAlignment="1">
      <alignment horizontal="left" vertical="center" wrapText="1"/>
    </xf>
    <xf numFmtId="0" fontId="3" fillId="5" borderId="1" xfId="4" applyFont="1" applyFill="1" applyBorder="1" applyAlignment="1">
      <alignment horizontal="left" vertical="center" wrapText="1"/>
    </xf>
    <xf numFmtId="49" fontId="5" fillId="5" borderId="1" xfId="4" applyNumberFormat="1" applyFont="1" applyFill="1" applyBorder="1" applyAlignment="1">
      <alignment horizontal="left" vertical="center" wrapText="1"/>
    </xf>
    <xf numFmtId="166" fontId="5" fillId="5" borderId="1" xfId="4" applyNumberFormat="1" applyFont="1" applyFill="1" applyBorder="1" applyAlignment="1">
      <alignment horizontal="left" vertical="center" wrapText="1"/>
    </xf>
    <xf numFmtId="1" fontId="5" fillId="5" borderId="2" xfId="4" applyNumberFormat="1" applyFont="1" applyFill="1" applyBorder="1" applyAlignment="1">
      <alignment horizontal="left" vertical="center" wrapText="1"/>
    </xf>
    <xf numFmtId="166" fontId="5" fillId="5" borderId="2" xfId="4" applyNumberFormat="1" applyFont="1" applyFill="1" applyBorder="1" applyAlignment="1">
      <alignment horizontal="left" vertical="center" wrapText="1"/>
    </xf>
    <xf numFmtId="1" fontId="5" fillId="5" borderId="1" xfId="4" applyNumberFormat="1" applyFont="1" applyFill="1" applyBorder="1" applyAlignment="1">
      <alignment horizontal="left" vertical="center" wrapText="1"/>
    </xf>
    <xf numFmtId="0" fontId="5" fillId="5" borderId="5" xfId="4" applyFont="1" applyFill="1" applyBorder="1" applyAlignment="1">
      <alignment horizontal="left" vertical="center" wrapText="1"/>
    </xf>
    <xf numFmtId="49" fontId="5" fillId="6" borderId="5" xfId="4" applyNumberFormat="1" applyFont="1" applyFill="1" applyBorder="1" applyAlignment="1">
      <alignment horizontal="left" vertical="center" wrapText="1"/>
    </xf>
    <xf numFmtId="49" fontId="5" fillId="6" borderId="1" xfId="4" applyNumberFormat="1" applyFont="1" applyFill="1" applyBorder="1" applyAlignment="1">
      <alignment horizontal="left" vertical="center" wrapText="1"/>
    </xf>
    <xf numFmtId="166" fontId="5" fillId="38" borderId="1" xfId="4" applyNumberFormat="1" applyFont="1" applyFill="1" applyBorder="1" applyAlignment="1">
      <alignment horizontal="left" vertical="center"/>
    </xf>
    <xf numFmtId="166" fontId="5" fillId="41" borderId="1" xfId="4" applyNumberFormat="1" applyFont="1" applyFill="1" applyBorder="1" applyAlignment="1">
      <alignment horizontal="left" vertical="center" wrapText="1"/>
    </xf>
    <xf numFmtId="0" fontId="5" fillId="6" borderId="2" xfId="4" applyFont="1" applyFill="1" applyBorder="1" applyAlignment="1">
      <alignment horizontal="left" vertical="center" wrapText="1"/>
    </xf>
    <xf numFmtId="0" fontId="5" fillId="5" borderId="1" xfId="4" applyFont="1" applyFill="1" applyBorder="1" applyAlignment="1">
      <alignment horizontal="left" vertical="center"/>
    </xf>
    <xf numFmtId="49" fontId="5" fillId="5" borderId="1" xfId="4" applyNumberFormat="1" applyFont="1" applyFill="1" applyBorder="1" applyAlignment="1">
      <alignment horizontal="left" vertical="center"/>
    </xf>
    <xf numFmtId="0" fontId="9" fillId="6" borderId="1" xfId="4" applyFont="1" applyFill="1" applyBorder="1" applyAlignment="1">
      <alignment horizontal="left" vertical="center" wrapText="1"/>
    </xf>
    <xf numFmtId="0" fontId="9" fillId="5" borderId="1" xfId="4" applyFont="1" applyFill="1" applyBorder="1" applyAlignment="1">
      <alignment horizontal="left" vertical="center"/>
    </xf>
    <xf numFmtId="166" fontId="1" fillId="5" borderId="1" xfId="4" applyNumberFormat="1" applyFont="1" applyFill="1" applyBorder="1" applyAlignment="1">
      <alignment horizontal="left" vertical="center" wrapText="1"/>
    </xf>
    <xf numFmtId="0" fontId="1" fillId="5" borderId="1" xfId="4" applyFont="1" applyFill="1" applyBorder="1" applyAlignment="1">
      <alignment horizontal="left" vertical="center" wrapText="1"/>
    </xf>
    <xf numFmtId="0" fontId="0" fillId="5" borderId="1" xfId="4" applyFont="1" applyFill="1" applyBorder="1" applyAlignment="1">
      <alignment horizontal="left" vertical="center" wrapText="1"/>
    </xf>
    <xf numFmtId="0" fontId="9" fillId="5" borderId="1" xfId="4" applyFont="1" applyFill="1" applyBorder="1" applyAlignment="1">
      <alignment horizontal="left" vertical="center" wrapText="1"/>
    </xf>
    <xf numFmtId="49" fontId="1" fillId="6" borderId="1" xfId="4" applyNumberFormat="1" applyFont="1" applyFill="1" applyBorder="1" applyAlignment="1">
      <alignment horizontal="left" vertical="center" wrapText="1"/>
    </xf>
    <xf numFmtId="166" fontId="0" fillId="40" borderId="1" xfId="4" applyNumberFormat="1" applyFont="1" applyFill="1" applyBorder="1" applyAlignment="1">
      <alignment horizontal="left" vertical="center" wrapText="1"/>
    </xf>
    <xf numFmtId="0" fontId="1" fillId="6" borderId="1" xfId="4" applyFont="1" applyFill="1" applyBorder="1" applyAlignment="1">
      <alignment horizontal="left" vertical="center"/>
    </xf>
    <xf numFmtId="49" fontId="0" fillId="6" borderId="1" xfId="4" applyNumberFormat="1" applyFont="1" applyFill="1" applyBorder="1" applyAlignment="1">
      <alignment horizontal="left" vertical="center" wrapText="1"/>
    </xf>
    <xf numFmtId="49" fontId="0" fillId="5" borderId="1" xfId="4" applyNumberFormat="1" applyFont="1" applyFill="1" applyBorder="1" applyAlignment="1">
      <alignment horizontal="left" vertical="center" wrapText="1"/>
    </xf>
    <xf numFmtId="49" fontId="1" fillId="5" borderId="1" xfId="4" applyNumberFormat="1" applyFont="1" applyFill="1" applyBorder="1" applyAlignment="1">
      <alignment horizontal="left" vertical="center" wrapText="1"/>
    </xf>
    <xf numFmtId="166" fontId="0" fillId="5" borderId="1" xfId="4" applyNumberFormat="1" applyFont="1" applyFill="1" applyBorder="1" applyAlignment="1">
      <alignment horizontal="left" vertical="center" wrapText="1"/>
    </xf>
    <xf numFmtId="1" fontId="0" fillId="5" borderId="1" xfId="4" applyNumberFormat="1" applyFont="1" applyFill="1" applyBorder="1" applyAlignment="1">
      <alignment horizontal="left" vertical="center" wrapText="1"/>
    </xf>
    <xf numFmtId="166" fontId="0" fillId="6" borderId="1" xfId="4" applyNumberFormat="1" applyFont="1" applyFill="1" applyBorder="1" applyAlignment="1">
      <alignment horizontal="left" vertical="center" wrapText="1"/>
    </xf>
    <xf numFmtId="166" fontId="1" fillId="6" borderId="1" xfId="4" applyNumberFormat="1" applyFont="1" applyFill="1" applyBorder="1" applyAlignment="1">
      <alignment horizontal="left" vertical="center" wrapText="1"/>
    </xf>
    <xf numFmtId="166" fontId="1" fillId="38" borderId="1" xfId="4" applyNumberFormat="1" applyFont="1" applyFill="1" applyBorder="1" applyAlignment="1">
      <alignment horizontal="left" vertical="center" wrapText="1"/>
    </xf>
    <xf numFmtId="166" fontId="1" fillId="41" borderId="1" xfId="4" applyNumberFormat="1" applyFont="1" applyFill="1" applyBorder="1" applyAlignment="1">
      <alignment horizontal="left" vertical="center" wrapText="1"/>
    </xf>
    <xf numFmtId="0" fontId="0" fillId="6" borderId="1" xfId="4" applyFont="1" applyFill="1" applyBorder="1" applyAlignment="1">
      <alignment horizontal="left" vertical="center" wrapText="1"/>
    </xf>
    <xf numFmtId="0" fontId="1" fillId="5" borderId="1" xfId="4" applyFont="1" applyFill="1" applyBorder="1" applyAlignment="1">
      <alignment horizontal="left" vertical="center"/>
    </xf>
    <xf numFmtId="0" fontId="1" fillId="43" borderId="1" xfId="5" applyFont="1" applyFill="1" applyBorder="1" applyAlignment="1">
      <alignment horizontal="left" vertical="center" wrapText="1"/>
    </xf>
    <xf numFmtId="0" fontId="0" fillId="43" borderId="1" xfId="5" applyFont="1" applyFill="1" applyBorder="1" applyAlignment="1">
      <alignment horizontal="left" vertical="center" wrapText="1"/>
    </xf>
    <xf numFmtId="166" fontId="1" fillId="40" borderId="1" xfId="4" applyNumberFormat="1" applyFont="1" applyFill="1" applyBorder="1" applyAlignment="1">
      <alignment horizontal="left" vertical="center" wrapText="1"/>
    </xf>
    <xf numFmtId="166" fontId="1" fillId="39" borderId="1" xfId="4" applyNumberFormat="1" applyFont="1" applyFill="1" applyBorder="1" applyAlignment="1">
      <alignment horizontal="left" vertical="center" wrapText="1"/>
    </xf>
    <xf numFmtId="0" fontId="11" fillId="5" borderId="1" xfId="4" applyFont="1" applyFill="1" applyBorder="1" applyAlignment="1">
      <alignment horizontal="left" vertical="center" wrapText="1"/>
    </xf>
    <xf numFmtId="0" fontId="5" fillId="6" borderId="1" xfId="0" applyFont="1" applyFill="1" applyBorder="1" applyAlignment="1">
      <alignment horizontal="left" wrapText="1"/>
    </xf>
    <xf numFmtId="1" fontId="1" fillId="5" borderId="1" xfId="4" applyNumberFormat="1" applyFont="1" applyFill="1" applyBorder="1" applyAlignment="1">
      <alignment horizontal="left" vertical="center" wrapText="1"/>
    </xf>
    <xf numFmtId="1" fontId="1" fillId="44" borderId="1" xfId="4" applyNumberFormat="1" applyFont="1" applyFill="1" applyBorder="1" applyAlignment="1">
      <alignment horizontal="left" vertical="center" wrapText="1"/>
    </xf>
    <xf numFmtId="166" fontId="9" fillId="5" borderId="1" xfId="4" applyNumberFormat="1" applyFont="1" applyFill="1" applyBorder="1" applyAlignment="1">
      <alignment horizontal="left" vertical="center" wrapText="1"/>
    </xf>
    <xf numFmtId="0" fontId="1" fillId="45" borderId="1" xfId="5" applyFont="1" applyFill="1" applyBorder="1" applyAlignment="1">
      <alignment horizontal="left" vertical="center" wrapText="1"/>
    </xf>
    <xf numFmtId="0" fontId="1" fillId="5" borderId="1" xfId="5" applyFont="1" applyFill="1" applyBorder="1" applyAlignment="1">
      <alignment horizontal="left" vertical="center" wrapText="1"/>
    </xf>
    <xf numFmtId="0" fontId="4" fillId="6" borderId="6" xfId="0" applyFont="1" applyFill="1" applyBorder="1" applyAlignment="1">
      <alignment horizontal="left"/>
    </xf>
    <xf numFmtId="164" fontId="6" fillId="6" borderId="1" xfId="3" applyNumberFormat="1" applyFont="1" applyFill="1" applyBorder="1" applyAlignment="1">
      <alignment horizontal="center" vertical="center"/>
    </xf>
    <xf numFmtId="164" fontId="29" fillId="6" borderId="1" xfId="3" applyNumberFormat="1" applyFont="1" applyFill="1" applyBorder="1" applyAlignment="1">
      <alignment horizontal="center" vertical="center"/>
    </xf>
    <xf numFmtId="164" fontId="12" fillId="6" borderId="1" xfId="3" applyNumberFormat="1" applyFont="1" applyFill="1" applyBorder="1" applyAlignment="1">
      <alignment horizontal="center" vertical="center"/>
    </xf>
    <xf numFmtId="164" fontId="11" fillId="38" borderId="1" xfId="3" applyNumberFormat="1" applyFont="1" applyFill="1" applyBorder="1" applyAlignment="1">
      <alignment horizontal="center" vertical="center"/>
    </xf>
    <xf numFmtId="164" fontId="5" fillId="6" borderId="1" xfId="3" applyNumberFormat="1" applyFont="1" applyFill="1" applyBorder="1" applyAlignment="1">
      <alignment horizontal="center" vertical="center"/>
    </xf>
    <xf numFmtId="0" fontId="5" fillId="5" borderId="0" xfId="0" applyFont="1" applyFill="1" applyAlignment="1">
      <alignment horizontal="center"/>
    </xf>
    <xf numFmtId="164" fontId="11" fillId="39" borderId="1" xfId="3" applyNumberFormat="1" applyFont="1" applyFill="1" applyBorder="1" applyAlignment="1">
      <alignment horizontal="center" vertical="center" wrapText="1"/>
    </xf>
    <xf numFmtId="164" fontId="5" fillId="6" borderId="1" xfId="3" applyNumberFormat="1" applyFont="1" applyFill="1" applyBorder="1" applyAlignment="1">
      <alignment horizontal="center"/>
    </xf>
    <xf numFmtId="164" fontId="5" fillId="5" borderId="1" xfId="3" applyNumberFormat="1" applyFont="1" applyFill="1" applyBorder="1" applyAlignment="1">
      <alignment horizontal="center"/>
    </xf>
    <xf numFmtId="164" fontId="1" fillId="6" borderId="5" xfId="3" applyNumberFormat="1" applyFont="1" applyFill="1" applyBorder="1" applyAlignment="1">
      <alignment horizontal="center" vertical="center"/>
    </xf>
    <xf numFmtId="164" fontId="4" fillId="5" borderId="1" xfId="0" applyNumberFormat="1" applyFont="1" applyFill="1" applyBorder="1" applyAlignment="1">
      <alignment horizontal="center" vertical="center"/>
    </xf>
    <xf numFmtId="164" fontId="4" fillId="0" borderId="0" xfId="0" applyNumberFormat="1" applyFont="1" applyAlignment="1">
      <alignment horizontal="center"/>
    </xf>
    <xf numFmtId="164" fontId="1" fillId="44" borderId="1" xfId="3" applyNumberFormat="1" applyFont="1" applyFill="1" applyBorder="1" applyAlignment="1">
      <alignment horizontal="center" vertical="center" wrapText="1"/>
    </xf>
    <xf numFmtId="164" fontId="6" fillId="45" borderId="1" xfId="3" applyNumberFormat="1" applyFont="1" applyFill="1" applyBorder="1" applyAlignment="1">
      <alignment horizontal="center" vertical="center" wrapText="1"/>
    </xf>
    <xf numFmtId="164" fontId="0" fillId="45" borderId="1" xfId="3" applyNumberFormat="1" applyFont="1" applyFill="1" applyBorder="1" applyAlignment="1">
      <alignment horizontal="center" vertical="center" wrapText="1"/>
    </xf>
    <xf numFmtId="164" fontId="1" fillId="45" borderId="4" xfId="3" applyNumberFormat="1" applyFont="1" applyFill="1" applyBorder="1" applyAlignment="1">
      <alignment horizontal="center" vertical="center" wrapText="1"/>
    </xf>
    <xf numFmtId="164" fontId="4" fillId="6" borderId="1" xfId="0" applyNumberFormat="1" applyFont="1" applyFill="1" applyBorder="1" applyAlignment="1">
      <alignment horizontal="center"/>
    </xf>
    <xf numFmtId="0" fontId="3" fillId="6" borderId="1" xfId="0" applyFont="1" applyFill="1" applyBorder="1" applyAlignment="1">
      <alignment horizontal="center" vertical="center" wrapText="1"/>
    </xf>
    <xf numFmtId="164" fontId="4" fillId="6" borderId="1" xfId="0" applyNumberFormat="1" applyFont="1" applyFill="1" applyBorder="1"/>
    <xf numFmtId="0" fontId="4" fillId="0" borderId="0" xfId="0" applyFont="1" applyAlignment="1"/>
    <xf numFmtId="0" fontId="4" fillId="6" borderId="1" xfId="0" applyFont="1" applyFill="1" applyBorder="1"/>
    <xf numFmtId="0" fontId="5" fillId="6" borderId="1" xfId="0" applyFont="1" applyFill="1" applyBorder="1" applyAlignment="1">
      <alignment horizontal="right"/>
    </xf>
    <xf numFmtId="164" fontId="12" fillId="5" borderId="1" xfId="3"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164" fontId="4" fillId="5" borderId="1" xfId="3" applyNumberFormat="1" applyFont="1" applyFill="1" applyBorder="1" applyAlignment="1">
      <alignment horizontal="center" vertical="center"/>
    </xf>
    <xf numFmtId="0" fontId="3" fillId="6" borderId="1" xfId="0" applyFont="1" applyFill="1" applyBorder="1" applyAlignment="1">
      <alignment horizontal="center" vertical="center" wrapText="1"/>
    </xf>
    <xf numFmtId="164" fontId="4" fillId="6" borderId="2" xfId="3" applyNumberFormat="1" applyFont="1" applyFill="1" applyBorder="1" applyAlignment="1">
      <alignment horizontal="center" vertical="center"/>
    </xf>
    <xf numFmtId="164" fontId="4" fillId="6" borderId="3" xfId="3" applyNumberFormat="1" applyFont="1" applyFill="1" applyBorder="1" applyAlignment="1">
      <alignment horizontal="center" vertical="center"/>
    </xf>
    <xf numFmtId="164" fontId="4" fillId="6" borderId="5" xfId="3" applyNumberFormat="1" applyFont="1" applyFill="1" applyBorder="1" applyAlignment="1">
      <alignment horizontal="center" vertical="center"/>
    </xf>
    <xf numFmtId="164" fontId="4" fillId="5" borderId="2" xfId="3" applyNumberFormat="1" applyFont="1" applyFill="1" applyBorder="1" applyAlignment="1">
      <alignment horizontal="left" vertical="center" indent="1"/>
    </xf>
    <xf numFmtId="164" fontId="4" fillId="5" borderId="3" xfId="3" applyNumberFormat="1" applyFont="1" applyFill="1" applyBorder="1" applyAlignment="1">
      <alignment horizontal="left" vertical="center" indent="1"/>
    </xf>
    <xf numFmtId="164" fontId="4" fillId="5" borderId="5" xfId="3" applyNumberFormat="1" applyFont="1" applyFill="1" applyBorder="1" applyAlignment="1">
      <alignment horizontal="left" vertical="center" indent="1"/>
    </xf>
    <xf numFmtId="164" fontId="4" fillId="5" borderId="2" xfId="3" applyNumberFormat="1" applyFont="1" applyFill="1" applyBorder="1" applyAlignment="1">
      <alignment horizontal="center" vertical="center"/>
    </xf>
    <xf numFmtId="164" fontId="4" fillId="5" borderId="3" xfId="3" applyNumberFormat="1" applyFont="1" applyFill="1" applyBorder="1" applyAlignment="1">
      <alignment horizontal="center" vertical="center"/>
    </xf>
    <xf numFmtId="164" fontId="4" fillId="5" borderId="5" xfId="3" applyNumberFormat="1"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6" fillId="0" borderId="0" xfId="0" applyFont="1" applyAlignment="1">
      <alignment horizontal="left"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5" fillId="5" borderId="6" xfId="0" applyFont="1" applyFill="1" applyBorder="1" applyAlignment="1">
      <alignment horizontal="right"/>
    </xf>
    <xf numFmtId="0" fontId="5" fillId="5" borderId="4" xfId="0" applyFont="1" applyFill="1" applyBorder="1" applyAlignment="1">
      <alignment horizontal="right"/>
    </xf>
    <xf numFmtId="164" fontId="4" fillId="6" borderId="1" xfId="3" applyNumberFormat="1" applyFont="1" applyFill="1" applyBorder="1" applyAlignment="1">
      <alignment horizontal="center" vertical="center"/>
    </xf>
    <xf numFmtId="164" fontId="12" fillId="6" borderId="1" xfId="3" applyNumberFormat="1" applyFont="1" applyFill="1" applyBorder="1" applyAlignment="1">
      <alignment horizontal="center" vertical="center" wrapText="1"/>
    </xf>
    <xf numFmtId="0" fontId="5" fillId="0" borderId="0" xfId="0" applyFont="1" applyAlignment="1">
      <alignment horizontal="center" wrapText="1"/>
    </xf>
    <xf numFmtId="0" fontId="7" fillId="0" borderId="0" xfId="0" applyFont="1" applyAlignment="1">
      <alignment horizontal="center" wrapText="1"/>
    </xf>
    <xf numFmtId="164" fontId="4" fillId="6" borderId="2" xfId="3" applyNumberFormat="1" applyFont="1" applyFill="1" applyBorder="1" applyAlignment="1">
      <alignment horizontal="left" vertical="center" indent="1"/>
    </xf>
    <xf numFmtId="164" fontId="4" fillId="6" borderId="3" xfId="3" applyNumberFormat="1" applyFont="1" applyFill="1" applyBorder="1" applyAlignment="1">
      <alignment horizontal="left" vertical="center" indent="1"/>
    </xf>
    <xf numFmtId="164" fontId="4" fillId="6" borderId="5" xfId="3" applyNumberFormat="1" applyFont="1" applyFill="1" applyBorder="1" applyAlignment="1">
      <alignment horizontal="left" vertical="center" indent="1"/>
    </xf>
    <xf numFmtId="164" fontId="3" fillId="5" borderId="1" xfId="3" applyNumberFormat="1"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5" xfId="0" applyFont="1" applyFill="1" applyBorder="1" applyAlignment="1">
      <alignment horizontal="center" vertical="center" wrapText="1"/>
    </xf>
    <xf numFmtId="164" fontId="3" fillId="5" borderId="2" xfId="3" applyNumberFormat="1" applyFont="1" applyFill="1" applyBorder="1" applyAlignment="1">
      <alignment horizontal="center" vertical="center" wrapText="1"/>
    </xf>
    <xf numFmtId="164" fontId="3" fillId="5" borderId="3" xfId="3" applyNumberFormat="1" applyFont="1" applyFill="1" applyBorder="1" applyAlignment="1">
      <alignment horizontal="center" vertical="center" wrapText="1"/>
    </xf>
    <xf numFmtId="164" fontId="3" fillId="5" borderId="5" xfId="3" applyNumberFormat="1" applyFont="1" applyFill="1" applyBorder="1" applyAlignment="1">
      <alignment horizontal="center" vertical="center" wrapText="1"/>
    </xf>
    <xf numFmtId="0" fontId="30" fillId="5" borderId="2" xfId="0" applyFont="1" applyFill="1" applyBorder="1" applyAlignment="1">
      <alignment horizontal="center" vertical="center" wrapText="1"/>
    </xf>
    <xf numFmtId="0" fontId="30" fillId="5" borderId="5" xfId="0" applyFont="1" applyFill="1" applyBorder="1" applyAlignment="1">
      <alignment horizontal="center" vertical="center" wrapText="1"/>
    </xf>
    <xf numFmtId="0" fontId="4" fillId="6" borderId="1" xfId="0" applyFont="1" applyFill="1" applyBorder="1" applyAlignment="1">
      <alignment horizontal="right"/>
    </xf>
    <xf numFmtId="0" fontId="10" fillId="6" borderId="6" xfId="0" applyFont="1" applyFill="1" applyBorder="1" applyAlignment="1">
      <alignment horizontal="right" vertical="center" wrapText="1"/>
    </xf>
    <xf numFmtId="0" fontId="10" fillId="6" borderId="4" xfId="0" applyFont="1" applyFill="1" applyBorder="1" applyAlignment="1">
      <alignment horizontal="right" vertical="center" wrapText="1"/>
    </xf>
    <xf numFmtId="0" fontId="4" fillId="6" borderId="6" xfId="0" applyFont="1" applyFill="1" applyBorder="1" applyAlignment="1">
      <alignment horizontal="center"/>
    </xf>
    <xf numFmtId="0" fontId="4" fillId="6" borderId="4" xfId="0" applyFont="1" applyFill="1" applyBorder="1" applyAlignment="1">
      <alignment horizontal="center"/>
    </xf>
    <xf numFmtId="0" fontId="4" fillId="5" borderId="1" xfId="0" applyFont="1" applyFill="1" applyBorder="1" applyAlignment="1">
      <alignment horizontal="right" vertical="center"/>
    </xf>
    <xf numFmtId="164" fontId="3" fillId="6" borderId="2" xfId="3" applyNumberFormat="1" applyFont="1" applyFill="1" applyBorder="1" applyAlignment="1">
      <alignment horizontal="center" vertical="center" wrapText="1"/>
    </xf>
    <xf numFmtId="164" fontId="3" fillId="6" borderId="5" xfId="3" applyNumberFormat="1" applyFont="1" applyFill="1" applyBorder="1" applyAlignment="1">
      <alignment horizontal="center" vertical="center" wrapText="1"/>
    </xf>
    <xf numFmtId="164" fontId="3" fillId="6" borderId="3" xfId="3" applyNumberFormat="1" applyFont="1" applyFill="1" applyBorder="1" applyAlignment="1">
      <alignment horizontal="center" vertical="center" wrapText="1"/>
    </xf>
    <xf numFmtId="164" fontId="3" fillId="5" borderId="3" xfId="3" applyNumberFormat="1" applyFont="1" applyFill="1" applyBorder="1" applyAlignment="1">
      <alignment horizontal="center" vertical="center"/>
    </xf>
    <xf numFmtId="164" fontId="3" fillId="5" borderId="5" xfId="3" applyNumberFormat="1" applyFont="1" applyFill="1" applyBorder="1" applyAlignment="1">
      <alignment horizontal="center" vertical="center"/>
    </xf>
    <xf numFmtId="164" fontId="10" fillId="5" borderId="3" xfId="3" applyNumberFormat="1" applyFont="1" applyFill="1" applyBorder="1" applyAlignment="1">
      <alignment horizontal="center" vertical="center" wrapText="1"/>
    </xf>
    <xf numFmtId="164" fontId="10" fillId="5" borderId="5" xfId="3" applyNumberFormat="1" applyFont="1" applyFill="1" applyBorder="1" applyAlignment="1">
      <alignment horizontal="center" vertical="center" wrapText="1"/>
    </xf>
    <xf numFmtId="164" fontId="30" fillId="5" borderId="1" xfId="3" applyNumberFormat="1" applyFont="1" applyFill="1" applyBorder="1" applyAlignment="1">
      <alignment horizontal="center" vertical="center" wrapText="1"/>
    </xf>
    <xf numFmtId="164" fontId="30" fillId="5" borderId="2" xfId="3" applyNumberFormat="1" applyFont="1" applyFill="1" applyBorder="1" applyAlignment="1">
      <alignment horizontal="center" vertical="center" wrapText="1"/>
    </xf>
    <xf numFmtId="164" fontId="30" fillId="5" borderId="3" xfId="3" applyNumberFormat="1" applyFont="1" applyFill="1" applyBorder="1" applyAlignment="1">
      <alignment horizontal="center" vertical="center" wrapText="1"/>
    </xf>
    <xf numFmtId="164" fontId="30" fillId="5" borderId="5" xfId="3" applyNumberFormat="1" applyFont="1" applyFill="1" applyBorder="1" applyAlignment="1">
      <alignment horizontal="center" vertical="center" wrapText="1"/>
    </xf>
    <xf numFmtId="49" fontId="3" fillId="6" borderId="2" xfId="3" applyNumberFormat="1" applyFont="1" applyFill="1" applyBorder="1" applyAlignment="1">
      <alignment horizontal="center" vertical="center" wrapText="1"/>
    </xf>
    <xf numFmtId="49" fontId="3" fillId="6" borderId="3" xfId="3" applyNumberFormat="1" applyFont="1" applyFill="1" applyBorder="1" applyAlignment="1">
      <alignment horizontal="center" vertical="center"/>
    </xf>
    <xf numFmtId="49" fontId="3" fillId="6" borderId="5" xfId="3" applyNumberFormat="1" applyFont="1" applyFill="1" applyBorder="1" applyAlignment="1">
      <alignment horizontal="center" vertical="center"/>
    </xf>
    <xf numFmtId="49" fontId="5" fillId="5" borderId="2" xfId="3" applyNumberFormat="1" applyFont="1" applyFill="1" applyBorder="1" applyAlignment="1">
      <alignment horizontal="center" vertical="center" wrapText="1"/>
    </xf>
    <xf numFmtId="49" fontId="5" fillId="5" borderId="3" xfId="3" applyNumberFormat="1" applyFont="1" applyFill="1" applyBorder="1" applyAlignment="1">
      <alignment horizontal="center" vertical="center" wrapText="1"/>
    </xf>
    <xf numFmtId="49" fontId="5" fillId="5" borderId="5" xfId="3" applyNumberFormat="1" applyFont="1" applyFill="1" applyBorder="1" applyAlignment="1">
      <alignment horizontal="center" vertical="center" wrapText="1"/>
    </xf>
    <xf numFmtId="49" fontId="3" fillId="5" borderId="2" xfId="3" applyNumberFormat="1" applyFont="1" applyFill="1" applyBorder="1" applyAlignment="1">
      <alignment horizontal="center" vertical="center" wrapText="1"/>
    </xf>
    <xf numFmtId="49" fontId="3" fillId="5" borderId="3" xfId="3" applyNumberFormat="1" applyFont="1" applyFill="1" applyBorder="1" applyAlignment="1">
      <alignment horizontal="center" vertical="center" wrapText="1"/>
    </xf>
    <xf numFmtId="49" fontId="3" fillId="5" borderId="5" xfId="3" applyNumberFormat="1" applyFont="1" applyFill="1" applyBorder="1" applyAlignment="1">
      <alignment horizontal="center" vertical="center" wrapText="1"/>
    </xf>
    <xf numFmtId="164" fontId="10" fillId="6" borderId="3" xfId="3" applyNumberFormat="1" applyFont="1" applyFill="1" applyBorder="1" applyAlignment="1">
      <alignment horizontal="center" vertical="center" wrapText="1"/>
    </xf>
    <xf numFmtId="164" fontId="10" fillId="6" borderId="5" xfId="3" applyNumberFormat="1" applyFont="1" applyFill="1" applyBorder="1" applyAlignment="1">
      <alignment horizontal="center" vertical="center" wrapText="1"/>
    </xf>
    <xf numFmtId="49" fontId="3" fillId="6" borderId="3" xfId="3" applyNumberFormat="1" applyFont="1" applyFill="1" applyBorder="1" applyAlignment="1">
      <alignment horizontal="center" vertical="center" wrapText="1"/>
    </xf>
    <xf numFmtId="49" fontId="3" fillId="6" borderId="5" xfId="3" applyNumberFormat="1" applyFont="1" applyFill="1" applyBorder="1" applyAlignment="1">
      <alignment horizontal="center" vertical="center" wrapText="1"/>
    </xf>
    <xf numFmtId="49" fontId="5" fillId="6" borderId="2" xfId="3" applyNumberFormat="1" applyFont="1" applyFill="1" applyBorder="1" applyAlignment="1">
      <alignment horizontal="center" vertical="center" wrapText="1"/>
    </xf>
    <xf numFmtId="49" fontId="5" fillId="6" borderId="3" xfId="3" applyNumberFormat="1" applyFont="1" applyFill="1" applyBorder="1" applyAlignment="1">
      <alignment horizontal="center" vertical="center" wrapText="1"/>
    </xf>
    <xf numFmtId="49" fontId="5" fillId="6" borderId="5" xfId="3" applyNumberFormat="1" applyFont="1" applyFill="1" applyBorder="1" applyAlignment="1">
      <alignment horizontal="center" vertical="center" wrapText="1"/>
    </xf>
  </cellXfs>
  <cellStyles count="48">
    <cellStyle name="20% - Énfasis1" xfId="24"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o" xfId="11" builtinId="26" customBuiltin="1"/>
    <cellStyle name="Cálculo" xfId="16" builtinId="22" customBuiltin="1"/>
    <cellStyle name="Celda de comprobación" xfId="18" builtinId="23" customBuiltin="1"/>
    <cellStyle name="Celda vinculada" xfId="17" builtinId="24" customBuiltin="1"/>
    <cellStyle name="Encabezado 1" xfId="7" builtinId="16" customBuiltin="1"/>
    <cellStyle name="Encabezado 4" xfId="10" builtinId="19" customBuiltin="1"/>
    <cellStyle name="Énfasis1" xfId="23"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4" builtinId="20" customBuiltin="1"/>
    <cellStyle name="Incorrecto" xfId="12" builtinId="27" customBuiltin="1"/>
    <cellStyle name="Millares" xfId="1" builtinId="3"/>
    <cellStyle name="Moneda" xfId="3" builtinId="4"/>
    <cellStyle name="Moneda [0]" xfId="2" builtinId="7"/>
    <cellStyle name="Moneda 2" xfId="47" xr:uid="{00000000-0005-0000-0000-000031000000}"/>
    <cellStyle name="Neutral" xfId="13" builtinId="28" customBuiltin="1"/>
    <cellStyle name="Normal" xfId="0" builtinId="0"/>
    <cellStyle name="Normal 2" xfId="4" xr:uid="{701A8CAB-A8F2-4BFD-82FC-57F557721B8C}"/>
    <cellStyle name="Normal 3 2" xfId="5" xr:uid="{54C21A86-4733-4643-94F7-35AAE405BF8C}"/>
    <cellStyle name="Notas" xfId="20" builtinId="10" customBuiltin="1"/>
    <cellStyle name="Salida" xfId="15" builtinId="21" customBuiltin="1"/>
    <cellStyle name="Texto de advertencia" xfId="19" builtinId="11" customBuiltin="1"/>
    <cellStyle name="Texto explicativo" xfId="21" builtinId="53" customBuiltin="1"/>
    <cellStyle name="Título" xfId="6" builtinId="15" customBuiltin="1"/>
    <cellStyle name="Título 2" xfId="8" builtinId="17" customBuiltin="1"/>
    <cellStyle name="Título 3" xfId="9" builtinId="18" customBuiltin="1"/>
    <cellStyle name="Total" xfId="22" builtinId="25" customBuiltin="1"/>
  </cellStyles>
  <dxfs count="0"/>
  <tableStyles count="0" defaultTableStyle="TableStyleMedium2" defaultPivotStyle="PivotStyleLight16"/>
  <colors>
    <mruColors>
      <color rgb="FFD5D0FA"/>
      <color rgb="FFF99FE6"/>
      <color rgb="FF79C000"/>
      <color rgb="FFDAAA00"/>
      <color rgb="FFFBE122"/>
      <color rgb="FFFFFFCC"/>
      <color rgb="FF006600"/>
      <color rgb="FF00CCFF"/>
      <color rgb="FF0033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358455</xdr:colOff>
      <xdr:row>0</xdr:row>
      <xdr:rowOff>188119</xdr:rowOff>
    </xdr:from>
    <xdr:to>
      <xdr:col>3</xdr:col>
      <xdr:colOff>798463</xdr:colOff>
      <xdr:row>8</xdr:row>
      <xdr:rowOff>9527</xdr:rowOff>
    </xdr:to>
    <xdr:pic>
      <xdr:nvPicPr>
        <xdr:cNvPr id="2" name="Imagen 2">
          <a:extLst>
            <a:ext uri="{FF2B5EF4-FFF2-40B4-BE49-F238E27FC236}">
              <a16:creationId xmlns:a16="http://schemas.microsoft.com/office/drawing/2014/main" id="{D0B590A3-247A-475B-B3EA-EEAB93D537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8455" y="188119"/>
          <a:ext cx="3230833" cy="1545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475666</xdr:colOff>
      <xdr:row>1</xdr:row>
      <xdr:rowOff>166687</xdr:rowOff>
    </xdr:from>
    <xdr:to>
      <xdr:col>3</xdr:col>
      <xdr:colOff>2579639</xdr:colOff>
      <xdr:row>10</xdr:row>
      <xdr:rowOff>1</xdr:rowOff>
    </xdr:to>
    <xdr:pic>
      <xdr:nvPicPr>
        <xdr:cNvPr id="2" name="Imagen 2">
          <a:extLst>
            <a:ext uri="{FF2B5EF4-FFF2-40B4-BE49-F238E27FC236}">
              <a16:creationId xmlns:a16="http://schemas.microsoft.com/office/drawing/2014/main" id="{0BDE0E4A-D4A5-4BFD-9604-EF1A564B19C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6416" y="357187"/>
          <a:ext cx="3127911" cy="15478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5FAAE-9598-4842-8281-1B4B074478AB}">
  <dimension ref="A1:V297"/>
  <sheetViews>
    <sheetView showGridLines="0" topLeftCell="G1" zoomScale="80" zoomScaleNormal="80" workbookViewId="0">
      <selection activeCell="N9" sqref="N9"/>
    </sheetView>
  </sheetViews>
  <sheetFormatPr baseColWidth="10" defaultColWidth="0" defaultRowHeight="15" customHeight="1" zeroHeight="1" outlineLevelCol="1" x14ac:dyDescent="0.3"/>
  <cols>
    <col min="1" max="1" width="5.88671875" style="2" customWidth="1"/>
    <col min="2" max="2" width="13.44140625" style="2" customWidth="1"/>
    <col min="3" max="3" width="21.44140625" style="2" customWidth="1"/>
    <col min="4" max="4" width="48" style="2" customWidth="1"/>
    <col min="5" max="5" width="53.44140625" style="15" customWidth="1"/>
    <col min="6" max="6" width="30.6640625" style="2" customWidth="1"/>
    <col min="7" max="11" width="29.44140625" style="2" customWidth="1"/>
    <col min="12" max="12" width="26.88671875" style="2" customWidth="1"/>
    <col min="13" max="13" width="26.88671875" style="10" customWidth="1"/>
    <col min="14" max="14" width="28.33203125" style="10" customWidth="1"/>
    <col min="15" max="15" width="21.6640625" style="2" customWidth="1"/>
    <col min="16" max="16" width="0" style="2" hidden="1" customWidth="1" outlineLevel="1"/>
    <col min="17" max="17" width="0" style="2" hidden="1" customWidth="1" collapsed="1"/>
    <col min="18" max="22" width="0" style="2" hidden="1" customWidth="1"/>
    <col min="23" max="16384" width="11.44140625" style="2" hidden="1"/>
  </cols>
  <sheetData>
    <row r="1" spans="1:14" ht="15" customHeight="1" x14ac:dyDescent="0.3"/>
    <row r="2" spans="1:14" ht="30.75" customHeight="1" x14ac:dyDescent="0.3">
      <c r="D2" s="285" t="s">
        <v>0</v>
      </c>
      <c r="E2" s="285"/>
    </row>
    <row r="3" spans="1:14" ht="15" customHeight="1" x14ac:dyDescent="0.3">
      <c r="D3" s="285"/>
      <c r="E3" s="285"/>
    </row>
    <row r="4" spans="1:14" ht="15" customHeight="1" x14ac:dyDescent="0.3">
      <c r="D4" s="285"/>
      <c r="E4" s="285"/>
    </row>
    <row r="5" spans="1:14" ht="15" customHeight="1" x14ac:dyDescent="0.3">
      <c r="D5" s="285"/>
      <c r="E5" s="285"/>
    </row>
    <row r="6" spans="1:14" ht="15" customHeight="1" x14ac:dyDescent="0.3">
      <c r="D6" s="284" t="s">
        <v>282</v>
      </c>
      <c r="E6" s="284"/>
    </row>
    <row r="7" spans="1:14" ht="15" customHeight="1" x14ac:dyDescent="0.3">
      <c r="D7" s="284"/>
      <c r="E7" s="284"/>
    </row>
    <row r="8" spans="1:14" ht="15" customHeight="1" x14ac:dyDescent="0.3">
      <c r="D8" s="284"/>
      <c r="E8" s="284"/>
    </row>
    <row r="9" spans="1:14" ht="32.25" customHeight="1" x14ac:dyDescent="0.3">
      <c r="D9" s="284"/>
      <c r="E9" s="284"/>
    </row>
    <row r="10" spans="1:14" ht="15" customHeight="1" x14ac:dyDescent="0.3"/>
    <row r="11" spans="1:14" ht="15" customHeight="1" x14ac:dyDescent="0.3">
      <c r="B11" s="276" t="s">
        <v>1</v>
      </c>
      <c r="C11" s="276"/>
      <c r="D11" s="276"/>
    </row>
    <row r="12" spans="1:14" ht="15" customHeight="1" x14ac:dyDescent="0.3"/>
    <row r="13" spans="1:14" s="1" customFormat="1" ht="60" customHeight="1" x14ac:dyDescent="0.3">
      <c r="B13" s="6" t="s">
        <v>2</v>
      </c>
      <c r="C13" s="6" t="s">
        <v>3</v>
      </c>
      <c r="D13" s="7" t="s">
        <v>4</v>
      </c>
      <c r="E13" s="7" t="s">
        <v>6</v>
      </c>
      <c r="F13" s="8" t="s">
        <v>7</v>
      </c>
      <c r="G13" s="8" t="s">
        <v>8</v>
      </c>
      <c r="H13" s="8" t="s">
        <v>193</v>
      </c>
      <c r="I13" s="8" t="s">
        <v>190</v>
      </c>
      <c r="J13" s="8" t="s">
        <v>191</v>
      </c>
      <c r="K13" s="8" t="s">
        <v>207</v>
      </c>
      <c r="L13" s="9" t="s">
        <v>9</v>
      </c>
      <c r="M13" s="9" t="s">
        <v>222</v>
      </c>
      <c r="N13" s="9" t="s">
        <v>221</v>
      </c>
    </row>
    <row r="14" spans="1:14" s="3" customFormat="1" ht="117" customHeight="1" x14ac:dyDescent="0.3">
      <c r="B14" s="277" t="s">
        <v>10</v>
      </c>
      <c r="C14" s="277" t="s">
        <v>11</v>
      </c>
      <c r="D14" s="277" t="s">
        <v>12</v>
      </c>
      <c r="E14" s="185" t="s">
        <v>13</v>
      </c>
      <c r="F14" s="30">
        <v>5348254</v>
      </c>
      <c r="G14" s="30"/>
      <c r="H14" s="30"/>
      <c r="I14" s="30"/>
      <c r="J14" s="30"/>
      <c r="K14" s="30">
        <f>F14</f>
        <v>5348254</v>
      </c>
      <c r="L14" s="264">
        <f>SUM(K14:K19)</f>
        <v>117176315</v>
      </c>
      <c r="M14" s="290" t="s">
        <v>223</v>
      </c>
      <c r="N14" s="290" t="s">
        <v>227</v>
      </c>
    </row>
    <row r="15" spans="1:14" s="3" customFormat="1" ht="24.75" customHeight="1" x14ac:dyDescent="0.3">
      <c r="A15" s="3" t="s">
        <v>14</v>
      </c>
      <c r="B15" s="278"/>
      <c r="C15" s="278"/>
      <c r="D15" s="278"/>
      <c r="E15" s="185" t="s">
        <v>15</v>
      </c>
      <c r="F15" s="30">
        <v>21391846</v>
      </c>
      <c r="G15" s="30"/>
      <c r="H15" s="30"/>
      <c r="I15" s="30"/>
      <c r="J15" s="30">
        <v>21391846</v>
      </c>
      <c r="K15" s="30">
        <f>F15-J15</f>
        <v>0</v>
      </c>
      <c r="L15" s="265"/>
      <c r="M15" s="291"/>
      <c r="N15" s="291"/>
    </row>
    <row r="16" spans="1:14" s="3" customFormat="1" ht="39" customHeight="1" x14ac:dyDescent="0.3">
      <c r="B16" s="278"/>
      <c r="C16" s="278"/>
      <c r="D16" s="278"/>
      <c r="E16" s="186" t="s">
        <v>16</v>
      </c>
      <c r="F16" s="115">
        <v>65924698</v>
      </c>
      <c r="G16" s="115"/>
      <c r="H16" s="115"/>
      <c r="I16" s="115"/>
      <c r="J16" s="115"/>
      <c r="K16" s="30">
        <f>F16</f>
        <v>65924698</v>
      </c>
      <c r="L16" s="265"/>
      <c r="M16" s="291"/>
      <c r="N16" s="291"/>
    </row>
    <row r="17" spans="2:14" s="3" customFormat="1" ht="43.5" customHeight="1" x14ac:dyDescent="0.3">
      <c r="B17" s="278"/>
      <c r="C17" s="278"/>
      <c r="D17" s="278"/>
      <c r="E17" s="147" t="s">
        <v>17</v>
      </c>
      <c r="F17" s="30">
        <v>22540005</v>
      </c>
      <c r="G17" s="30"/>
      <c r="H17" s="30"/>
      <c r="I17" s="30"/>
      <c r="J17" s="30"/>
      <c r="K17" s="30">
        <f>F17</f>
        <v>22540005</v>
      </c>
      <c r="L17" s="265"/>
      <c r="M17" s="291"/>
      <c r="N17" s="291"/>
    </row>
    <row r="18" spans="2:14" s="3" customFormat="1" ht="42.75" customHeight="1" x14ac:dyDescent="0.3">
      <c r="B18" s="278"/>
      <c r="C18" s="278"/>
      <c r="D18" s="278"/>
      <c r="E18" s="147" t="s">
        <v>18</v>
      </c>
      <c r="F18" s="115">
        <v>1971512</v>
      </c>
      <c r="G18" s="116"/>
      <c r="H18" s="116"/>
      <c r="I18" s="116"/>
      <c r="J18" s="116"/>
      <c r="K18" s="30">
        <f>F18</f>
        <v>1971512</v>
      </c>
      <c r="L18" s="265"/>
      <c r="M18" s="291"/>
      <c r="N18" s="291"/>
    </row>
    <row r="19" spans="2:14" s="3" customFormat="1" ht="42.75" customHeight="1" x14ac:dyDescent="0.3">
      <c r="B19" s="279"/>
      <c r="C19" s="279"/>
      <c r="D19" s="279"/>
      <c r="E19" s="147" t="s">
        <v>19</v>
      </c>
      <c r="F19" s="115"/>
      <c r="G19" s="116"/>
      <c r="H19" s="116"/>
      <c r="I19" s="116">
        <v>21391846</v>
      </c>
      <c r="J19" s="116"/>
      <c r="K19" s="30">
        <f>I19</f>
        <v>21391846</v>
      </c>
      <c r="L19" s="266"/>
      <c r="M19" s="292"/>
      <c r="N19" s="292"/>
    </row>
    <row r="20" spans="2:14" s="3" customFormat="1" ht="198" customHeight="1" x14ac:dyDescent="0.3">
      <c r="B20" s="100" t="s">
        <v>10</v>
      </c>
      <c r="C20" s="100" t="s">
        <v>11</v>
      </c>
      <c r="D20" s="100" t="s">
        <v>20</v>
      </c>
      <c r="E20" s="147" t="s">
        <v>15</v>
      </c>
      <c r="F20" s="115"/>
      <c r="G20" s="116">
        <v>337807500</v>
      </c>
      <c r="H20" s="116"/>
      <c r="I20" s="116"/>
      <c r="J20" s="116"/>
      <c r="K20" s="30">
        <f>G20</f>
        <v>337807500</v>
      </c>
      <c r="L20" s="25">
        <f>K20</f>
        <v>337807500</v>
      </c>
      <c r="M20" s="101" t="s">
        <v>223</v>
      </c>
      <c r="N20" s="101" t="s">
        <v>227</v>
      </c>
    </row>
    <row r="21" spans="2:14" s="3" customFormat="1" ht="42.75" customHeight="1" x14ac:dyDescent="0.3">
      <c r="B21" s="277" t="s">
        <v>10</v>
      </c>
      <c r="C21" s="277" t="s">
        <v>11</v>
      </c>
      <c r="D21" s="277" t="s">
        <v>21</v>
      </c>
      <c r="E21" s="187" t="s">
        <v>22</v>
      </c>
      <c r="F21" s="115"/>
      <c r="G21" s="117">
        <v>3453975</v>
      </c>
      <c r="H21" s="118"/>
      <c r="I21" s="116"/>
      <c r="J21" s="116"/>
      <c r="K21" s="30">
        <f t="shared" ref="K21:K33" si="0">G21</f>
        <v>3453975</v>
      </c>
      <c r="L21" s="264">
        <f>SUM(K21:K33)</f>
        <v>324536864</v>
      </c>
      <c r="M21" s="290" t="s">
        <v>223</v>
      </c>
      <c r="N21" s="290" t="s">
        <v>227</v>
      </c>
    </row>
    <row r="22" spans="2:14" s="3" customFormat="1" ht="42.75" customHeight="1" x14ac:dyDescent="0.3">
      <c r="B22" s="278"/>
      <c r="C22" s="278"/>
      <c r="D22" s="278"/>
      <c r="E22" s="187" t="s">
        <v>23</v>
      </c>
      <c r="F22" s="115"/>
      <c r="G22" s="117">
        <v>5533500</v>
      </c>
      <c r="H22" s="118"/>
      <c r="I22" s="116"/>
      <c r="J22" s="116"/>
      <c r="K22" s="30">
        <f t="shared" si="0"/>
        <v>5533500</v>
      </c>
      <c r="L22" s="265"/>
      <c r="M22" s="291"/>
      <c r="N22" s="291"/>
    </row>
    <row r="23" spans="2:14" s="3" customFormat="1" ht="42.75" customHeight="1" x14ac:dyDescent="0.3">
      <c r="B23" s="278"/>
      <c r="C23" s="278"/>
      <c r="D23" s="278"/>
      <c r="E23" s="188" t="s">
        <v>24</v>
      </c>
      <c r="F23" s="115"/>
      <c r="G23" s="117">
        <v>10174500</v>
      </c>
      <c r="H23" s="118"/>
      <c r="I23" s="116"/>
      <c r="J23" s="116"/>
      <c r="K23" s="30">
        <f t="shared" si="0"/>
        <v>10174500</v>
      </c>
      <c r="L23" s="265"/>
      <c r="M23" s="291"/>
      <c r="N23" s="291"/>
    </row>
    <row r="24" spans="2:14" s="3" customFormat="1" ht="42.75" customHeight="1" x14ac:dyDescent="0.3">
      <c r="B24" s="278"/>
      <c r="C24" s="278"/>
      <c r="D24" s="278"/>
      <c r="E24" s="147" t="s">
        <v>25</v>
      </c>
      <c r="F24" s="115"/>
      <c r="G24" s="119">
        <v>43897680</v>
      </c>
      <c r="H24" s="120"/>
      <c r="I24" s="116"/>
      <c r="J24" s="116">
        <v>698544</v>
      </c>
      <c r="K24" s="30">
        <f>G24-J24</f>
        <v>43199136</v>
      </c>
      <c r="L24" s="265"/>
      <c r="M24" s="291"/>
      <c r="N24" s="291"/>
    </row>
    <row r="25" spans="2:14" s="3" customFormat="1" ht="42.75" customHeight="1" x14ac:dyDescent="0.3">
      <c r="B25" s="278"/>
      <c r="C25" s="278"/>
      <c r="D25" s="278"/>
      <c r="E25" s="147" t="s">
        <v>26</v>
      </c>
      <c r="F25" s="115"/>
      <c r="G25" s="119">
        <v>2000000</v>
      </c>
      <c r="H25" s="120"/>
      <c r="I25" s="116"/>
      <c r="J25" s="116"/>
      <c r="K25" s="30">
        <f t="shared" si="0"/>
        <v>2000000</v>
      </c>
      <c r="L25" s="265"/>
      <c r="M25" s="291"/>
      <c r="N25" s="291"/>
    </row>
    <row r="26" spans="2:14" s="3" customFormat="1" ht="42.75" customHeight="1" x14ac:dyDescent="0.3">
      <c r="B26" s="278"/>
      <c r="C26" s="278"/>
      <c r="D26" s="278"/>
      <c r="E26" s="147" t="s">
        <v>27</v>
      </c>
      <c r="F26" s="115"/>
      <c r="G26" s="119">
        <v>101809915</v>
      </c>
      <c r="H26" s="120"/>
      <c r="I26" s="116"/>
      <c r="J26" s="116">
        <v>286969</v>
      </c>
      <c r="K26" s="30">
        <f>G26-J26</f>
        <v>101522946</v>
      </c>
      <c r="L26" s="265"/>
      <c r="M26" s="291"/>
      <c r="N26" s="291"/>
    </row>
    <row r="27" spans="2:14" s="3" customFormat="1" ht="42.75" customHeight="1" x14ac:dyDescent="0.3">
      <c r="B27" s="278"/>
      <c r="C27" s="278"/>
      <c r="D27" s="278"/>
      <c r="E27" s="186" t="s">
        <v>16</v>
      </c>
      <c r="F27" s="115"/>
      <c r="G27" s="121">
        <v>69648602</v>
      </c>
      <c r="H27" s="122"/>
      <c r="I27" s="116"/>
      <c r="J27" s="116">
        <v>13780482</v>
      </c>
      <c r="K27" s="30">
        <f>G27-J27</f>
        <v>55868120</v>
      </c>
      <c r="L27" s="265"/>
      <c r="M27" s="291"/>
      <c r="N27" s="291"/>
    </row>
    <row r="28" spans="2:14" s="3" customFormat="1" ht="42.75" customHeight="1" x14ac:dyDescent="0.3">
      <c r="B28" s="278"/>
      <c r="C28" s="278"/>
      <c r="D28" s="278"/>
      <c r="E28" s="147" t="s">
        <v>28</v>
      </c>
      <c r="F28" s="115"/>
      <c r="G28" s="119">
        <v>11602500</v>
      </c>
      <c r="H28" s="120"/>
      <c r="I28" s="116"/>
      <c r="J28" s="116">
        <f>G28</f>
        <v>11602500</v>
      </c>
      <c r="K28" s="30">
        <f>G28-J28</f>
        <v>0</v>
      </c>
      <c r="L28" s="265"/>
      <c r="M28" s="291"/>
      <c r="N28" s="291"/>
    </row>
    <row r="29" spans="2:14" s="3" customFormat="1" ht="42.75" customHeight="1" x14ac:dyDescent="0.3">
      <c r="B29" s="278"/>
      <c r="C29" s="278"/>
      <c r="D29" s="278"/>
      <c r="E29" s="147" t="s">
        <v>29</v>
      </c>
      <c r="F29" s="115"/>
      <c r="G29" s="119">
        <v>46172000</v>
      </c>
      <c r="H29" s="120"/>
      <c r="I29" s="116"/>
      <c r="J29" s="116">
        <v>202300</v>
      </c>
      <c r="K29" s="30">
        <f>G29-J29</f>
        <v>45969700</v>
      </c>
      <c r="L29" s="265"/>
      <c r="M29" s="291"/>
      <c r="N29" s="291"/>
    </row>
    <row r="30" spans="2:14" s="3" customFormat="1" ht="42.75" customHeight="1" x14ac:dyDescent="0.3">
      <c r="B30" s="278"/>
      <c r="C30" s="278"/>
      <c r="D30" s="278"/>
      <c r="E30" s="147" t="s">
        <v>17</v>
      </c>
      <c r="F30" s="115"/>
      <c r="G30" s="119">
        <v>24311392</v>
      </c>
      <c r="H30" s="120"/>
      <c r="I30" s="116"/>
      <c r="J30" s="116"/>
      <c r="K30" s="30">
        <f t="shared" si="0"/>
        <v>24311392</v>
      </c>
      <c r="L30" s="265"/>
      <c r="M30" s="291"/>
      <c r="N30" s="291"/>
    </row>
    <row r="31" spans="2:14" s="3" customFormat="1" ht="42.75" customHeight="1" x14ac:dyDescent="0.3">
      <c r="B31" s="278"/>
      <c r="C31" s="278"/>
      <c r="D31" s="278"/>
      <c r="E31" s="147" t="s">
        <v>18</v>
      </c>
      <c r="F31" s="115"/>
      <c r="G31" s="121">
        <v>23711702</v>
      </c>
      <c r="H31" s="121"/>
      <c r="I31" s="115"/>
      <c r="J31" s="115">
        <v>8626072</v>
      </c>
      <c r="K31" s="30">
        <f>G31-J31</f>
        <v>15085630</v>
      </c>
      <c r="L31" s="265"/>
      <c r="M31" s="291"/>
      <c r="N31" s="291"/>
    </row>
    <row r="32" spans="2:14" s="3" customFormat="1" ht="42.75" customHeight="1" x14ac:dyDescent="0.3">
      <c r="B32" s="278"/>
      <c r="C32" s="278"/>
      <c r="D32" s="278"/>
      <c r="E32" s="147" t="s">
        <v>30</v>
      </c>
      <c r="F32" s="115"/>
      <c r="G32" s="119">
        <v>5619341</v>
      </c>
      <c r="H32" s="119"/>
      <c r="I32" s="115"/>
      <c r="J32" s="115">
        <v>563031</v>
      </c>
      <c r="K32" s="30">
        <f>G32-J32</f>
        <v>5056310</v>
      </c>
      <c r="L32" s="265"/>
      <c r="M32" s="291"/>
      <c r="N32" s="291"/>
    </row>
    <row r="33" spans="2:15" s="3" customFormat="1" ht="42.75" customHeight="1" x14ac:dyDescent="0.3">
      <c r="B33" s="279"/>
      <c r="C33" s="279"/>
      <c r="D33" s="279"/>
      <c r="E33" s="189" t="s">
        <v>31</v>
      </c>
      <c r="F33" s="115"/>
      <c r="G33" s="121">
        <v>12361655</v>
      </c>
      <c r="H33" s="121"/>
      <c r="I33" s="115"/>
      <c r="J33" s="115"/>
      <c r="K33" s="30">
        <f t="shared" si="0"/>
        <v>12361655</v>
      </c>
      <c r="L33" s="266"/>
      <c r="M33" s="292"/>
      <c r="N33" s="292"/>
    </row>
    <row r="34" spans="2:15" s="3" customFormat="1" ht="60.75" customHeight="1" x14ac:dyDescent="0.3">
      <c r="B34" s="273" t="s">
        <v>10</v>
      </c>
      <c r="C34" s="273" t="s">
        <v>32</v>
      </c>
      <c r="D34" s="273" t="s">
        <v>33</v>
      </c>
      <c r="E34" s="190" t="s">
        <v>28</v>
      </c>
      <c r="F34" s="33">
        <v>392000559</v>
      </c>
      <c r="G34" s="33">
        <v>3190401207</v>
      </c>
      <c r="H34" s="33"/>
      <c r="I34" s="33">
        <v>120000000</v>
      </c>
      <c r="J34" s="33">
        <v>100000000</v>
      </c>
      <c r="K34" s="33">
        <f>F34+I34+G34-J34</f>
        <v>3602401766</v>
      </c>
      <c r="L34" s="270">
        <f>SUM(K34:K35)</f>
        <v>3931088108</v>
      </c>
      <c r="M34" s="273" t="s">
        <v>223</v>
      </c>
      <c r="N34" s="273" t="s">
        <v>227</v>
      </c>
    </row>
    <row r="35" spans="2:15" s="3" customFormat="1" ht="72.75" customHeight="1" x14ac:dyDescent="0.3">
      <c r="B35" s="275"/>
      <c r="C35" s="275"/>
      <c r="D35" s="275"/>
      <c r="E35" s="190" t="s">
        <v>34</v>
      </c>
      <c r="F35" s="123"/>
      <c r="G35" s="124">
        <v>328686342</v>
      </c>
      <c r="H35" s="124"/>
      <c r="I35" s="33"/>
      <c r="J35" s="33"/>
      <c r="K35" s="33">
        <f>G35</f>
        <v>328686342</v>
      </c>
      <c r="L35" s="272"/>
      <c r="M35" s="275"/>
      <c r="N35" s="275"/>
    </row>
    <row r="36" spans="2:15" s="3" customFormat="1" ht="39.6" x14ac:dyDescent="0.3">
      <c r="B36" s="34" t="s">
        <v>10</v>
      </c>
      <c r="C36" s="95" t="s">
        <v>32</v>
      </c>
      <c r="D36" s="95" t="s">
        <v>35</v>
      </c>
      <c r="E36" s="190" t="s">
        <v>28</v>
      </c>
      <c r="F36" s="125">
        <f>76150176</f>
        <v>76150176</v>
      </c>
      <c r="G36" s="125"/>
      <c r="H36" s="125"/>
      <c r="I36" s="125"/>
      <c r="J36" s="125"/>
      <c r="K36" s="33">
        <f>F36</f>
        <v>76150176</v>
      </c>
      <c r="L36" s="35">
        <f>F36</f>
        <v>76150176</v>
      </c>
      <c r="M36" s="95" t="s">
        <v>223</v>
      </c>
      <c r="N36" s="95" t="s">
        <v>227</v>
      </c>
    </row>
    <row r="37" spans="2:15" s="3" customFormat="1" ht="54" customHeight="1" x14ac:dyDescent="0.3">
      <c r="B37" s="273" t="s">
        <v>10</v>
      </c>
      <c r="C37" s="273" t="s">
        <v>32</v>
      </c>
      <c r="D37" s="273" t="s">
        <v>36</v>
      </c>
      <c r="E37" s="191" t="s">
        <v>37</v>
      </c>
      <c r="F37" s="125">
        <v>1254267750</v>
      </c>
      <c r="G37" s="125"/>
      <c r="H37" s="125"/>
      <c r="I37" s="125"/>
      <c r="J37" s="125"/>
      <c r="K37" s="33">
        <f>F37</f>
        <v>1254267750</v>
      </c>
      <c r="L37" s="267">
        <f>SUM(K37:K38)</f>
        <v>1266860250</v>
      </c>
      <c r="M37" s="289" t="s">
        <v>219</v>
      </c>
      <c r="N37" s="289" t="s">
        <v>263</v>
      </c>
    </row>
    <row r="38" spans="2:15" s="3" customFormat="1" ht="79.5" customHeight="1" x14ac:dyDescent="0.3">
      <c r="B38" s="275"/>
      <c r="C38" s="275"/>
      <c r="D38" s="275"/>
      <c r="E38" s="192" t="s">
        <v>38</v>
      </c>
      <c r="F38" s="126">
        <v>12592500</v>
      </c>
      <c r="G38" s="126"/>
      <c r="H38" s="126"/>
      <c r="I38" s="126"/>
      <c r="J38" s="126"/>
      <c r="K38" s="33">
        <f>F38</f>
        <v>12592500</v>
      </c>
      <c r="L38" s="269"/>
      <c r="M38" s="289"/>
      <c r="N38" s="289"/>
    </row>
    <row r="39" spans="2:15" s="3" customFormat="1" ht="42" customHeight="1" x14ac:dyDescent="0.3">
      <c r="B39" s="273" t="s">
        <v>10</v>
      </c>
      <c r="C39" s="273" t="s">
        <v>32</v>
      </c>
      <c r="D39" s="273" t="s">
        <v>39</v>
      </c>
      <c r="E39" s="193" t="s">
        <v>25</v>
      </c>
      <c r="F39" s="36">
        <v>55353236</v>
      </c>
      <c r="G39" s="36"/>
      <c r="H39" s="36"/>
      <c r="I39" s="36"/>
      <c r="J39" s="37">
        <v>2139098</v>
      </c>
      <c r="K39" s="33">
        <f>F39-J39</f>
        <v>53214138</v>
      </c>
      <c r="L39" s="267">
        <f>SUM(K39:K42)</f>
        <v>62520563</v>
      </c>
      <c r="M39" s="273" t="s">
        <v>223</v>
      </c>
      <c r="N39" s="273" t="s">
        <v>227</v>
      </c>
    </row>
    <row r="40" spans="2:15" s="3" customFormat="1" ht="43.5" customHeight="1" x14ac:dyDescent="0.3">
      <c r="B40" s="274"/>
      <c r="C40" s="274"/>
      <c r="D40" s="274"/>
      <c r="E40" s="192" t="s">
        <v>40</v>
      </c>
      <c r="F40" s="126">
        <v>3257625</v>
      </c>
      <c r="G40" s="126"/>
      <c r="H40" s="126"/>
      <c r="I40" s="126"/>
      <c r="J40" s="126"/>
      <c r="K40" s="33">
        <f>F40</f>
        <v>3257625</v>
      </c>
      <c r="L40" s="268"/>
      <c r="M40" s="274"/>
      <c r="N40" s="274"/>
    </row>
    <row r="41" spans="2:15" s="3" customFormat="1" ht="36" customHeight="1" x14ac:dyDescent="0.3">
      <c r="B41" s="274"/>
      <c r="C41" s="274"/>
      <c r="D41" s="274"/>
      <c r="E41" s="190" t="s">
        <v>27</v>
      </c>
      <c r="F41" s="125">
        <v>3986290</v>
      </c>
      <c r="G41" s="125"/>
      <c r="H41" s="125"/>
      <c r="I41" s="125"/>
      <c r="J41" s="125"/>
      <c r="K41" s="33">
        <f>F41</f>
        <v>3986290</v>
      </c>
      <c r="L41" s="268"/>
      <c r="M41" s="274"/>
      <c r="N41" s="274"/>
    </row>
    <row r="42" spans="2:15" s="3" customFormat="1" ht="56.25" customHeight="1" x14ac:dyDescent="0.3">
      <c r="B42" s="275"/>
      <c r="C42" s="275"/>
      <c r="D42" s="275"/>
      <c r="E42" s="190" t="s">
        <v>18</v>
      </c>
      <c r="F42" s="126">
        <v>2371551</v>
      </c>
      <c r="G42" s="126"/>
      <c r="H42" s="126"/>
      <c r="I42" s="126"/>
      <c r="J42" s="126">
        <v>309041</v>
      </c>
      <c r="K42" s="33">
        <f>F42-J42</f>
        <v>2062510</v>
      </c>
      <c r="L42" s="269"/>
      <c r="M42" s="275"/>
      <c r="N42" s="275"/>
    </row>
    <row r="43" spans="2:15" s="3" customFormat="1" ht="56.25" customHeight="1" x14ac:dyDescent="0.3">
      <c r="B43" s="273" t="s">
        <v>10</v>
      </c>
      <c r="C43" s="273" t="s">
        <v>32</v>
      </c>
      <c r="D43" s="273" t="s">
        <v>41</v>
      </c>
      <c r="E43" s="194" t="s">
        <v>42</v>
      </c>
      <c r="F43" s="127">
        <v>217973762</v>
      </c>
      <c r="G43" s="127"/>
      <c r="H43" s="127"/>
      <c r="I43" s="127">
        <v>60339128</v>
      </c>
      <c r="J43" s="127"/>
      <c r="K43" s="33">
        <f>F43+I43</f>
        <v>278312890</v>
      </c>
      <c r="L43" s="267">
        <f>SUM(K43:K47)</f>
        <v>468150735</v>
      </c>
      <c r="M43" s="273" t="s">
        <v>223</v>
      </c>
      <c r="N43" s="273" t="s">
        <v>227</v>
      </c>
    </row>
    <row r="44" spans="2:15" s="3" customFormat="1" ht="56.25" customHeight="1" x14ac:dyDescent="0.3">
      <c r="B44" s="274"/>
      <c r="C44" s="274"/>
      <c r="D44" s="274"/>
      <c r="E44" s="194" t="s">
        <v>43</v>
      </c>
      <c r="F44" s="125">
        <v>48004658</v>
      </c>
      <c r="G44" s="125"/>
      <c r="H44" s="125"/>
      <c r="I44" s="125"/>
      <c r="J44" s="125"/>
      <c r="K44" s="33">
        <f>F44</f>
        <v>48004658</v>
      </c>
      <c r="L44" s="268"/>
      <c r="M44" s="274"/>
      <c r="N44" s="274"/>
    </row>
    <row r="45" spans="2:15" s="3" customFormat="1" ht="56.25" customHeight="1" x14ac:dyDescent="0.3">
      <c r="B45" s="274"/>
      <c r="C45" s="274"/>
      <c r="D45" s="274"/>
      <c r="E45" s="194" t="s">
        <v>44</v>
      </c>
      <c r="F45" s="125">
        <v>145072726</v>
      </c>
      <c r="G45" s="125"/>
      <c r="H45" s="125"/>
      <c r="I45" s="125"/>
      <c r="J45" s="125">
        <v>59749331</v>
      </c>
      <c r="K45" s="33">
        <f>F45-J45</f>
        <v>85323395</v>
      </c>
      <c r="L45" s="268"/>
      <c r="M45" s="274"/>
      <c r="N45" s="274"/>
    </row>
    <row r="46" spans="2:15" s="3" customFormat="1" ht="56.25" customHeight="1" x14ac:dyDescent="0.3">
      <c r="B46" s="274"/>
      <c r="C46" s="274"/>
      <c r="D46" s="274"/>
      <c r="E46" s="190" t="s">
        <v>45</v>
      </c>
      <c r="F46" s="125">
        <v>52770336</v>
      </c>
      <c r="G46" s="125"/>
      <c r="H46" s="125"/>
      <c r="I46" s="125"/>
      <c r="J46" s="125"/>
      <c r="K46" s="33">
        <f>F46</f>
        <v>52770336</v>
      </c>
      <c r="L46" s="268"/>
      <c r="M46" s="274"/>
      <c r="N46" s="274"/>
    </row>
    <row r="47" spans="2:15" s="3" customFormat="1" ht="26.4" x14ac:dyDescent="0.3">
      <c r="B47" s="275"/>
      <c r="C47" s="275"/>
      <c r="D47" s="275"/>
      <c r="E47" s="195" t="s">
        <v>46</v>
      </c>
      <c r="F47" s="128">
        <v>4329253</v>
      </c>
      <c r="G47" s="128"/>
      <c r="H47" s="128"/>
      <c r="I47" s="128"/>
      <c r="J47" s="128">
        <v>589797</v>
      </c>
      <c r="K47" s="129">
        <f>F47-J47</f>
        <v>3739456</v>
      </c>
      <c r="L47" s="269"/>
      <c r="M47" s="275"/>
      <c r="N47" s="275"/>
      <c r="O47" s="23"/>
    </row>
    <row r="48" spans="2:15" s="3" customFormat="1" ht="42.75" customHeight="1" x14ac:dyDescent="0.3">
      <c r="B48" s="273" t="s">
        <v>10</v>
      </c>
      <c r="C48" s="273" t="s">
        <v>32</v>
      </c>
      <c r="D48" s="273" t="s">
        <v>47</v>
      </c>
      <c r="E48" s="194" t="s">
        <v>43</v>
      </c>
      <c r="F48" s="128"/>
      <c r="G48" s="130">
        <v>706944069</v>
      </c>
      <c r="H48" s="131"/>
      <c r="I48" s="128"/>
      <c r="J48" s="128"/>
      <c r="K48" s="129">
        <f>G48</f>
        <v>706944069</v>
      </c>
      <c r="L48" s="270">
        <f>SUM(K48:K58)</f>
        <v>1235127761</v>
      </c>
      <c r="M48" s="293" t="s">
        <v>219</v>
      </c>
      <c r="N48" s="293" t="s">
        <v>263</v>
      </c>
      <c r="O48" s="23"/>
    </row>
    <row r="49" spans="2:15" s="3" customFormat="1" ht="13.2" x14ac:dyDescent="0.3">
      <c r="B49" s="274"/>
      <c r="C49" s="274"/>
      <c r="D49" s="274"/>
      <c r="E49" s="194" t="s">
        <v>44</v>
      </c>
      <c r="F49" s="128"/>
      <c r="G49" s="130">
        <v>69118175</v>
      </c>
      <c r="H49" s="131"/>
      <c r="I49" s="128"/>
      <c r="J49" s="128"/>
      <c r="K49" s="129">
        <f t="shared" ref="K49:K67" si="1">G49</f>
        <v>69118175</v>
      </c>
      <c r="L49" s="271"/>
      <c r="M49" s="294"/>
      <c r="N49" s="294"/>
      <c r="O49" s="23"/>
    </row>
    <row r="50" spans="2:15" s="3" customFormat="1" ht="26.4" x14ac:dyDescent="0.3">
      <c r="B50" s="274"/>
      <c r="C50" s="274"/>
      <c r="D50" s="274"/>
      <c r="E50" s="192" t="s">
        <v>48</v>
      </c>
      <c r="F50" s="128"/>
      <c r="G50" s="132">
        <v>257355680</v>
      </c>
      <c r="H50" s="133"/>
      <c r="I50" s="128"/>
      <c r="J50" s="128"/>
      <c r="K50" s="129">
        <f t="shared" si="1"/>
        <v>257355680</v>
      </c>
      <c r="L50" s="271"/>
      <c r="M50" s="294"/>
      <c r="N50" s="294"/>
      <c r="O50" s="23"/>
    </row>
    <row r="51" spans="2:15" s="3" customFormat="1" ht="26.4" x14ac:dyDescent="0.3">
      <c r="B51" s="274"/>
      <c r="C51" s="274"/>
      <c r="D51" s="274"/>
      <c r="E51" s="192" t="s">
        <v>49</v>
      </c>
      <c r="F51" s="128"/>
      <c r="G51" s="132">
        <v>15172500</v>
      </c>
      <c r="H51" s="133"/>
      <c r="I51" s="128"/>
      <c r="J51" s="128"/>
      <c r="K51" s="129">
        <f t="shared" si="1"/>
        <v>15172500</v>
      </c>
      <c r="L51" s="271"/>
      <c r="M51" s="294"/>
      <c r="N51" s="294"/>
      <c r="O51" s="23"/>
    </row>
    <row r="52" spans="2:15" s="3" customFormat="1" ht="13.2" x14ac:dyDescent="0.3">
      <c r="B52" s="274"/>
      <c r="C52" s="274"/>
      <c r="D52" s="274"/>
      <c r="E52" s="190" t="s">
        <v>43</v>
      </c>
      <c r="F52" s="128"/>
      <c r="G52" s="130">
        <v>3570000</v>
      </c>
      <c r="H52" s="131"/>
      <c r="I52" s="128"/>
      <c r="J52" s="128"/>
      <c r="K52" s="129">
        <f t="shared" si="1"/>
        <v>3570000</v>
      </c>
      <c r="L52" s="271"/>
      <c r="M52" s="294"/>
      <c r="N52" s="294"/>
      <c r="O52" s="23"/>
    </row>
    <row r="53" spans="2:15" s="3" customFormat="1" ht="13.2" x14ac:dyDescent="0.3">
      <c r="B53" s="274"/>
      <c r="C53" s="274"/>
      <c r="D53" s="274"/>
      <c r="E53" s="194" t="s">
        <v>44</v>
      </c>
      <c r="F53" s="128"/>
      <c r="G53" s="130">
        <v>10442250</v>
      </c>
      <c r="H53" s="131"/>
      <c r="I53" s="128"/>
      <c r="J53" s="128"/>
      <c r="K53" s="129">
        <f t="shared" si="1"/>
        <v>10442250</v>
      </c>
      <c r="L53" s="271"/>
      <c r="M53" s="294"/>
      <c r="N53" s="294"/>
      <c r="O53" s="23"/>
    </row>
    <row r="54" spans="2:15" s="3" customFormat="1" ht="26.4" x14ac:dyDescent="0.3">
      <c r="B54" s="274"/>
      <c r="C54" s="274"/>
      <c r="D54" s="274"/>
      <c r="E54" s="192" t="s">
        <v>48</v>
      </c>
      <c r="F54" s="128"/>
      <c r="G54" s="132">
        <v>16545411</v>
      </c>
      <c r="H54" s="133"/>
      <c r="I54" s="128"/>
      <c r="J54" s="128"/>
      <c r="K54" s="129">
        <f t="shared" si="1"/>
        <v>16545411</v>
      </c>
      <c r="L54" s="271"/>
      <c r="M54" s="294"/>
      <c r="N54" s="294"/>
      <c r="O54" s="23"/>
    </row>
    <row r="55" spans="2:15" s="3" customFormat="1" ht="26.4" x14ac:dyDescent="0.3">
      <c r="B55" s="274"/>
      <c r="C55" s="274"/>
      <c r="D55" s="274"/>
      <c r="E55" s="192" t="s">
        <v>49</v>
      </c>
      <c r="F55" s="128"/>
      <c r="G55" s="132">
        <v>5771500</v>
      </c>
      <c r="H55" s="133"/>
      <c r="I55" s="128"/>
      <c r="J55" s="128"/>
      <c r="K55" s="129">
        <f t="shared" si="1"/>
        <v>5771500</v>
      </c>
      <c r="L55" s="271"/>
      <c r="M55" s="294"/>
      <c r="N55" s="294"/>
      <c r="O55" s="23"/>
    </row>
    <row r="56" spans="2:15" s="3" customFormat="1" ht="13.2" x14ac:dyDescent="0.3">
      <c r="B56" s="274"/>
      <c r="C56" s="274"/>
      <c r="D56" s="274"/>
      <c r="E56" s="190" t="s">
        <v>50</v>
      </c>
      <c r="F56" s="128"/>
      <c r="G56" s="134">
        <v>31868200</v>
      </c>
      <c r="H56" s="135"/>
      <c r="I56" s="128"/>
      <c r="J56" s="128">
        <v>3780000</v>
      </c>
      <c r="K56" s="129">
        <f>G56-J56</f>
        <v>28088200</v>
      </c>
      <c r="L56" s="271"/>
      <c r="M56" s="294"/>
      <c r="N56" s="294"/>
      <c r="O56" s="23"/>
    </row>
    <row r="57" spans="2:15" s="3" customFormat="1" ht="13.2" x14ac:dyDescent="0.3">
      <c r="B57" s="274"/>
      <c r="C57" s="274"/>
      <c r="D57" s="274"/>
      <c r="E57" s="192" t="s">
        <v>38</v>
      </c>
      <c r="F57" s="128"/>
      <c r="G57" s="132">
        <v>100727976</v>
      </c>
      <c r="H57" s="133"/>
      <c r="I57" s="128"/>
      <c r="J57" s="128"/>
      <c r="K57" s="129">
        <f t="shared" si="1"/>
        <v>100727976</v>
      </c>
      <c r="L57" s="271"/>
      <c r="M57" s="294"/>
      <c r="N57" s="294"/>
      <c r="O57" s="23"/>
    </row>
    <row r="58" spans="2:15" s="3" customFormat="1" ht="26.4" x14ac:dyDescent="0.3">
      <c r="B58" s="275"/>
      <c r="C58" s="275"/>
      <c r="D58" s="275"/>
      <c r="E58" s="190" t="s">
        <v>17</v>
      </c>
      <c r="F58" s="128"/>
      <c r="G58" s="130">
        <v>17612000</v>
      </c>
      <c r="H58" s="131"/>
      <c r="I58" s="128">
        <v>3780000</v>
      </c>
      <c r="J58" s="128"/>
      <c r="K58" s="129">
        <f>G58+I58</f>
        <v>21392000</v>
      </c>
      <c r="L58" s="272"/>
      <c r="M58" s="295"/>
      <c r="N58" s="295"/>
      <c r="O58" s="23"/>
    </row>
    <row r="59" spans="2:15" s="3" customFormat="1" ht="71.25" customHeight="1" x14ac:dyDescent="0.3">
      <c r="B59" s="261" t="s">
        <v>10</v>
      </c>
      <c r="C59" s="261" t="s">
        <v>32</v>
      </c>
      <c r="D59" s="261" t="s">
        <v>51</v>
      </c>
      <c r="E59" s="194" t="s">
        <v>43</v>
      </c>
      <c r="F59" s="123"/>
      <c r="G59" s="130">
        <v>127654466</v>
      </c>
      <c r="H59" s="130"/>
      <c r="I59" s="123"/>
      <c r="J59" s="123"/>
      <c r="K59" s="33">
        <f t="shared" si="1"/>
        <v>127654466</v>
      </c>
      <c r="L59" s="262">
        <f>SUM(K59:K61)</f>
        <v>190691269</v>
      </c>
      <c r="M59" s="261" t="s">
        <v>223</v>
      </c>
      <c r="N59" s="261" t="s">
        <v>227</v>
      </c>
      <c r="O59" s="23"/>
    </row>
    <row r="60" spans="2:15" s="3" customFormat="1" ht="92.25" customHeight="1" x14ac:dyDescent="0.3">
      <c r="B60" s="261"/>
      <c r="C60" s="261"/>
      <c r="D60" s="261"/>
      <c r="E60" s="192" t="s">
        <v>48</v>
      </c>
      <c r="F60" s="123"/>
      <c r="G60" s="132">
        <v>9221685</v>
      </c>
      <c r="H60" s="132"/>
      <c r="I60" s="123"/>
      <c r="J60" s="123"/>
      <c r="K60" s="33">
        <f t="shared" si="1"/>
        <v>9221685</v>
      </c>
      <c r="L60" s="262"/>
      <c r="M60" s="261"/>
      <c r="N60" s="261"/>
      <c r="O60" s="154"/>
    </row>
    <row r="61" spans="2:15" s="3" customFormat="1" ht="82.5" customHeight="1" x14ac:dyDescent="0.3">
      <c r="B61" s="261"/>
      <c r="C61" s="261"/>
      <c r="D61" s="261"/>
      <c r="E61" s="190" t="s">
        <v>45</v>
      </c>
      <c r="F61" s="123"/>
      <c r="G61" s="130">
        <v>53815118</v>
      </c>
      <c r="H61" s="130"/>
      <c r="I61" s="123"/>
      <c r="J61" s="123"/>
      <c r="K61" s="33">
        <f t="shared" si="1"/>
        <v>53815118</v>
      </c>
      <c r="L61" s="262"/>
      <c r="M61" s="261"/>
      <c r="N61" s="261"/>
      <c r="O61" s="154"/>
    </row>
    <row r="62" spans="2:15" s="3" customFormat="1" ht="123.75" customHeight="1" x14ac:dyDescent="0.3">
      <c r="B62" s="95" t="s">
        <v>10</v>
      </c>
      <c r="C62" s="95" t="s">
        <v>32</v>
      </c>
      <c r="D62" s="95" t="s">
        <v>52</v>
      </c>
      <c r="E62" s="190" t="s">
        <v>50</v>
      </c>
      <c r="F62" s="123"/>
      <c r="G62" s="130">
        <v>50100487</v>
      </c>
      <c r="H62" s="130"/>
      <c r="I62" s="123"/>
      <c r="J62" s="123"/>
      <c r="K62" s="33">
        <f t="shared" si="1"/>
        <v>50100487</v>
      </c>
      <c r="L62" s="102">
        <f>K62</f>
        <v>50100487</v>
      </c>
      <c r="M62" s="153" t="s">
        <v>219</v>
      </c>
      <c r="N62" s="153" t="s">
        <v>263</v>
      </c>
      <c r="O62" s="23"/>
    </row>
    <row r="63" spans="2:15" s="3" customFormat="1" ht="81" customHeight="1" x14ac:dyDescent="0.3">
      <c r="B63" s="95" t="s">
        <v>10</v>
      </c>
      <c r="C63" s="95" t="s">
        <v>32</v>
      </c>
      <c r="D63" s="95" t="s">
        <v>199</v>
      </c>
      <c r="E63" s="190" t="s">
        <v>13</v>
      </c>
      <c r="F63" s="123"/>
      <c r="G63" s="130">
        <v>506729727</v>
      </c>
      <c r="H63" s="130"/>
      <c r="I63" s="123"/>
      <c r="J63" s="123"/>
      <c r="K63" s="33">
        <f t="shared" si="1"/>
        <v>506729727</v>
      </c>
      <c r="L63" s="102">
        <f>K63</f>
        <v>506729727</v>
      </c>
      <c r="M63" s="95" t="s">
        <v>223</v>
      </c>
      <c r="N63" s="95" t="s">
        <v>227</v>
      </c>
      <c r="O63" s="23"/>
    </row>
    <row r="64" spans="2:15" s="3" customFormat="1" ht="42.75" customHeight="1" x14ac:dyDescent="0.3">
      <c r="B64" s="273" t="s">
        <v>10</v>
      </c>
      <c r="C64" s="273" t="s">
        <v>32</v>
      </c>
      <c r="D64" s="273" t="s">
        <v>53</v>
      </c>
      <c r="E64" s="191" t="s">
        <v>13</v>
      </c>
      <c r="F64" s="123"/>
      <c r="G64" s="130">
        <v>35012953</v>
      </c>
      <c r="H64" s="130"/>
      <c r="I64" s="123"/>
      <c r="J64" s="123"/>
      <c r="K64" s="33">
        <f t="shared" si="1"/>
        <v>35012953</v>
      </c>
      <c r="L64" s="270">
        <f>SUM(K64:K67)</f>
        <v>299660806</v>
      </c>
      <c r="M64" s="273" t="s">
        <v>223</v>
      </c>
      <c r="N64" s="261" t="s">
        <v>227</v>
      </c>
      <c r="O64" s="23"/>
    </row>
    <row r="65" spans="2:15" s="3" customFormat="1" ht="17.25" customHeight="1" x14ac:dyDescent="0.3">
      <c r="B65" s="274"/>
      <c r="C65" s="274"/>
      <c r="D65" s="274"/>
      <c r="E65" s="191" t="s">
        <v>15</v>
      </c>
      <c r="F65" s="123"/>
      <c r="G65" s="124">
        <v>212788065</v>
      </c>
      <c r="H65" s="124"/>
      <c r="I65" s="123"/>
      <c r="J65" s="123"/>
      <c r="K65" s="33">
        <f t="shared" si="1"/>
        <v>212788065</v>
      </c>
      <c r="L65" s="271"/>
      <c r="M65" s="274"/>
      <c r="N65" s="261"/>
      <c r="O65" s="23"/>
    </row>
    <row r="66" spans="2:15" s="3" customFormat="1" ht="46.5" customHeight="1" x14ac:dyDescent="0.3">
      <c r="B66" s="274"/>
      <c r="C66" s="274"/>
      <c r="D66" s="274"/>
      <c r="E66" s="191" t="s">
        <v>49</v>
      </c>
      <c r="F66" s="123"/>
      <c r="G66" s="124">
        <v>47952240</v>
      </c>
      <c r="H66" s="124"/>
      <c r="I66" s="123"/>
      <c r="J66" s="123"/>
      <c r="K66" s="33">
        <f t="shared" si="1"/>
        <v>47952240</v>
      </c>
      <c r="L66" s="271"/>
      <c r="M66" s="274"/>
      <c r="N66" s="261"/>
      <c r="O66" s="23"/>
    </row>
    <row r="67" spans="2:15" s="3" customFormat="1" ht="35.25" customHeight="1" x14ac:dyDescent="0.3">
      <c r="B67" s="275"/>
      <c r="C67" s="275"/>
      <c r="D67" s="275"/>
      <c r="E67" s="190" t="s">
        <v>54</v>
      </c>
      <c r="F67" s="123"/>
      <c r="G67" s="124">
        <v>3907548</v>
      </c>
      <c r="H67" s="124"/>
      <c r="I67" s="123"/>
      <c r="J67" s="123"/>
      <c r="K67" s="33">
        <f t="shared" si="1"/>
        <v>3907548</v>
      </c>
      <c r="L67" s="272"/>
      <c r="M67" s="275"/>
      <c r="N67" s="261"/>
      <c r="O67" s="24"/>
    </row>
    <row r="68" spans="2:15" s="3" customFormat="1" ht="64.5" customHeight="1" x14ac:dyDescent="0.3">
      <c r="B68" s="97" t="s">
        <v>10</v>
      </c>
      <c r="C68" s="97" t="s">
        <v>32</v>
      </c>
      <c r="D68" s="97" t="s">
        <v>187</v>
      </c>
      <c r="E68" s="196" t="s">
        <v>42</v>
      </c>
      <c r="F68" s="136"/>
      <c r="G68" s="137"/>
      <c r="H68" s="137"/>
      <c r="I68" s="136"/>
      <c r="J68" s="136"/>
      <c r="K68" s="138">
        <v>514530546</v>
      </c>
      <c r="L68" s="105">
        <f>K68</f>
        <v>514530546</v>
      </c>
      <c r="M68" s="95" t="s">
        <v>223</v>
      </c>
      <c r="N68" s="95" t="s">
        <v>227</v>
      </c>
      <c r="O68" s="24"/>
    </row>
    <row r="69" spans="2:15" s="3" customFormat="1" ht="69.75" customHeight="1" x14ac:dyDescent="0.3">
      <c r="B69" s="273" t="s">
        <v>10</v>
      </c>
      <c r="C69" s="261" t="s">
        <v>32</v>
      </c>
      <c r="D69" s="261" t="s">
        <v>188</v>
      </c>
      <c r="E69" s="197" t="s">
        <v>46</v>
      </c>
      <c r="F69" s="123"/>
      <c r="G69" s="124"/>
      <c r="H69" s="124"/>
      <c r="I69" s="123"/>
      <c r="J69" s="123"/>
      <c r="K69" s="139">
        <v>100000000</v>
      </c>
      <c r="L69" s="270">
        <f>SUM(K69:K71)</f>
        <v>311982070</v>
      </c>
      <c r="M69" s="273" t="s">
        <v>228</v>
      </c>
      <c r="N69" s="274" t="s">
        <v>229</v>
      </c>
      <c r="O69" s="24"/>
    </row>
    <row r="70" spans="2:15" s="3" customFormat="1" ht="66" customHeight="1" x14ac:dyDescent="0.3">
      <c r="B70" s="274"/>
      <c r="C70" s="261"/>
      <c r="D70" s="261"/>
      <c r="E70" s="192" t="s">
        <v>68</v>
      </c>
      <c r="F70" s="123"/>
      <c r="G70" s="124"/>
      <c r="H70" s="124"/>
      <c r="I70" s="123"/>
      <c r="J70" s="123"/>
      <c r="K70" s="140">
        <v>43072403</v>
      </c>
      <c r="L70" s="271"/>
      <c r="M70" s="274"/>
      <c r="N70" s="274"/>
      <c r="O70" s="24"/>
    </row>
    <row r="71" spans="2:15" s="3" customFormat="1" ht="69.75" customHeight="1" x14ac:dyDescent="0.3">
      <c r="B71" s="275"/>
      <c r="C71" s="261"/>
      <c r="D71" s="261"/>
      <c r="E71" s="190" t="s">
        <v>50</v>
      </c>
      <c r="F71" s="123"/>
      <c r="G71" s="124"/>
      <c r="H71" s="124"/>
      <c r="I71" s="123"/>
      <c r="J71" s="123"/>
      <c r="K71" s="141">
        <v>168909667</v>
      </c>
      <c r="L71" s="272"/>
      <c r="M71" s="275"/>
      <c r="N71" s="275"/>
      <c r="O71" s="24"/>
    </row>
    <row r="72" spans="2:15" s="3" customFormat="1" ht="95.25" customHeight="1" x14ac:dyDescent="0.3">
      <c r="B72" s="96" t="s">
        <v>10</v>
      </c>
      <c r="C72" s="96" t="s">
        <v>32</v>
      </c>
      <c r="D72" s="96" t="s">
        <v>200</v>
      </c>
      <c r="E72" s="198" t="s">
        <v>43</v>
      </c>
      <c r="F72" s="142"/>
      <c r="G72" s="143"/>
      <c r="H72" s="143"/>
      <c r="I72" s="142"/>
      <c r="J72" s="142"/>
      <c r="K72" s="144">
        <v>1284878384</v>
      </c>
      <c r="L72" s="105">
        <f>K72</f>
        <v>1284878384</v>
      </c>
      <c r="M72" s="95" t="s">
        <v>230</v>
      </c>
      <c r="N72" s="95" t="s">
        <v>231</v>
      </c>
      <c r="O72" s="24"/>
    </row>
    <row r="73" spans="2:15" s="3" customFormat="1" ht="156.75" customHeight="1" x14ac:dyDescent="0.3">
      <c r="B73" s="96" t="s">
        <v>10</v>
      </c>
      <c r="C73" s="96" t="s">
        <v>32</v>
      </c>
      <c r="D73" s="96" t="s">
        <v>201</v>
      </c>
      <c r="E73" s="198" t="s">
        <v>28</v>
      </c>
      <c r="F73" s="142"/>
      <c r="G73" s="143"/>
      <c r="H73" s="143"/>
      <c r="I73" s="142"/>
      <c r="J73" s="142"/>
      <c r="K73" s="144">
        <v>350000000</v>
      </c>
      <c r="L73" s="102">
        <f>K73</f>
        <v>350000000</v>
      </c>
      <c r="M73" s="95" t="s">
        <v>220</v>
      </c>
      <c r="N73" s="95" t="s">
        <v>232</v>
      </c>
      <c r="O73" s="24"/>
    </row>
    <row r="74" spans="2:15" s="3" customFormat="1" ht="46.5" customHeight="1" x14ac:dyDescent="0.3">
      <c r="B74" s="277" t="s">
        <v>10</v>
      </c>
      <c r="C74" s="277" t="s">
        <v>55</v>
      </c>
      <c r="D74" s="277" t="s">
        <v>56</v>
      </c>
      <c r="E74" s="199" t="s">
        <v>57</v>
      </c>
      <c r="F74" s="145">
        <v>651256339</v>
      </c>
      <c r="G74" s="145">
        <v>94537728</v>
      </c>
      <c r="H74" s="145"/>
      <c r="I74" s="145"/>
      <c r="J74" s="145">
        <v>24089622</v>
      </c>
      <c r="K74" s="108">
        <f>G74+F74-J74</f>
        <v>721704445</v>
      </c>
      <c r="L74" s="264">
        <f>SUM(K74:K98)</f>
        <v>2907303979</v>
      </c>
      <c r="M74" s="277" t="s">
        <v>233</v>
      </c>
      <c r="N74" s="277" t="s">
        <v>234</v>
      </c>
      <c r="O74" s="23"/>
    </row>
    <row r="75" spans="2:15" s="3" customFormat="1" ht="29.25" customHeight="1" x14ac:dyDescent="0.3">
      <c r="B75" s="278"/>
      <c r="C75" s="278"/>
      <c r="D75" s="278"/>
      <c r="E75" s="200" t="s">
        <v>58</v>
      </c>
      <c r="F75" s="30">
        <v>61394493</v>
      </c>
      <c r="G75" s="42"/>
      <c r="H75" s="42"/>
      <c r="I75" s="30"/>
      <c r="J75" s="30">
        <v>3609093</v>
      </c>
      <c r="K75" s="31">
        <f>F75-J75</f>
        <v>57785400</v>
      </c>
      <c r="L75" s="265"/>
      <c r="M75" s="278"/>
      <c r="N75" s="278"/>
      <c r="O75" s="23"/>
    </row>
    <row r="76" spans="2:15" s="3" customFormat="1" ht="29.25" customHeight="1" x14ac:dyDescent="0.3">
      <c r="B76" s="278"/>
      <c r="C76" s="278"/>
      <c r="D76" s="278"/>
      <c r="E76" s="200" t="s">
        <v>59</v>
      </c>
      <c r="F76" s="30">
        <v>67828440</v>
      </c>
      <c r="G76" s="30"/>
      <c r="H76" s="30"/>
      <c r="I76" s="30"/>
      <c r="J76" s="30">
        <v>2870953</v>
      </c>
      <c r="K76" s="31">
        <f>F76-J76</f>
        <v>64957487</v>
      </c>
      <c r="L76" s="265"/>
      <c r="M76" s="278"/>
      <c r="N76" s="278"/>
      <c r="O76" s="23"/>
    </row>
    <row r="77" spans="2:15" s="3" customFormat="1" ht="48.75" customHeight="1" x14ac:dyDescent="0.3">
      <c r="B77" s="278"/>
      <c r="C77" s="278"/>
      <c r="D77" s="278"/>
      <c r="E77" s="200" t="s">
        <v>60</v>
      </c>
      <c r="F77" s="30">
        <v>71466268</v>
      </c>
      <c r="G77" s="30">
        <v>1354734</v>
      </c>
      <c r="H77" s="30"/>
      <c r="I77" s="30"/>
      <c r="J77" s="30">
        <f>3186316+1354734</f>
        <v>4541050</v>
      </c>
      <c r="K77" s="31">
        <f>G77+F77-J77</f>
        <v>68279952</v>
      </c>
      <c r="L77" s="265"/>
      <c r="M77" s="278"/>
      <c r="N77" s="278"/>
      <c r="O77" s="23"/>
    </row>
    <row r="78" spans="2:15" s="3" customFormat="1" ht="54" customHeight="1" x14ac:dyDescent="0.3">
      <c r="B78" s="278"/>
      <c r="C78" s="278"/>
      <c r="D78" s="278"/>
      <c r="E78" s="200" t="s">
        <v>61</v>
      </c>
      <c r="F78" s="30">
        <v>31356119</v>
      </c>
      <c r="G78" s="30"/>
      <c r="H78" s="30"/>
      <c r="I78" s="30"/>
      <c r="J78" s="30">
        <v>1285096</v>
      </c>
      <c r="K78" s="31">
        <f>G78+F78-J78</f>
        <v>30071023</v>
      </c>
      <c r="L78" s="265"/>
      <c r="M78" s="278"/>
      <c r="N78" s="278"/>
      <c r="O78" s="23"/>
    </row>
    <row r="79" spans="2:15" s="3" customFormat="1" ht="36" customHeight="1" x14ac:dyDescent="0.3">
      <c r="B79" s="278"/>
      <c r="C79" s="278"/>
      <c r="D79" s="278"/>
      <c r="E79" s="147" t="s">
        <v>34</v>
      </c>
      <c r="F79" s="30">
        <v>1500000</v>
      </c>
      <c r="G79" s="30">
        <v>5100000</v>
      </c>
      <c r="H79" s="146"/>
      <c r="I79" s="42"/>
      <c r="J79" s="30"/>
      <c r="K79" s="31">
        <f>G79+F79</f>
        <v>6600000</v>
      </c>
      <c r="L79" s="265"/>
      <c r="M79" s="278"/>
      <c r="N79" s="278"/>
      <c r="O79" s="23"/>
    </row>
    <row r="80" spans="2:15" s="3" customFormat="1" ht="33" customHeight="1" x14ac:dyDescent="0.3">
      <c r="B80" s="278"/>
      <c r="C80" s="278"/>
      <c r="D80" s="278"/>
      <c r="E80" s="147" t="s">
        <v>54</v>
      </c>
      <c r="F80" s="30">
        <v>900000</v>
      </c>
      <c r="G80" s="30">
        <v>54000000</v>
      </c>
      <c r="H80" s="30"/>
      <c r="I80" s="30"/>
      <c r="J80" s="30">
        <v>406242</v>
      </c>
      <c r="K80" s="31">
        <f>G80+F80-J80</f>
        <v>54493758</v>
      </c>
      <c r="L80" s="265"/>
      <c r="M80" s="278"/>
      <c r="N80" s="278"/>
      <c r="O80" s="23"/>
    </row>
    <row r="81" spans="2:15" s="3" customFormat="1" ht="28.5" customHeight="1" x14ac:dyDescent="0.3">
      <c r="B81" s="278"/>
      <c r="C81" s="278"/>
      <c r="D81" s="278"/>
      <c r="E81" s="147" t="s">
        <v>25</v>
      </c>
      <c r="F81" s="30">
        <v>313667882</v>
      </c>
      <c r="G81" s="30">
        <v>19500383</v>
      </c>
      <c r="H81" s="30"/>
      <c r="I81" s="30"/>
      <c r="J81" s="30">
        <v>15143256</v>
      </c>
      <c r="K81" s="31">
        <f>G81+F81-J81</f>
        <v>318025009</v>
      </c>
      <c r="L81" s="265"/>
      <c r="M81" s="278"/>
      <c r="N81" s="278"/>
      <c r="O81" s="23"/>
    </row>
    <row r="82" spans="2:15" s="3" customFormat="1" ht="27" customHeight="1" x14ac:dyDescent="0.3">
      <c r="B82" s="278"/>
      <c r="C82" s="278"/>
      <c r="D82" s="278"/>
      <c r="E82" s="147" t="s">
        <v>40</v>
      </c>
      <c r="F82" s="30">
        <v>233300000</v>
      </c>
      <c r="G82" s="30"/>
      <c r="H82" s="30"/>
      <c r="I82" s="30"/>
      <c r="J82" s="30">
        <f>100000000+56985690</f>
        <v>156985690</v>
      </c>
      <c r="K82" s="31">
        <f>F82-J82</f>
        <v>76314310</v>
      </c>
      <c r="L82" s="265"/>
      <c r="M82" s="278"/>
      <c r="N82" s="278"/>
      <c r="O82" s="23"/>
    </row>
    <row r="83" spans="2:15" s="3" customFormat="1" ht="23.25" customHeight="1" x14ac:dyDescent="0.3">
      <c r="B83" s="278"/>
      <c r="C83" s="278"/>
      <c r="D83" s="278"/>
      <c r="E83" s="147" t="s">
        <v>62</v>
      </c>
      <c r="F83" s="30">
        <v>800000</v>
      </c>
      <c r="G83" s="30"/>
      <c r="H83" s="30"/>
      <c r="I83" s="30"/>
      <c r="J83" s="30">
        <v>800000</v>
      </c>
      <c r="K83" s="31">
        <f>F83-J83</f>
        <v>0</v>
      </c>
      <c r="L83" s="265"/>
      <c r="M83" s="278"/>
      <c r="N83" s="278"/>
      <c r="O83" s="23"/>
    </row>
    <row r="84" spans="2:15" s="3" customFormat="1" ht="38.25" customHeight="1" x14ac:dyDescent="0.3">
      <c r="B84" s="278"/>
      <c r="C84" s="278"/>
      <c r="D84" s="278"/>
      <c r="E84" s="186" t="s">
        <v>38</v>
      </c>
      <c r="F84" s="115">
        <v>64012500</v>
      </c>
      <c r="G84" s="115"/>
      <c r="H84" s="115"/>
      <c r="I84" s="115"/>
      <c r="J84" s="115"/>
      <c r="K84" s="31">
        <f>F84</f>
        <v>64012500</v>
      </c>
      <c r="L84" s="265"/>
      <c r="M84" s="278"/>
      <c r="N84" s="278"/>
      <c r="O84" s="23"/>
    </row>
    <row r="85" spans="2:15" s="3" customFormat="1" ht="50.25" customHeight="1" x14ac:dyDescent="0.3">
      <c r="B85" s="278"/>
      <c r="C85" s="278"/>
      <c r="D85" s="278"/>
      <c r="E85" s="147" t="s">
        <v>17</v>
      </c>
      <c r="F85" s="30">
        <v>70087813</v>
      </c>
      <c r="G85" s="30"/>
      <c r="H85" s="30"/>
      <c r="I85" s="30"/>
      <c r="J85" s="30"/>
      <c r="K85" s="31">
        <f>F85</f>
        <v>70087813</v>
      </c>
      <c r="L85" s="265"/>
      <c r="M85" s="278"/>
      <c r="N85" s="278"/>
      <c r="O85" s="23"/>
    </row>
    <row r="86" spans="2:15" s="3" customFormat="1" ht="47.25" customHeight="1" x14ac:dyDescent="0.3">
      <c r="B86" s="278"/>
      <c r="C86" s="278"/>
      <c r="D86" s="278"/>
      <c r="E86" s="147" t="s">
        <v>18</v>
      </c>
      <c r="F86" s="115">
        <v>2000000</v>
      </c>
      <c r="G86" s="115">
        <v>50000000</v>
      </c>
      <c r="H86" s="115"/>
      <c r="I86" s="115"/>
      <c r="J86" s="115"/>
      <c r="K86" s="31">
        <f>G86+F86</f>
        <v>52000000</v>
      </c>
      <c r="L86" s="265"/>
      <c r="M86" s="278"/>
      <c r="N86" s="278"/>
      <c r="O86" s="23"/>
    </row>
    <row r="87" spans="2:15" s="3" customFormat="1" ht="32.25" customHeight="1" x14ac:dyDescent="0.3">
      <c r="B87" s="278"/>
      <c r="C87" s="278"/>
      <c r="D87" s="278"/>
      <c r="E87" s="147" t="s">
        <v>63</v>
      </c>
      <c r="F87" s="30">
        <v>287037691</v>
      </c>
      <c r="G87" s="30">
        <v>399979800</v>
      </c>
      <c r="H87" s="30"/>
      <c r="I87" s="30">
        <v>1933880</v>
      </c>
      <c r="J87" s="115"/>
      <c r="K87" s="31">
        <f>G87+F87+I87</f>
        <v>688951371</v>
      </c>
      <c r="L87" s="265"/>
      <c r="M87" s="278"/>
      <c r="N87" s="278"/>
      <c r="O87" s="23"/>
    </row>
    <row r="88" spans="2:15" s="3" customFormat="1" ht="30.75" customHeight="1" x14ac:dyDescent="0.3">
      <c r="B88" s="278"/>
      <c r="C88" s="278"/>
      <c r="D88" s="278"/>
      <c r="E88" s="147" t="s">
        <v>30</v>
      </c>
      <c r="F88" s="30">
        <v>19000000</v>
      </c>
      <c r="G88" s="30"/>
      <c r="H88" s="30"/>
      <c r="I88" s="30">
        <v>27000000</v>
      </c>
      <c r="J88" s="30"/>
      <c r="K88" s="31">
        <f>F88+I88</f>
        <v>46000000</v>
      </c>
      <c r="L88" s="265"/>
      <c r="M88" s="278"/>
      <c r="N88" s="278"/>
      <c r="O88" s="23"/>
    </row>
    <row r="89" spans="2:15" s="3" customFormat="1" ht="30" customHeight="1" x14ac:dyDescent="0.3">
      <c r="B89" s="278"/>
      <c r="C89" s="278"/>
      <c r="D89" s="278"/>
      <c r="E89" s="147" t="s">
        <v>64</v>
      </c>
      <c r="F89" s="148">
        <v>31320000</v>
      </c>
      <c r="G89" s="148"/>
      <c r="H89" s="148"/>
      <c r="I89" s="148"/>
      <c r="J89" s="148">
        <v>1064748</v>
      </c>
      <c r="K89" s="31">
        <f>F89-J89</f>
        <v>30255252</v>
      </c>
      <c r="L89" s="265"/>
      <c r="M89" s="278"/>
      <c r="N89" s="278"/>
      <c r="O89" s="23"/>
    </row>
    <row r="90" spans="2:15" s="3" customFormat="1" ht="25.5" customHeight="1" x14ac:dyDescent="0.3">
      <c r="B90" s="278"/>
      <c r="C90" s="278"/>
      <c r="D90" s="278"/>
      <c r="E90" s="189" t="s">
        <v>31</v>
      </c>
      <c r="F90" s="115">
        <v>54750000</v>
      </c>
      <c r="G90" s="115"/>
      <c r="H90" s="115"/>
      <c r="I90" s="115"/>
      <c r="J90" s="115"/>
      <c r="K90" s="31">
        <f>F90</f>
        <v>54750000</v>
      </c>
      <c r="L90" s="265"/>
      <c r="M90" s="278"/>
      <c r="N90" s="278"/>
    </row>
    <row r="91" spans="2:15" s="3" customFormat="1" ht="23.25" customHeight="1" x14ac:dyDescent="0.3">
      <c r="B91" s="278"/>
      <c r="C91" s="278"/>
      <c r="D91" s="278"/>
      <c r="E91" s="189" t="s">
        <v>65</v>
      </c>
      <c r="F91" s="115"/>
      <c r="G91" s="115">
        <v>6600000</v>
      </c>
      <c r="H91" s="115"/>
      <c r="I91" s="20"/>
      <c r="J91" s="115"/>
      <c r="K91" s="149">
        <f>G91</f>
        <v>6600000</v>
      </c>
      <c r="L91" s="265"/>
      <c r="M91" s="278"/>
      <c r="N91" s="278"/>
    </row>
    <row r="92" spans="2:15" s="3" customFormat="1" ht="28.5" customHeight="1" x14ac:dyDescent="0.3">
      <c r="B92" s="278"/>
      <c r="C92" s="278"/>
      <c r="D92" s="278"/>
      <c r="E92" s="189" t="s">
        <v>66</v>
      </c>
      <c r="F92" s="115"/>
      <c r="G92" s="115">
        <v>238025343</v>
      </c>
      <c r="H92" s="115"/>
      <c r="I92" s="20"/>
      <c r="J92" s="115"/>
      <c r="K92" s="149">
        <f t="shared" ref="K92:K97" si="2">G92</f>
        <v>238025343</v>
      </c>
      <c r="L92" s="265"/>
      <c r="M92" s="278"/>
      <c r="N92" s="278"/>
    </row>
    <row r="93" spans="2:15" s="3" customFormat="1" ht="37.5" customHeight="1" x14ac:dyDescent="0.3">
      <c r="B93" s="278"/>
      <c r="C93" s="278"/>
      <c r="D93" s="278"/>
      <c r="E93" s="189" t="s">
        <v>67</v>
      </c>
      <c r="F93" s="115"/>
      <c r="G93" s="115">
        <v>3000000</v>
      </c>
      <c r="H93" s="115"/>
      <c r="I93" s="20"/>
      <c r="J93" s="115"/>
      <c r="K93" s="149">
        <f t="shared" si="2"/>
        <v>3000000</v>
      </c>
      <c r="L93" s="265"/>
      <c r="M93" s="278"/>
      <c r="N93" s="278"/>
    </row>
    <row r="94" spans="2:15" s="3" customFormat="1" ht="43.5" customHeight="1" x14ac:dyDescent="0.3">
      <c r="B94" s="278"/>
      <c r="C94" s="278"/>
      <c r="D94" s="278"/>
      <c r="E94" s="189" t="s">
        <v>45</v>
      </c>
      <c r="F94" s="115"/>
      <c r="G94" s="115">
        <v>162188878</v>
      </c>
      <c r="H94" s="115"/>
      <c r="I94" s="115"/>
      <c r="J94" s="115">
        <v>2544682</v>
      </c>
      <c r="K94" s="149">
        <f>G94-J94</f>
        <v>159644196</v>
      </c>
      <c r="L94" s="265"/>
      <c r="M94" s="278"/>
      <c r="N94" s="278"/>
    </row>
    <row r="95" spans="2:15" s="3" customFormat="1" ht="34.5" customHeight="1" x14ac:dyDescent="0.3">
      <c r="B95" s="278"/>
      <c r="C95" s="278"/>
      <c r="D95" s="278"/>
      <c r="E95" s="189" t="s">
        <v>68</v>
      </c>
      <c r="F95" s="115"/>
      <c r="G95" s="115">
        <v>2400000</v>
      </c>
      <c r="H95" s="115"/>
      <c r="I95" s="115"/>
      <c r="J95" s="115"/>
      <c r="K95" s="149">
        <f t="shared" si="2"/>
        <v>2400000</v>
      </c>
      <c r="L95" s="265"/>
      <c r="M95" s="278"/>
      <c r="N95" s="278"/>
    </row>
    <row r="96" spans="2:15" s="3" customFormat="1" ht="37.5" customHeight="1" x14ac:dyDescent="0.3">
      <c r="B96" s="278"/>
      <c r="C96" s="278"/>
      <c r="D96" s="278"/>
      <c r="E96" s="189" t="s">
        <v>49</v>
      </c>
      <c r="F96" s="115"/>
      <c r="G96" s="115">
        <v>7300000</v>
      </c>
      <c r="H96" s="115"/>
      <c r="I96" s="115"/>
      <c r="J96" s="115"/>
      <c r="K96" s="149">
        <f t="shared" si="2"/>
        <v>7300000</v>
      </c>
      <c r="L96" s="265"/>
      <c r="M96" s="278"/>
      <c r="N96" s="278"/>
    </row>
    <row r="97" spans="2:15" s="3" customFormat="1" ht="30.75" customHeight="1" x14ac:dyDescent="0.3">
      <c r="B97" s="278"/>
      <c r="C97" s="278"/>
      <c r="D97" s="278"/>
      <c r="E97" s="189" t="s">
        <v>69</v>
      </c>
      <c r="F97" s="115"/>
      <c r="G97" s="115">
        <v>14980000</v>
      </c>
      <c r="H97" s="115"/>
      <c r="I97" s="115"/>
      <c r="J97" s="115"/>
      <c r="K97" s="149">
        <f t="shared" si="2"/>
        <v>14980000</v>
      </c>
      <c r="L97" s="265"/>
      <c r="M97" s="278"/>
      <c r="N97" s="278"/>
    </row>
    <row r="98" spans="2:15" s="3" customFormat="1" ht="25.5" customHeight="1" x14ac:dyDescent="0.3">
      <c r="B98" s="279"/>
      <c r="C98" s="279"/>
      <c r="D98" s="279"/>
      <c r="E98" s="189" t="s">
        <v>71</v>
      </c>
      <c r="F98" s="115"/>
      <c r="G98" s="115"/>
      <c r="H98" s="115"/>
      <c r="I98" s="115">
        <v>71066120</v>
      </c>
      <c r="J98" s="115"/>
      <c r="K98" s="149">
        <f>I98</f>
        <v>71066120</v>
      </c>
      <c r="L98" s="266"/>
      <c r="M98" s="279"/>
      <c r="N98" s="279"/>
    </row>
    <row r="99" spans="2:15" s="3" customFormat="1" ht="91.5" customHeight="1" x14ac:dyDescent="0.3">
      <c r="B99" s="255" t="s">
        <v>10</v>
      </c>
      <c r="C99" s="109" t="s">
        <v>55</v>
      </c>
      <c r="D99" s="109" t="s">
        <v>70</v>
      </c>
      <c r="E99" s="201" t="s">
        <v>71</v>
      </c>
      <c r="F99" s="30">
        <v>740926482</v>
      </c>
      <c r="G99" s="30"/>
      <c r="H99" s="30"/>
      <c r="I99" s="30">
        <v>71066120</v>
      </c>
      <c r="J99" s="30"/>
      <c r="K99" s="30">
        <f>F99</f>
        <v>740926482</v>
      </c>
      <c r="L99" s="31">
        <f>F99</f>
        <v>740926482</v>
      </c>
      <c r="M99" s="109" t="s">
        <v>233</v>
      </c>
      <c r="N99" s="109" t="s">
        <v>235</v>
      </c>
    </row>
    <row r="100" spans="2:15" s="3" customFormat="1" ht="52.8" x14ac:dyDescent="0.3">
      <c r="B100" s="255" t="s">
        <v>10</v>
      </c>
      <c r="C100" s="109" t="s">
        <v>55</v>
      </c>
      <c r="D100" s="109" t="s">
        <v>72</v>
      </c>
      <c r="E100" s="200" t="s">
        <v>73</v>
      </c>
      <c r="F100" s="30">
        <v>770046048</v>
      </c>
      <c r="G100" s="30">
        <v>770046048</v>
      </c>
      <c r="H100" s="30"/>
      <c r="I100" s="30"/>
      <c r="J100" s="30"/>
      <c r="K100" s="30">
        <f>G100+F100</f>
        <v>1540092096</v>
      </c>
      <c r="L100" s="31">
        <f>K100</f>
        <v>1540092096</v>
      </c>
      <c r="M100" s="109" t="s">
        <v>233</v>
      </c>
      <c r="N100" s="109" t="s">
        <v>235</v>
      </c>
      <c r="O100" s="24"/>
    </row>
    <row r="101" spans="2:15" s="3" customFormat="1" ht="154.5" customHeight="1" x14ac:dyDescent="0.3">
      <c r="B101" s="255" t="s">
        <v>10</v>
      </c>
      <c r="C101" s="98" t="s">
        <v>55</v>
      </c>
      <c r="D101" s="98" t="s">
        <v>210</v>
      </c>
      <c r="E101" s="200" t="s">
        <v>17</v>
      </c>
      <c r="F101" s="30">
        <v>113340432</v>
      </c>
      <c r="G101" s="30"/>
      <c r="H101" s="30"/>
      <c r="I101" s="30"/>
      <c r="J101" s="30"/>
      <c r="K101" s="30">
        <f>F101</f>
        <v>113340432</v>
      </c>
      <c r="L101" s="107">
        <f>K101</f>
        <v>113340432</v>
      </c>
      <c r="M101" s="98" t="s">
        <v>233</v>
      </c>
      <c r="N101" s="98" t="s">
        <v>236</v>
      </c>
      <c r="O101" s="24"/>
    </row>
    <row r="102" spans="2:15" s="3" customFormat="1" ht="33" customHeight="1" x14ac:dyDescent="0.3">
      <c r="B102" s="273" t="s">
        <v>10</v>
      </c>
      <c r="C102" s="273" t="s">
        <v>74</v>
      </c>
      <c r="D102" s="273" t="s">
        <v>75</v>
      </c>
      <c r="E102" s="194" t="s">
        <v>76</v>
      </c>
      <c r="F102" s="33">
        <v>45000000</v>
      </c>
      <c r="G102" s="33"/>
      <c r="H102" s="33"/>
      <c r="I102" s="33">
        <v>50000000</v>
      </c>
      <c r="J102" s="33"/>
      <c r="K102" s="33">
        <f>F102+I102</f>
        <v>95000000</v>
      </c>
      <c r="L102" s="267">
        <f>SUM(K102:K109)</f>
        <v>819913600</v>
      </c>
      <c r="M102" s="273" t="s">
        <v>220</v>
      </c>
      <c r="N102" s="273" t="s">
        <v>237</v>
      </c>
      <c r="O102" s="24"/>
    </row>
    <row r="103" spans="2:15" s="3" customFormat="1" ht="33" customHeight="1" x14ac:dyDescent="0.3">
      <c r="B103" s="274"/>
      <c r="C103" s="274"/>
      <c r="D103" s="274"/>
      <c r="E103" s="194" t="s">
        <v>25</v>
      </c>
      <c r="F103" s="33">
        <v>240000000</v>
      </c>
      <c r="G103" s="33"/>
      <c r="H103" s="33"/>
      <c r="I103" s="33"/>
      <c r="J103" s="33">
        <v>85000000</v>
      </c>
      <c r="K103" s="33">
        <f t="shared" ref="K103:K110" si="3">F103-J103</f>
        <v>155000000</v>
      </c>
      <c r="L103" s="268"/>
      <c r="M103" s="274"/>
      <c r="N103" s="274"/>
      <c r="O103" s="24"/>
    </row>
    <row r="104" spans="2:15" s="3" customFormat="1" ht="33" customHeight="1" x14ac:dyDescent="0.3">
      <c r="B104" s="274"/>
      <c r="C104" s="274"/>
      <c r="D104" s="274"/>
      <c r="E104" s="194" t="s">
        <v>40</v>
      </c>
      <c r="F104" s="33">
        <v>240000000</v>
      </c>
      <c r="G104" s="33"/>
      <c r="H104" s="33"/>
      <c r="I104" s="33"/>
      <c r="J104" s="33">
        <v>90000000</v>
      </c>
      <c r="K104" s="33">
        <f t="shared" si="3"/>
        <v>150000000</v>
      </c>
      <c r="L104" s="268"/>
      <c r="M104" s="274"/>
      <c r="N104" s="274"/>
      <c r="O104" s="24"/>
    </row>
    <row r="105" spans="2:15" s="3" customFormat="1" ht="33" customHeight="1" x14ac:dyDescent="0.3">
      <c r="B105" s="274"/>
      <c r="C105" s="274"/>
      <c r="D105" s="274"/>
      <c r="E105" s="192" t="s">
        <v>27</v>
      </c>
      <c r="F105" s="33">
        <v>60000000</v>
      </c>
      <c r="G105" s="33"/>
      <c r="H105" s="33"/>
      <c r="I105" s="33"/>
      <c r="J105" s="33">
        <v>45000000</v>
      </c>
      <c r="K105" s="33">
        <f t="shared" si="3"/>
        <v>15000000</v>
      </c>
      <c r="L105" s="268"/>
      <c r="M105" s="274"/>
      <c r="N105" s="274"/>
      <c r="O105" s="24"/>
    </row>
    <row r="106" spans="2:15" s="3" customFormat="1" ht="33" customHeight="1" x14ac:dyDescent="0.3">
      <c r="B106" s="274"/>
      <c r="C106" s="274"/>
      <c r="D106" s="274"/>
      <c r="E106" s="192" t="s">
        <v>38</v>
      </c>
      <c r="F106" s="33">
        <v>606227306</v>
      </c>
      <c r="G106" s="33"/>
      <c r="H106" s="33"/>
      <c r="I106" s="33"/>
      <c r="J106" s="33">
        <f>55000000+151313706</f>
        <v>206313706</v>
      </c>
      <c r="K106" s="33">
        <f t="shared" si="3"/>
        <v>399913600</v>
      </c>
      <c r="L106" s="268"/>
      <c r="M106" s="274"/>
      <c r="N106" s="274"/>
      <c r="O106" s="24"/>
    </row>
    <row r="107" spans="2:15" s="3" customFormat="1" ht="33" customHeight="1" x14ac:dyDescent="0.3">
      <c r="B107" s="274"/>
      <c r="C107" s="274"/>
      <c r="D107" s="274"/>
      <c r="E107" s="194" t="s">
        <v>29</v>
      </c>
      <c r="F107" s="33">
        <v>40000000</v>
      </c>
      <c r="G107" s="33"/>
      <c r="H107" s="33"/>
      <c r="I107" s="33"/>
      <c r="J107" s="33">
        <v>38000000</v>
      </c>
      <c r="K107" s="33">
        <f t="shared" si="3"/>
        <v>2000000</v>
      </c>
      <c r="L107" s="268"/>
      <c r="M107" s="274"/>
      <c r="N107" s="274"/>
      <c r="O107" s="24"/>
    </row>
    <row r="108" spans="2:15" s="3" customFormat="1" ht="33" customHeight="1" x14ac:dyDescent="0.3">
      <c r="B108" s="274"/>
      <c r="C108" s="274"/>
      <c r="D108" s="274"/>
      <c r="E108" s="194" t="s">
        <v>17</v>
      </c>
      <c r="F108" s="33">
        <v>20000000</v>
      </c>
      <c r="G108" s="33"/>
      <c r="H108" s="33"/>
      <c r="I108" s="33"/>
      <c r="J108" s="33">
        <v>20000000</v>
      </c>
      <c r="K108" s="33">
        <f t="shared" si="3"/>
        <v>0</v>
      </c>
      <c r="L108" s="268"/>
      <c r="M108" s="274"/>
      <c r="N108" s="274"/>
      <c r="O108" s="24"/>
    </row>
    <row r="109" spans="2:15" s="3" customFormat="1" ht="43.5" customHeight="1" x14ac:dyDescent="0.3">
      <c r="B109" s="275"/>
      <c r="C109" s="275"/>
      <c r="D109" s="275"/>
      <c r="E109" s="194" t="s">
        <v>77</v>
      </c>
      <c r="F109" s="33">
        <v>20000000</v>
      </c>
      <c r="G109" s="33"/>
      <c r="H109" s="33"/>
      <c r="I109" s="33"/>
      <c r="J109" s="33">
        <v>17000000</v>
      </c>
      <c r="K109" s="33">
        <f t="shared" si="3"/>
        <v>3000000</v>
      </c>
      <c r="L109" s="269"/>
      <c r="M109" s="275"/>
      <c r="N109" s="275"/>
    </row>
    <row r="110" spans="2:15" s="3" customFormat="1" ht="33" customHeight="1" x14ac:dyDescent="0.3">
      <c r="B110" s="277" t="s">
        <v>10</v>
      </c>
      <c r="C110" s="277" t="s">
        <v>78</v>
      </c>
      <c r="D110" s="277" t="s">
        <v>79</v>
      </c>
      <c r="E110" s="202" t="s">
        <v>65</v>
      </c>
      <c r="F110" s="150">
        <v>101250000</v>
      </c>
      <c r="G110" s="150"/>
      <c r="H110" s="150"/>
      <c r="I110" s="150"/>
      <c r="J110" s="150">
        <v>20782200</v>
      </c>
      <c r="K110" s="150">
        <f t="shared" si="3"/>
        <v>80467800</v>
      </c>
      <c r="L110" s="264">
        <f>SUM(K110:K117)</f>
        <v>958631411</v>
      </c>
      <c r="M110" s="277" t="s">
        <v>238</v>
      </c>
      <c r="N110" s="277" t="s">
        <v>239</v>
      </c>
    </row>
    <row r="111" spans="2:15" s="3" customFormat="1" ht="33" customHeight="1" x14ac:dyDescent="0.3">
      <c r="B111" s="278"/>
      <c r="C111" s="278"/>
      <c r="D111" s="278"/>
      <c r="E111" s="147" t="s">
        <v>25</v>
      </c>
      <c r="F111" s="30">
        <v>12790000</v>
      </c>
      <c r="G111" s="30"/>
      <c r="H111" s="30"/>
      <c r="I111" s="30">
        <v>57210000</v>
      </c>
      <c r="J111" s="30"/>
      <c r="K111" s="150">
        <f>F111+I111</f>
        <v>70000000</v>
      </c>
      <c r="L111" s="265"/>
      <c r="M111" s="278"/>
      <c r="N111" s="278"/>
    </row>
    <row r="112" spans="2:15" s="3" customFormat="1" ht="33" customHeight="1" x14ac:dyDescent="0.3">
      <c r="B112" s="278"/>
      <c r="C112" s="278"/>
      <c r="D112" s="278"/>
      <c r="E112" s="203" t="s">
        <v>27</v>
      </c>
      <c r="F112" s="151">
        <v>2900000</v>
      </c>
      <c r="G112" s="151"/>
      <c r="H112" s="151"/>
      <c r="I112" s="30">
        <v>35000000</v>
      </c>
      <c r="J112" s="30"/>
      <c r="K112" s="150">
        <f>F112+I112</f>
        <v>37900000</v>
      </c>
      <c r="L112" s="265"/>
      <c r="M112" s="278"/>
      <c r="N112" s="278"/>
    </row>
    <row r="113" spans="2:15" s="3" customFormat="1" ht="33" customHeight="1" x14ac:dyDescent="0.3">
      <c r="B113" s="278"/>
      <c r="C113" s="278"/>
      <c r="D113" s="278"/>
      <c r="E113" s="186" t="s">
        <v>38</v>
      </c>
      <c r="F113" s="115">
        <v>185000000</v>
      </c>
      <c r="G113" s="115"/>
      <c r="H113" s="115"/>
      <c r="I113" s="115"/>
      <c r="J113" s="115">
        <f>57210000+18556960</f>
        <v>75766960</v>
      </c>
      <c r="K113" s="150">
        <f>F113-J113</f>
        <v>109233040</v>
      </c>
      <c r="L113" s="265"/>
      <c r="M113" s="278"/>
      <c r="N113" s="278"/>
    </row>
    <row r="114" spans="2:15" s="3" customFormat="1" ht="33" customHeight="1" x14ac:dyDescent="0.3">
      <c r="B114" s="278"/>
      <c r="C114" s="278"/>
      <c r="D114" s="278"/>
      <c r="E114" s="199" t="s">
        <v>73</v>
      </c>
      <c r="F114" s="145">
        <v>124500000</v>
      </c>
      <c r="G114" s="145"/>
      <c r="H114" s="145"/>
      <c r="I114" s="30">
        <v>39339160</v>
      </c>
      <c r="J114" s="30"/>
      <c r="K114" s="150">
        <f>F114+I114</f>
        <v>163839160</v>
      </c>
      <c r="L114" s="265"/>
      <c r="M114" s="278"/>
      <c r="N114" s="278"/>
    </row>
    <row r="115" spans="2:15" s="3" customFormat="1" ht="16.5" customHeight="1" x14ac:dyDescent="0.3">
      <c r="B115" s="278"/>
      <c r="C115" s="278"/>
      <c r="D115" s="278"/>
      <c r="E115" s="185" t="s">
        <v>71</v>
      </c>
      <c r="F115" s="30">
        <v>477191411</v>
      </c>
      <c r="G115" s="30"/>
      <c r="H115" s="30"/>
      <c r="I115" s="30"/>
      <c r="J115" s="30"/>
      <c r="K115" s="150">
        <f>F115</f>
        <v>477191411</v>
      </c>
      <c r="L115" s="265"/>
      <c r="M115" s="278"/>
      <c r="N115" s="278"/>
    </row>
    <row r="116" spans="2:15" s="3" customFormat="1" ht="16.5" customHeight="1" x14ac:dyDescent="0.3">
      <c r="B116" s="278"/>
      <c r="C116" s="278"/>
      <c r="D116" s="278"/>
      <c r="E116" s="186" t="s">
        <v>40</v>
      </c>
      <c r="F116" s="30"/>
      <c r="G116" s="30"/>
      <c r="H116" s="30"/>
      <c r="I116" s="30">
        <v>5000000</v>
      </c>
      <c r="J116" s="30"/>
      <c r="K116" s="150">
        <f>I116</f>
        <v>5000000</v>
      </c>
      <c r="L116" s="265"/>
      <c r="M116" s="278"/>
      <c r="N116" s="278"/>
    </row>
    <row r="117" spans="2:15" s="3" customFormat="1" ht="36" customHeight="1" x14ac:dyDescent="0.3">
      <c r="B117" s="279"/>
      <c r="C117" s="279"/>
      <c r="D117" s="279"/>
      <c r="E117" s="186" t="s">
        <v>17</v>
      </c>
      <c r="F117" s="30"/>
      <c r="G117" s="30"/>
      <c r="H117" s="30"/>
      <c r="I117" s="30">
        <v>15000000</v>
      </c>
      <c r="J117" s="30"/>
      <c r="K117" s="150">
        <f>I117</f>
        <v>15000000</v>
      </c>
      <c r="L117" s="266"/>
      <c r="M117" s="279"/>
      <c r="N117" s="279"/>
    </row>
    <row r="118" spans="2:15" s="3" customFormat="1" ht="28.5" customHeight="1" x14ac:dyDescent="0.3">
      <c r="B118" s="273" t="s">
        <v>10</v>
      </c>
      <c r="C118" s="273" t="s">
        <v>80</v>
      </c>
      <c r="D118" s="273" t="s">
        <v>81</v>
      </c>
      <c r="E118" s="193" t="s">
        <v>25</v>
      </c>
      <c r="F118" s="33">
        <v>39017217</v>
      </c>
      <c r="G118" s="33"/>
      <c r="H118" s="33"/>
      <c r="I118" s="33"/>
      <c r="J118" s="33"/>
      <c r="K118" s="33">
        <f>F118</f>
        <v>39017217</v>
      </c>
      <c r="L118" s="267">
        <f>SUM(K118:K125)</f>
        <v>235587841</v>
      </c>
      <c r="M118" s="273" t="s">
        <v>220</v>
      </c>
      <c r="N118" s="273" t="s">
        <v>240</v>
      </c>
    </row>
    <row r="119" spans="2:15" s="3" customFormat="1" ht="16.5" customHeight="1" x14ac:dyDescent="0.3">
      <c r="B119" s="274"/>
      <c r="C119" s="274"/>
      <c r="D119" s="274"/>
      <c r="E119" s="192" t="s">
        <v>40</v>
      </c>
      <c r="F119" s="152">
        <v>8326438</v>
      </c>
      <c r="G119" s="152"/>
      <c r="H119" s="152"/>
      <c r="I119" s="152"/>
      <c r="J119" s="152"/>
      <c r="K119" s="33">
        <f t="shared" ref="K119:K124" si="4">F119</f>
        <v>8326438</v>
      </c>
      <c r="L119" s="268"/>
      <c r="M119" s="274"/>
      <c r="N119" s="274"/>
    </row>
    <row r="120" spans="2:15" s="3" customFormat="1" ht="16.5" customHeight="1" x14ac:dyDescent="0.3">
      <c r="B120" s="274"/>
      <c r="C120" s="274"/>
      <c r="D120" s="274"/>
      <c r="E120" s="190" t="s">
        <v>62</v>
      </c>
      <c r="F120" s="33">
        <v>1000000</v>
      </c>
      <c r="G120" s="33"/>
      <c r="H120" s="33"/>
      <c r="I120" s="33"/>
      <c r="J120" s="33"/>
      <c r="K120" s="33">
        <f t="shared" si="4"/>
        <v>1000000</v>
      </c>
      <c r="L120" s="268"/>
      <c r="M120" s="274"/>
      <c r="N120" s="274"/>
    </row>
    <row r="121" spans="2:15" s="3" customFormat="1" ht="16.5" customHeight="1" x14ac:dyDescent="0.3">
      <c r="B121" s="274"/>
      <c r="C121" s="274"/>
      <c r="D121" s="274"/>
      <c r="E121" s="190" t="s">
        <v>27</v>
      </c>
      <c r="F121" s="33">
        <v>2000000</v>
      </c>
      <c r="G121" s="33"/>
      <c r="H121" s="33"/>
      <c r="I121" s="33"/>
      <c r="J121" s="33"/>
      <c r="K121" s="33">
        <f t="shared" si="4"/>
        <v>2000000</v>
      </c>
      <c r="L121" s="268"/>
      <c r="M121" s="274"/>
      <c r="N121" s="274"/>
    </row>
    <row r="122" spans="2:15" s="3" customFormat="1" ht="28.5" customHeight="1" x14ac:dyDescent="0.3">
      <c r="B122" s="274"/>
      <c r="C122" s="274"/>
      <c r="D122" s="274"/>
      <c r="E122" s="192" t="s">
        <v>38</v>
      </c>
      <c r="F122" s="126">
        <v>240000000</v>
      </c>
      <c r="G122" s="126"/>
      <c r="H122" s="126"/>
      <c r="I122" s="126"/>
      <c r="J122" s="126">
        <v>100000000</v>
      </c>
      <c r="K122" s="33">
        <f>F122-J122</f>
        <v>140000000</v>
      </c>
      <c r="L122" s="268"/>
      <c r="M122" s="274"/>
      <c r="N122" s="274"/>
    </row>
    <row r="123" spans="2:15" s="3" customFormat="1" ht="21" customHeight="1" x14ac:dyDescent="0.3">
      <c r="B123" s="274"/>
      <c r="C123" s="274"/>
      <c r="D123" s="274"/>
      <c r="E123" s="190" t="s">
        <v>29</v>
      </c>
      <c r="F123" s="33">
        <v>2000000</v>
      </c>
      <c r="G123" s="33"/>
      <c r="H123" s="33"/>
      <c r="I123" s="33"/>
      <c r="J123" s="33"/>
      <c r="K123" s="33">
        <f t="shared" si="4"/>
        <v>2000000</v>
      </c>
      <c r="L123" s="268"/>
      <c r="M123" s="274"/>
      <c r="N123" s="274"/>
    </row>
    <row r="124" spans="2:15" s="3" customFormat="1" ht="47.25" customHeight="1" x14ac:dyDescent="0.3">
      <c r="B124" s="274"/>
      <c r="C124" s="274"/>
      <c r="D124" s="274"/>
      <c r="E124" s="190" t="s">
        <v>18</v>
      </c>
      <c r="F124" s="152">
        <v>2000000</v>
      </c>
      <c r="G124" s="152"/>
      <c r="H124" s="152"/>
      <c r="I124" s="152"/>
      <c r="J124" s="152"/>
      <c r="K124" s="33">
        <f t="shared" si="4"/>
        <v>2000000</v>
      </c>
      <c r="L124" s="268"/>
      <c r="M124" s="274"/>
      <c r="N124" s="274"/>
    </row>
    <row r="125" spans="2:15" s="3" customFormat="1" ht="24.75" customHeight="1" x14ac:dyDescent="0.3">
      <c r="B125" s="275"/>
      <c r="C125" s="275"/>
      <c r="D125" s="275"/>
      <c r="E125" s="190" t="s">
        <v>63</v>
      </c>
      <c r="F125" s="125">
        <v>376244186</v>
      </c>
      <c r="G125" s="125"/>
      <c r="H125" s="125"/>
      <c r="I125" s="125"/>
      <c r="J125" s="125">
        <f>235000000+100000000</f>
        <v>335000000</v>
      </c>
      <c r="K125" s="125">
        <f>F125-J125</f>
        <v>41244186</v>
      </c>
      <c r="L125" s="269"/>
      <c r="M125" s="275"/>
      <c r="N125" s="275"/>
    </row>
    <row r="126" spans="2:15" s="3" customFormat="1" ht="66" customHeight="1" x14ac:dyDescent="0.3">
      <c r="B126" s="273" t="s">
        <v>10</v>
      </c>
      <c r="C126" s="273" t="s">
        <v>80</v>
      </c>
      <c r="D126" s="273" t="s">
        <v>82</v>
      </c>
      <c r="E126" s="204" t="s">
        <v>63</v>
      </c>
      <c r="F126" s="125">
        <v>38208684</v>
      </c>
      <c r="G126" s="125"/>
      <c r="H126" s="125"/>
      <c r="I126" s="125"/>
      <c r="J126" s="125"/>
      <c r="K126" s="125">
        <f>F126</f>
        <v>38208684</v>
      </c>
      <c r="L126" s="267">
        <f>SUM(K126:K127)</f>
        <v>154129572</v>
      </c>
      <c r="M126" s="273" t="s">
        <v>241</v>
      </c>
      <c r="N126" s="273" t="s">
        <v>242</v>
      </c>
    </row>
    <row r="127" spans="2:15" s="3" customFormat="1" ht="86.25" customHeight="1" x14ac:dyDescent="0.3">
      <c r="B127" s="275"/>
      <c r="C127" s="275"/>
      <c r="D127" s="275"/>
      <c r="E127" s="205" t="s">
        <v>73</v>
      </c>
      <c r="F127" s="33">
        <v>115920888</v>
      </c>
      <c r="G127" s="33"/>
      <c r="H127" s="33"/>
      <c r="I127" s="33"/>
      <c r="J127" s="33"/>
      <c r="K127" s="125">
        <f>F127</f>
        <v>115920888</v>
      </c>
      <c r="L127" s="269"/>
      <c r="M127" s="275"/>
      <c r="N127" s="275"/>
    </row>
    <row r="128" spans="2:15" s="3" customFormat="1" ht="39.6" x14ac:dyDescent="0.3">
      <c r="B128" s="34" t="s">
        <v>10</v>
      </c>
      <c r="C128" s="95" t="s">
        <v>80</v>
      </c>
      <c r="D128" s="95" t="s">
        <v>83</v>
      </c>
      <c r="E128" s="176" t="s">
        <v>38</v>
      </c>
      <c r="F128" s="126">
        <v>215885576</v>
      </c>
      <c r="G128" s="126"/>
      <c r="H128" s="126"/>
      <c r="I128" s="126"/>
      <c r="J128" s="126">
        <v>150000000</v>
      </c>
      <c r="K128" s="125">
        <f>F128-J128</f>
        <v>65885576</v>
      </c>
      <c r="L128" s="35">
        <f>F128-J128</f>
        <v>65885576</v>
      </c>
      <c r="M128" s="95" t="s">
        <v>220</v>
      </c>
      <c r="N128" s="95" t="s">
        <v>232</v>
      </c>
      <c r="O128" s="23"/>
    </row>
    <row r="129" spans="2:15" s="3" customFormat="1" ht="39.6" x14ac:dyDescent="0.3">
      <c r="B129" s="34" t="s">
        <v>10</v>
      </c>
      <c r="C129" s="96" t="s">
        <v>80</v>
      </c>
      <c r="D129" s="96" t="s">
        <v>202</v>
      </c>
      <c r="E129" s="176" t="s">
        <v>38</v>
      </c>
      <c r="F129" s="126">
        <v>646376900</v>
      </c>
      <c r="G129" s="126"/>
      <c r="H129" s="126"/>
      <c r="I129" s="126"/>
      <c r="J129" s="126"/>
      <c r="K129" s="125">
        <f>F129</f>
        <v>646376900</v>
      </c>
      <c r="L129" s="106">
        <f>K129</f>
        <v>646376900</v>
      </c>
      <c r="M129" s="96" t="s">
        <v>243</v>
      </c>
      <c r="N129" s="96" t="s">
        <v>244</v>
      </c>
      <c r="O129" s="23"/>
    </row>
    <row r="130" spans="2:15" s="3" customFormat="1" ht="61.5" customHeight="1" x14ac:dyDescent="0.3">
      <c r="B130" s="277" t="s">
        <v>10</v>
      </c>
      <c r="C130" s="277" t="s">
        <v>84</v>
      </c>
      <c r="D130" s="277" t="s">
        <v>85</v>
      </c>
      <c r="E130" s="186" t="s">
        <v>38</v>
      </c>
      <c r="F130" s="115">
        <v>831128056</v>
      </c>
      <c r="G130" s="115"/>
      <c r="H130" s="115"/>
      <c r="I130" s="115"/>
      <c r="J130" s="115">
        <v>215893480</v>
      </c>
      <c r="K130" s="115">
        <f>F130-J130</f>
        <v>615234576</v>
      </c>
      <c r="L130" s="264">
        <f>SUM(K130:K131)</f>
        <v>730234576</v>
      </c>
      <c r="M130" s="277" t="s">
        <v>220</v>
      </c>
      <c r="N130" s="277" t="s">
        <v>245</v>
      </c>
    </row>
    <row r="131" spans="2:15" s="3" customFormat="1" ht="61.5" customHeight="1" x14ac:dyDescent="0.3">
      <c r="B131" s="279"/>
      <c r="C131" s="279"/>
      <c r="D131" s="279"/>
      <c r="E131" s="186" t="s">
        <v>28</v>
      </c>
      <c r="F131" s="115"/>
      <c r="G131" s="115"/>
      <c r="H131" s="115"/>
      <c r="I131" s="115">
        <v>115000000</v>
      </c>
      <c r="J131" s="115"/>
      <c r="K131" s="115">
        <f>I131</f>
        <v>115000000</v>
      </c>
      <c r="L131" s="266"/>
      <c r="M131" s="279"/>
      <c r="N131" s="279"/>
    </row>
    <row r="132" spans="2:15" s="3" customFormat="1" ht="57" customHeight="1" x14ac:dyDescent="0.3">
      <c r="B132" s="273" t="s">
        <v>10</v>
      </c>
      <c r="C132" s="273" t="s">
        <v>86</v>
      </c>
      <c r="D132" s="273" t="s">
        <v>87</v>
      </c>
      <c r="E132" s="190" t="s">
        <v>25</v>
      </c>
      <c r="F132" s="33">
        <v>100074239</v>
      </c>
      <c r="G132" s="33"/>
      <c r="H132" s="33"/>
      <c r="I132" s="33"/>
      <c r="J132" s="33">
        <v>16198739</v>
      </c>
      <c r="K132" s="33">
        <f>F132-J132</f>
        <v>83875500</v>
      </c>
      <c r="L132" s="267">
        <f>SUM(K132:K134)</f>
        <v>653719440</v>
      </c>
      <c r="M132" s="273" t="s">
        <v>220</v>
      </c>
      <c r="N132" s="273" t="s">
        <v>246</v>
      </c>
    </row>
    <row r="133" spans="2:15" s="3" customFormat="1" ht="52.5" customHeight="1" x14ac:dyDescent="0.3">
      <c r="B133" s="274"/>
      <c r="C133" s="274"/>
      <c r="D133" s="274"/>
      <c r="E133" s="190" t="s">
        <v>40</v>
      </c>
      <c r="F133" s="33">
        <v>26100000</v>
      </c>
      <c r="G133" s="33"/>
      <c r="H133" s="33"/>
      <c r="I133" s="33">
        <v>10400000</v>
      </c>
      <c r="J133" s="33">
        <v>7800000</v>
      </c>
      <c r="K133" s="33">
        <f>F133+I133-J133</f>
        <v>28700000</v>
      </c>
      <c r="L133" s="268"/>
      <c r="M133" s="274"/>
      <c r="N133" s="274"/>
    </row>
    <row r="134" spans="2:15" s="3" customFormat="1" ht="49.5" customHeight="1" x14ac:dyDescent="0.3">
      <c r="B134" s="275"/>
      <c r="C134" s="275"/>
      <c r="D134" s="275"/>
      <c r="E134" s="192" t="s">
        <v>38</v>
      </c>
      <c r="F134" s="152">
        <v>485073353</v>
      </c>
      <c r="G134" s="152"/>
      <c r="H134" s="152"/>
      <c r="I134" s="152">
        <v>66470587</v>
      </c>
      <c r="J134" s="152">
        <f>10400000</f>
        <v>10400000</v>
      </c>
      <c r="K134" s="33">
        <f>F134-J134+I134</f>
        <v>541143940</v>
      </c>
      <c r="L134" s="269"/>
      <c r="M134" s="275"/>
      <c r="N134" s="275"/>
    </row>
    <row r="135" spans="2:15" s="3" customFormat="1" ht="30.75" customHeight="1" x14ac:dyDescent="0.3">
      <c r="B135" s="277" t="s">
        <v>10</v>
      </c>
      <c r="C135" s="277" t="s">
        <v>88</v>
      </c>
      <c r="D135" s="277" t="s">
        <v>89</v>
      </c>
      <c r="E135" s="188" t="s">
        <v>67</v>
      </c>
      <c r="F135" s="30">
        <v>474480</v>
      </c>
      <c r="G135" s="30"/>
      <c r="H135" s="30"/>
      <c r="I135" s="30"/>
      <c r="J135" s="30"/>
      <c r="K135" s="30">
        <f>F135</f>
        <v>474480</v>
      </c>
      <c r="L135" s="286">
        <f>SUM(K135:K142)</f>
        <v>210106305</v>
      </c>
      <c r="M135" s="277" t="s">
        <v>233</v>
      </c>
      <c r="N135" s="277" t="s">
        <v>234</v>
      </c>
    </row>
    <row r="136" spans="2:15" s="3" customFormat="1" ht="30.75" customHeight="1" x14ac:dyDescent="0.3">
      <c r="B136" s="278"/>
      <c r="C136" s="278"/>
      <c r="D136" s="278"/>
      <c r="E136" s="147" t="s">
        <v>34</v>
      </c>
      <c r="F136" s="30">
        <v>312732</v>
      </c>
      <c r="G136" s="30"/>
      <c r="H136" s="30"/>
      <c r="I136" s="30"/>
      <c r="J136" s="30"/>
      <c r="K136" s="30">
        <f t="shared" ref="K136:K142" si="5">F136</f>
        <v>312732</v>
      </c>
      <c r="L136" s="287"/>
      <c r="M136" s="278"/>
      <c r="N136" s="278"/>
    </row>
    <row r="137" spans="2:15" s="3" customFormat="1" ht="30.75" customHeight="1" x14ac:dyDescent="0.3">
      <c r="B137" s="278"/>
      <c r="C137" s="278"/>
      <c r="D137" s="278"/>
      <c r="E137" s="147" t="s">
        <v>54</v>
      </c>
      <c r="F137" s="30">
        <v>481448</v>
      </c>
      <c r="G137" s="30"/>
      <c r="H137" s="30"/>
      <c r="I137" s="30"/>
      <c r="J137" s="30"/>
      <c r="K137" s="30">
        <f t="shared" si="5"/>
        <v>481448</v>
      </c>
      <c r="L137" s="287"/>
      <c r="M137" s="278"/>
      <c r="N137" s="278"/>
    </row>
    <row r="138" spans="2:15" s="3" customFormat="1" ht="30.75" customHeight="1" x14ac:dyDescent="0.3">
      <c r="B138" s="278"/>
      <c r="C138" s="278"/>
      <c r="D138" s="278"/>
      <c r="E138" s="147" t="s">
        <v>45</v>
      </c>
      <c r="F138" s="30">
        <v>1021629</v>
      </c>
      <c r="G138" s="30"/>
      <c r="H138" s="30"/>
      <c r="I138" s="30"/>
      <c r="J138" s="30"/>
      <c r="K138" s="30">
        <f t="shared" si="5"/>
        <v>1021629</v>
      </c>
      <c r="L138" s="287"/>
      <c r="M138" s="278"/>
      <c r="N138" s="278"/>
    </row>
    <row r="139" spans="2:15" s="3" customFormat="1" ht="30.75" customHeight="1" x14ac:dyDescent="0.3">
      <c r="B139" s="278"/>
      <c r="C139" s="278"/>
      <c r="D139" s="278"/>
      <c r="E139" s="147" t="s">
        <v>25</v>
      </c>
      <c r="F139" s="30">
        <v>7145034</v>
      </c>
      <c r="G139" s="30"/>
      <c r="H139" s="30"/>
      <c r="I139" s="30"/>
      <c r="J139" s="30"/>
      <c r="K139" s="30">
        <f t="shared" si="5"/>
        <v>7145034</v>
      </c>
      <c r="L139" s="287"/>
      <c r="M139" s="278"/>
      <c r="N139" s="278"/>
    </row>
    <row r="140" spans="2:15" s="3" customFormat="1" ht="30.75" customHeight="1" x14ac:dyDescent="0.3">
      <c r="B140" s="278"/>
      <c r="C140" s="278"/>
      <c r="D140" s="278"/>
      <c r="E140" s="186" t="s">
        <v>38</v>
      </c>
      <c r="F140" s="115">
        <v>151940676</v>
      </c>
      <c r="G140" s="115"/>
      <c r="H140" s="115"/>
      <c r="I140" s="115"/>
      <c r="J140" s="115"/>
      <c r="K140" s="30">
        <f t="shared" si="5"/>
        <v>151940676</v>
      </c>
      <c r="L140" s="287"/>
      <c r="M140" s="278"/>
      <c r="N140" s="278"/>
    </row>
    <row r="141" spans="2:15" s="3" customFormat="1" ht="30.75" customHeight="1" x14ac:dyDescent="0.3">
      <c r="B141" s="278"/>
      <c r="C141" s="278"/>
      <c r="D141" s="278"/>
      <c r="E141" s="147" t="s">
        <v>29</v>
      </c>
      <c r="F141" s="30">
        <v>26962822</v>
      </c>
      <c r="G141" s="30"/>
      <c r="H141" s="30"/>
      <c r="I141" s="30"/>
      <c r="J141" s="30"/>
      <c r="K141" s="30">
        <f t="shared" si="5"/>
        <v>26962822</v>
      </c>
      <c r="L141" s="287"/>
      <c r="M141" s="278"/>
      <c r="N141" s="278"/>
    </row>
    <row r="142" spans="2:15" s="3" customFormat="1" ht="30.75" customHeight="1" x14ac:dyDescent="0.3">
      <c r="B142" s="279"/>
      <c r="C142" s="279"/>
      <c r="D142" s="279"/>
      <c r="E142" s="147" t="s">
        <v>63</v>
      </c>
      <c r="F142" s="30">
        <v>21767484</v>
      </c>
      <c r="G142" s="30"/>
      <c r="H142" s="30"/>
      <c r="I142" s="30"/>
      <c r="J142" s="30"/>
      <c r="K142" s="30">
        <f t="shared" si="5"/>
        <v>21767484</v>
      </c>
      <c r="L142" s="288"/>
      <c r="M142" s="279"/>
      <c r="N142" s="279"/>
    </row>
    <row r="143" spans="2:15" s="3" customFormat="1" ht="30.75" customHeight="1" x14ac:dyDescent="0.3">
      <c r="B143" s="273" t="s">
        <v>10</v>
      </c>
      <c r="C143" s="273" t="s">
        <v>90</v>
      </c>
      <c r="D143" s="273" t="s">
        <v>91</v>
      </c>
      <c r="E143" s="190" t="s">
        <v>34</v>
      </c>
      <c r="F143" s="33">
        <v>3000000</v>
      </c>
      <c r="G143" s="33"/>
      <c r="H143" s="33"/>
      <c r="I143" s="33"/>
      <c r="J143" s="33"/>
      <c r="K143" s="33">
        <f>F143</f>
        <v>3000000</v>
      </c>
      <c r="L143" s="267">
        <f>SUM(K143:K148)</f>
        <v>150708212</v>
      </c>
      <c r="M143" s="273" t="s">
        <v>241</v>
      </c>
      <c r="N143" s="273" t="s">
        <v>247</v>
      </c>
    </row>
    <row r="144" spans="2:15" s="3" customFormat="1" ht="30.75" customHeight="1" x14ac:dyDescent="0.3">
      <c r="B144" s="274"/>
      <c r="C144" s="274"/>
      <c r="D144" s="274"/>
      <c r="E144" s="190" t="s">
        <v>25</v>
      </c>
      <c r="F144" s="33">
        <v>14349000</v>
      </c>
      <c r="G144" s="33"/>
      <c r="H144" s="33"/>
      <c r="I144" s="33"/>
      <c r="J144" s="33"/>
      <c r="K144" s="33">
        <f>F144</f>
        <v>14349000</v>
      </c>
      <c r="L144" s="268"/>
      <c r="M144" s="274"/>
      <c r="N144" s="274"/>
    </row>
    <row r="145" spans="2:14" s="3" customFormat="1" ht="30.75" customHeight="1" x14ac:dyDescent="0.3">
      <c r="B145" s="274"/>
      <c r="C145" s="274"/>
      <c r="D145" s="274"/>
      <c r="E145" s="190" t="s">
        <v>40</v>
      </c>
      <c r="F145" s="33">
        <v>3000000</v>
      </c>
      <c r="G145" s="33"/>
      <c r="H145" s="33"/>
      <c r="I145" s="33"/>
      <c r="J145" s="33"/>
      <c r="K145" s="33">
        <f>F145</f>
        <v>3000000</v>
      </c>
      <c r="L145" s="268"/>
      <c r="M145" s="274"/>
      <c r="N145" s="274"/>
    </row>
    <row r="146" spans="2:14" s="3" customFormat="1" ht="30.75" customHeight="1" x14ac:dyDescent="0.3">
      <c r="B146" s="274"/>
      <c r="C146" s="274"/>
      <c r="D146" s="274"/>
      <c r="E146" s="190" t="s">
        <v>27</v>
      </c>
      <c r="F146" s="33">
        <v>15113212</v>
      </c>
      <c r="G146" s="33"/>
      <c r="H146" s="33"/>
      <c r="I146" s="33"/>
      <c r="J146" s="33"/>
      <c r="K146" s="33">
        <f>F146</f>
        <v>15113212</v>
      </c>
      <c r="L146" s="268"/>
      <c r="M146" s="274"/>
      <c r="N146" s="274"/>
    </row>
    <row r="147" spans="2:14" s="3" customFormat="1" ht="42.75" customHeight="1" x14ac:dyDescent="0.3">
      <c r="B147" s="274"/>
      <c r="C147" s="274"/>
      <c r="D147" s="274"/>
      <c r="E147" s="190" t="s">
        <v>18</v>
      </c>
      <c r="F147" s="152">
        <v>3396000</v>
      </c>
      <c r="G147" s="152"/>
      <c r="H147" s="152"/>
      <c r="I147" s="152"/>
      <c r="J147" s="152"/>
      <c r="K147" s="33">
        <f>F147</f>
        <v>3396000</v>
      </c>
      <c r="L147" s="268"/>
      <c r="M147" s="274"/>
      <c r="N147" s="274"/>
    </row>
    <row r="148" spans="2:14" s="3" customFormat="1" ht="27" customHeight="1" x14ac:dyDescent="0.3">
      <c r="B148" s="275"/>
      <c r="C148" s="275"/>
      <c r="D148" s="275"/>
      <c r="E148" s="190" t="s">
        <v>63</v>
      </c>
      <c r="F148" s="33">
        <v>246397475</v>
      </c>
      <c r="G148" s="33"/>
      <c r="H148" s="33"/>
      <c r="I148" s="33"/>
      <c r="J148" s="33">
        <v>134547475</v>
      </c>
      <c r="K148" s="33">
        <f>F148-J148</f>
        <v>111850000</v>
      </c>
      <c r="L148" s="269"/>
      <c r="M148" s="275"/>
      <c r="N148" s="275"/>
    </row>
    <row r="149" spans="2:14" s="3" customFormat="1" ht="36.75" customHeight="1" x14ac:dyDescent="0.3">
      <c r="B149" s="277" t="s">
        <v>10</v>
      </c>
      <c r="C149" s="277" t="s">
        <v>92</v>
      </c>
      <c r="D149" s="277" t="s">
        <v>93</v>
      </c>
      <c r="E149" s="202" t="s">
        <v>65</v>
      </c>
      <c r="F149" s="150">
        <v>96820000</v>
      </c>
      <c r="G149" s="150"/>
      <c r="H149" s="150"/>
      <c r="I149" s="150"/>
      <c r="J149" s="150">
        <v>16066600</v>
      </c>
      <c r="K149" s="150">
        <f>F149-J149</f>
        <v>80753400</v>
      </c>
      <c r="L149" s="286">
        <f>SUM(K149:K158)</f>
        <v>564371509</v>
      </c>
      <c r="M149" s="277" t="s">
        <v>241</v>
      </c>
      <c r="N149" s="277" t="s">
        <v>242</v>
      </c>
    </row>
    <row r="150" spans="2:14" s="3" customFormat="1" ht="47.25" customHeight="1" x14ac:dyDescent="0.3">
      <c r="B150" s="278"/>
      <c r="C150" s="278"/>
      <c r="D150" s="278"/>
      <c r="E150" s="147" t="s">
        <v>45</v>
      </c>
      <c r="F150" s="30">
        <v>50410000</v>
      </c>
      <c r="G150" s="30"/>
      <c r="H150" s="30"/>
      <c r="I150" s="30"/>
      <c r="J150" s="30"/>
      <c r="K150" s="150">
        <f t="shared" ref="K150:K158" si="6">F150</f>
        <v>50410000</v>
      </c>
      <c r="L150" s="287"/>
      <c r="M150" s="278"/>
      <c r="N150" s="278"/>
    </row>
    <row r="151" spans="2:14" s="3" customFormat="1" ht="40.5" customHeight="1" x14ac:dyDescent="0.3">
      <c r="B151" s="278"/>
      <c r="C151" s="278"/>
      <c r="D151" s="278"/>
      <c r="E151" s="188" t="s">
        <v>46</v>
      </c>
      <c r="F151" s="150">
        <v>2961230</v>
      </c>
      <c r="G151" s="150"/>
      <c r="H151" s="150"/>
      <c r="I151" s="150"/>
      <c r="J151" s="150"/>
      <c r="K151" s="150">
        <f t="shared" si="6"/>
        <v>2961230</v>
      </c>
      <c r="L151" s="287"/>
      <c r="M151" s="278"/>
      <c r="N151" s="278"/>
    </row>
    <row r="152" spans="2:14" s="3" customFormat="1" ht="38.25" customHeight="1" x14ac:dyDescent="0.3">
      <c r="B152" s="278"/>
      <c r="C152" s="278"/>
      <c r="D152" s="278"/>
      <c r="E152" s="147" t="s">
        <v>43</v>
      </c>
      <c r="F152" s="30">
        <v>19788434</v>
      </c>
      <c r="G152" s="30"/>
      <c r="H152" s="30"/>
      <c r="I152" s="30"/>
      <c r="J152" s="30"/>
      <c r="K152" s="150">
        <f t="shared" si="6"/>
        <v>19788434</v>
      </c>
      <c r="L152" s="287"/>
      <c r="M152" s="278"/>
      <c r="N152" s="278"/>
    </row>
    <row r="153" spans="2:14" s="3" customFormat="1" ht="57.75" customHeight="1" x14ac:dyDescent="0.3">
      <c r="B153" s="278"/>
      <c r="C153" s="278"/>
      <c r="D153" s="278"/>
      <c r="E153" s="147" t="s">
        <v>25</v>
      </c>
      <c r="F153" s="30">
        <v>181248442</v>
      </c>
      <c r="G153" s="30"/>
      <c r="H153" s="30"/>
      <c r="I153" s="30"/>
      <c r="J153" s="30"/>
      <c r="K153" s="150">
        <f t="shared" si="6"/>
        <v>181248442</v>
      </c>
      <c r="L153" s="287"/>
      <c r="M153" s="278"/>
      <c r="N153" s="278"/>
    </row>
    <row r="154" spans="2:14" s="3" customFormat="1" ht="37.5" customHeight="1" x14ac:dyDescent="0.3">
      <c r="B154" s="278"/>
      <c r="C154" s="278"/>
      <c r="D154" s="278"/>
      <c r="E154" s="147" t="s">
        <v>27</v>
      </c>
      <c r="F154" s="30">
        <v>17280000</v>
      </c>
      <c r="G154" s="30"/>
      <c r="H154" s="30"/>
      <c r="I154" s="30"/>
      <c r="J154" s="30"/>
      <c r="K154" s="150">
        <f t="shared" si="6"/>
        <v>17280000</v>
      </c>
      <c r="L154" s="287"/>
      <c r="M154" s="278"/>
      <c r="N154" s="278"/>
    </row>
    <row r="155" spans="2:14" s="3" customFormat="1" ht="35.25" customHeight="1" x14ac:dyDescent="0.3">
      <c r="B155" s="278"/>
      <c r="C155" s="278"/>
      <c r="D155" s="278"/>
      <c r="E155" s="147" t="s">
        <v>29</v>
      </c>
      <c r="F155" s="30">
        <v>85568099</v>
      </c>
      <c r="G155" s="30"/>
      <c r="H155" s="30"/>
      <c r="I155" s="30">
        <v>53690024</v>
      </c>
      <c r="J155" s="30"/>
      <c r="K155" s="150">
        <f>F155+I155</f>
        <v>139258123</v>
      </c>
      <c r="L155" s="287"/>
      <c r="M155" s="278"/>
      <c r="N155" s="278"/>
    </row>
    <row r="156" spans="2:14" s="3" customFormat="1" ht="38.25" customHeight="1" x14ac:dyDescent="0.3">
      <c r="B156" s="278"/>
      <c r="C156" s="278"/>
      <c r="D156" s="278"/>
      <c r="E156" s="147" t="s">
        <v>17</v>
      </c>
      <c r="F156" s="30">
        <v>57717000</v>
      </c>
      <c r="G156" s="30"/>
      <c r="H156" s="30"/>
      <c r="I156" s="30"/>
      <c r="J156" s="30">
        <v>37623424</v>
      </c>
      <c r="K156" s="150">
        <f>F156-J156</f>
        <v>20093576</v>
      </c>
      <c r="L156" s="287"/>
      <c r="M156" s="278"/>
      <c r="N156" s="278"/>
    </row>
    <row r="157" spans="2:14" s="3" customFormat="1" ht="32.25" customHeight="1" x14ac:dyDescent="0.3">
      <c r="B157" s="278"/>
      <c r="C157" s="278"/>
      <c r="D157" s="278"/>
      <c r="E157" s="147" t="s">
        <v>63</v>
      </c>
      <c r="F157" s="30">
        <v>8883739</v>
      </c>
      <c r="G157" s="30"/>
      <c r="H157" s="30"/>
      <c r="I157" s="30"/>
      <c r="J157" s="30"/>
      <c r="K157" s="150">
        <f t="shared" si="6"/>
        <v>8883739</v>
      </c>
      <c r="L157" s="287"/>
      <c r="M157" s="278"/>
      <c r="N157" s="278"/>
    </row>
    <row r="158" spans="2:14" s="3" customFormat="1" ht="28.5" customHeight="1" x14ac:dyDescent="0.3">
      <c r="B158" s="279"/>
      <c r="C158" s="279"/>
      <c r="D158" s="279"/>
      <c r="E158" s="147" t="s">
        <v>30</v>
      </c>
      <c r="F158" s="30">
        <v>43694565</v>
      </c>
      <c r="G158" s="30"/>
      <c r="H158" s="30"/>
      <c r="I158" s="30"/>
      <c r="J158" s="30"/>
      <c r="K158" s="150">
        <f t="shared" si="6"/>
        <v>43694565</v>
      </c>
      <c r="L158" s="288"/>
      <c r="M158" s="279"/>
      <c r="N158" s="279"/>
    </row>
    <row r="159" spans="2:14" s="3" customFormat="1" ht="13.2" x14ac:dyDescent="0.3">
      <c r="B159" s="280"/>
      <c r="C159" s="280"/>
      <c r="D159" s="280"/>
      <c r="E159" s="280"/>
      <c r="F159" s="281"/>
      <c r="G159" s="112"/>
      <c r="H159" s="112"/>
      <c r="I159" s="112"/>
      <c r="J159" s="112"/>
      <c r="K159" s="112"/>
      <c r="L159" s="13">
        <f>SUM(L14:L158)</f>
        <v>21819319492</v>
      </c>
      <c r="M159" s="177"/>
      <c r="N159" s="177"/>
    </row>
    <row r="160" spans="2:14" s="3" customFormat="1" ht="13.2" x14ac:dyDescent="0.3">
      <c r="B160" s="4"/>
      <c r="C160" s="4"/>
      <c r="D160" s="4"/>
      <c r="E160" s="159"/>
      <c r="M160" s="178"/>
      <c r="N160" s="178"/>
    </row>
    <row r="161" spans="2:14" s="3" customFormat="1" ht="13.2" x14ac:dyDescent="0.3">
      <c r="B161" s="4"/>
      <c r="C161" s="4"/>
      <c r="D161" s="4"/>
      <c r="E161" s="159"/>
      <c r="M161" s="178"/>
      <c r="N161" s="178"/>
    </row>
    <row r="162" spans="2:14" s="3" customFormat="1" ht="15.75" customHeight="1" x14ac:dyDescent="0.3">
      <c r="B162" s="276" t="s">
        <v>94</v>
      </c>
      <c r="C162" s="276"/>
      <c r="D162" s="276"/>
      <c r="E162" s="159"/>
      <c r="M162" s="178"/>
      <c r="N162" s="178"/>
    </row>
    <row r="163" spans="2:14" s="3" customFormat="1" ht="14.4" x14ac:dyDescent="0.3">
      <c r="B163" s="5"/>
      <c r="C163" s="5"/>
      <c r="D163" s="4"/>
      <c r="E163" s="159"/>
      <c r="M163" s="178"/>
      <c r="N163" s="178"/>
    </row>
    <row r="164" spans="2:14" s="3" customFormat="1" ht="13.2" x14ac:dyDescent="0.3">
      <c r="B164" s="4"/>
      <c r="C164" s="4"/>
      <c r="D164" s="4"/>
      <c r="E164" s="159"/>
      <c r="M164" s="178"/>
      <c r="N164" s="178"/>
    </row>
    <row r="165" spans="2:14" s="3" customFormat="1" ht="34.200000000000003" x14ac:dyDescent="0.3">
      <c r="B165" s="6" t="s">
        <v>2</v>
      </c>
      <c r="C165" s="6" t="s">
        <v>3</v>
      </c>
      <c r="D165" s="7" t="s">
        <v>4</v>
      </c>
      <c r="E165" s="184" t="s">
        <v>6</v>
      </c>
      <c r="F165" s="8" t="s">
        <v>7</v>
      </c>
      <c r="G165" s="8" t="s">
        <v>8</v>
      </c>
      <c r="H165" s="8" t="s">
        <v>193</v>
      </c>
      <c r="I165" s="8" t="s">
        <v>190</v>
      </c>
      <c r="J165" s="8" t="s">
        <v>191</v>
      </c>
      <c r="K165" s="8" t="s">
        <v>207</v>
      </c>
      <c r="L165" s="9" t="s">
        <v>9</v>
      </c>
      <c r="M165" s="9" t="s">
        <v>222</v>
      </c>
      <c r="N165" s="9" t="s">
        <v>221</v>
      </c>
    </row>
    <row r="166" spans="2:14" s="3" customFormat="1" ht="66.75" customHeight="1" x14ac:dyDescent="0.3">
      <c r="B166" s="263" t="s">
        <v>96</v>
      </c>
      <c r="C166" s="263" t="s">
        <v>97</v>
      </c>
      <c r="D166" s="263" t="s">
        <v>98</v>
      </c>
      <c r="E166" s="206" t="s">
        <v>48</v>
      </c>
      <c r="F166" s="45">
        <v>51052457</v>
      </c>
      <c r="G166" s="45"/>
      <c r="H166" s="45"/>
      <c r="I166" s="45"/>
      <c r="J166" s="45">
        <f>51954525</f>
        <v>51954525</v>
      </c>
      <c r="K166" s="45">
        <f>F166-J166</f>
        <v>-902068</v>
      </c>
      <c r="L166" s="282">
        <f>SUM(K166:K168)</f>
        <v>267784567</v>
      </c>
      <c r="M166" s="277" t="s">
        <v>223</v>
      </c>
      <c r="N166" s="277" t="s">
        <v>248</v>
      </c>
    </row>
    <row r="167" spans="2:14" s="3" customFormat="1" ht="39" customHeight="1" x14ac:dyDescent="0.3">
      <c r="B167" s="263"/>
      <c r="C167" s="263"/>
      <c r="D167" s="263"/>
      <c r="E167" s="43" t="s">
        <v>40</v>
      </c>
      <c r="F167" s="46">
        <v>7830000</v>
      </c>
      <c r="G167" s="46"/>
      <c r="H167" s="46"/>
      <c r="I167" s="46"/>
      <c r="J167" s="46"/>
      <c r="K167" s="45">
        <f>F167</f>
        <v>7830000</v>
      </c>
      <c r="L167" s="282"/>
      <c r="M167" s="278"/>
      <c r="N167" s="278"/>
    </row>
    <row r="168" spans="2:14" s="3" customFormat="1" ht="45" customHeight="1" x14ac:dyDescent="0.3">
      <c r="B168" s="263"/>
      <c r="C168" s="263"/>
      <c r="D168" s="263"/>
      <c r="E168" s="206" t="s">
        <v>38</v>
      </c>
      <c r="F168" s="45">
        <v>260856635</v>
      </c>
      <c r="G168" s="45"/>
      <c r="H168" s="45"/>
      <c r="I168" s="45"/>
      <c r="J168" s="45"/>
      <c r="K168" s="45">
        <f>F168</f>
        <v>260856635</v>
      </c>
      <c r="L168" s="282"/>
      <c r="M168" s="279"/>
      <c r="N168" s="279"/>
    </row>
    <row r="169" spans="2:14" s="3" customFormat="1" ht="51" customHeight="1" x14ac:dyDescent="0.3">
      <c r="B169" s="32" t="s">
        <v>96</v>
      </c>
      <c r="C169" s="32" t="s">
        <v>99</v>
      </c>
      <c r="D169" s="32" t="s">
        <v>100</v>
      </c>
      <c r="E169" s="207" t="s">
        <v>38</v>
      </c>
      <c r="F169" s="47">
        <f>180544320</f>
        <v>180544320</v>
      </c>
      <c r="G169" s="47"/>
      <c r="H169" s="47"/>
      <c r="I169" s="47"/>
      <c r="J169" s="47">
        <f>20000000+53000000</f>
        <v>73000000</v>
      </c>
      <c r="K169" s="48">
        <f>180544320-J169</f>
        <v>107544320</v>
      </c>
      <c r="L169" s="48">
        <f>K169</f>
        <v>107544320</v>
      </c>
      <c r="M169" s="95" t="s">
        <v>223</v>
      </c>
      <c r="N169" s="95" t="s">
        <v>249</v>
      </c>
    </row>
    <row r="170" spans="2:14" s="3" customFormat="1" ht="33.75" customHeight="1" x14ac:dyDescent="0.3">
      <c r="B170" s="261" t="s">
        <v>96</v>
      </c>
      <c r="C170" s="261" t="s">
        <v>99</v>
      </c>
      <c r="D170" s="261" t="s">
        <v>101</v>
      </c>
      <c r="E170" s="208" t="s">
        <v>22</v>
      </c>
      <c r="F170" s="49">
        <v>600000</v>
      </c>
      <c r="G170" s="49"/>
      <c r="H170" s="49"/>
      <c r="I170" s="49"/>
      <c r="J170" s="49"/>
      <c r="K170" s="49">
        <f>F170</f>
        <v>600000</v>
      </c>
      <c r="L170" s="260">
        <f>SUM(K170:K178)</f>
        <v>253554208</v>
      </c>
      <c r="M170" s="273" t="s">
        <v>223</v>
      </c>
      <c r="N170" s="273" t="s">
        <v>248</v>
      </c>
    </row>
    <row r="171" spans="2:14" s="3" customFormat="1" ht="22.5" customHeight="1" x14ac:dyDescent="0.3">
      <c r="B171" s="261"/>
      <c r="C171" s="261"/>
      <c r="D171" s="261"/>
      <c r="E171" s="209" t="s">
        <v>15</v>
      </c>
      <c r="F171" s="50">
        <v>500000</v>
      </c>
      <c r="G171" s="50"/>
      <c r="H171" s="50"/>
      <c r="I171" s="50"/>
      <c r="J171" s="50"/>
      <c r="K171" s="49">
        <f>F171</f>
        <v>500000</v>
      </c>
      <c r="L171" s="260"/>
      <c r="M171" s="274"/>
      <c r="N171" s="274"/>
    </row>
    <row r="172" spans="2:14" s="3" customFormat="1" ht="37.5" customHeight="1" x14ac:dyDescent="0.3">
      <c r="B172" s="261"/>
      <c r="C172" s="261"/>
      <c r="D172" s="261"/>
      <c r="E172" s="210" t="s">
        <v>48</v>
      </c>
      <c r="F172" s="51">
        <v>787500</v>
      </c>
      <c r="G172" s="51"/>
      <c r="H172" s="51"/>
      <c r="I172" s="51"/>
      <c r="J172" s="51"/>
      <c r="K172" s="49">
        <f>F172</f>
        <v>787500</v>
      </c>
      <c r="L172" s="260"/>
      <c r="M172" s="274"/>
      <c r="N172" s="274"/>
    </row>
    <row r="173" spans="2:14" s="3" customFormat="1" ht="41.25" customHeight="1" x14ac:dyDescent="0.3">
      <c r="B173" s="261"/>
      <c r="C173" s="261"/>
      <c r="D173" s="261"/>
      <c r="E173" s="211" t="s">
        <v>49</v>
      </c>
      <c r="F173" s="52">
        <v>887500</v>
      </c>
      <c r="G173" s="52"/>
      <c r="H173" s="52"/>
      <c r="I173" s="52"/>
      <c r="J173" s="52"/>
      <c r="K173" s="49">
        <f>F173</f>
        <v>887500</v>
      </c>
      <c r="L173" s="260"/>
      <c r="M173" s="274"/>
      <c r="N173" s="274"/>
    </row>
    <row r="174" spans="2:14" s="3" customFormat="1" ht="32.25" customHeight="1" x14ac:dyDescent="0.3">
      <c r="B174" s="261"/>
      <c r="C174" s="261"/>
      <c r="D174" s="261"/>
      <c r="E174" s="209" t="s">
        <v>25</v>
      </c>
      <c r="F174" s="50">
        <v>6514192</v>
      </c>
      <c r="G174" s="50"/>
      <c r="H174" s="50"/>
      <c r="I174" s="50">
        <v>20000000</v>
      </c>
      <c r="J174" s="50"/>
      <c r="K174" s="50">
        <f>F174+I174</f>
        <v>26514192</v>
      </c>
      <c r="L174" s="260"/>
      <c r="M174" s="274"/>
      <c r="N174" s="274"/>
    </row>
    <row r="175" spans="2:14" s="3" customFormat="1" ht="30" customHeight="1" x14ac:dyDescent="0.3">
      <c r="B175" s="261"/>
      <c r="C175" s="261"/>
      <c r="D175" s="261"/>
      <c r="E175" s="209" t="s">
        <v>40</v>
      </c>
      <c r="F175" s="50">
        <v>3775000</v>
      </c>
      <c r="G175" s="50"/>
      <c r="H175" s="50"/>
      <c r="I175" s="50"/>
      <c r="J175" s="50"/>
      <c r="K175" s="50">
        <f>F175</f>
        <v>3775000</v>
      </c>
      <c r="L175" s="260"/>
      <c r="M175" s="274"/>
      <c r="N175" s="274"/>
    </row>
    <row r="176" spans="2:14" s="3" customFormat="1" ht="36.75" customHeight="1" x14ac:dyDescent="0.3">
      <c r="B176" s="261"/>
      <c r="C176" s="261"/>
      <c r="D176" s="261"/>
      <c r="E176" s="209" t="s">
        <v>27</v>
      </c>
      <c r="F176" s="53">
        <v>1767000</v>
      </c>
      <c r="G176" s="53"/>
      <c r="H176" s="53"/>
      <c r="I176" s="53"/>
      <c r="J176" s="53"/>
      <c r="K176" s="50">
        <f>F176</f>
        <v>1767000</v>
      </c>
      <c r="L176" s="260"/>
      <c r="M176" s="274"/>
      <c r="N176" s="274"/>
    </row>
    <row r="177" spans="2:14" s="3" customFormat="1" ht="31.5" customHeight="1" x14ac:dyDescent="0.3">
      <c r="B177" s="261"/>
      <c r="C177" s="261"/>
      <c r="D177" s="261"/>
      <c r="E177" s="211" t="s">
        <v>38</v>
      </c>
      <c r="F177" s="47">
        <v>210187045</v>
      </c>
      <c r="G177" s="47"/>
      <c r="H177" s="47"/>
      <c r="I177" s="47"/>
      <c r="J177" s="47"/>
      <c r="K177" s="50">
        <f>F177</f>
        <v>210187045</v>
      </c>
      <c r="L177" s="260"/>
      <c r="M177" s="274"/>
      <c r="N177" s="274"/>
    </row>
    <row r="178" spans="2:14" s="3" customFormat="1" ht="51.75" customHeight="1" x14ac:dyDescent="0.3">
      <c r="B178" s="261"/>
      <c r="C178" s="261"/>
      <c r="D178" s="261"/>
      <c r="E178" s="210" t="s">
        <v>18</v>
      </c>
      <c r="F178" s="52">
        <v>8535971</v>
      </c>
      <c r="G178" s="52"/>
      <c r="H178" s="52"/>
      <c r="I178" s="52"/>
      <c r="J178" s="52"/>
      <c r="K178" s="50">
        <f>F178</f>
        <v>8535971</v>
      </c>
      <c r="L178" s="260"/>
      <c r="M178" s="275"/>
      <c r="N178" s="275"/>
    </row>
    <row r="179" spans="2:14" s="3" customFormat="1" ht="33.75" customHeight="1" x14ac:dyDescent="0.3">
      <c r="B179" s="263" t="s">
        <v>96</v>
      </c>
      <c r="C179" s="263" t="s">
        <v>102</v>
      </c>
      <c r="D179" s="263" t="s">
        <v>103</v>
      </c>
      <c r="E179" s="212" t="s">
        <v>57</v>
      </c>
      <c r="F179" s="46">
        <v>139701551</v>
      </c>
      <c r="G179" s="46"/>
      <c r="H179" s="46"/>
      <c r="I179" s="46"/>
      <c r="J179" s="46"/>
      <c r="K179" s="46">
        <f>F179</f>
        <v>139701551</v>
      </c>
      <c r="L179" s="283">
        <f>SUM(K179:K185)</f>
        <v>465590214</v>
      </c>
      <c r="M179" s="277" t="s">
        <v>223</v>
      </c>
      <c r="N179" s="277" t="s">
        <v>250</v>
      </c>
    </row>
    <row r="180" spans="2:14" s="3" customFormat="1" ht="33.75" customHeight="1" x14ac:dyDescent="0.3">
      <c r="B180" s="263"/>
      <c r="C180" s="263"/>
      <c r="D180" s="263"/>
      <c r="E180" s="212" t="s">
        <v>58</v>
      </c>
      <c r="F180" s="46">
        <v>13033498</v>
      </c>
      <c r="G180" s="46"/>
      <c r="H180" s="46"/>
      <c r="I180" s="46"/>
      <c r="J180" s="46"/>
      <c r="K180" s="46">
        <f t="shared" ref="K180:K185" si="7">F180</f>
        <v>13033498</v>
      </c>
      <c r="L180" s="283"/>
      <c r="M180" s="278"/>
      <c r="N180" s="278"/>
    </row>
    <row r="181" spans="2:14" s="3" customFormat="1" ht="33.75" customHeight="1" x14ac:dyDescent="0.3">
      <c r="B181" s="263"/>
      <c r="C181" s="263"/>
      <c r="D181" s="263"/>
      <c r="E181" s="212" t="s">
        <v>59</v>
      </c>
      <c r="F181" s="46">
        <v>12727923</v>
      </c>
      <c r="G181" s="46"/>
      <c r="H181" s="46"/>
      <c r="I181" s="46"/>
      <c r="J181" s="46"/>
      <c r="K181" s="46">
        <f t="shared" si="7"/>
        <v>12727923</v>
      </c>
      <c r="L181" s="283"/>
      <c r="M181" s="278"/>
      <c r="N181" s="278"/>
    </row>
    <row r="182" spans="2:14" s="3" customFormat="1" ht="33.75" customHeight="1" x14ac:dyDescent="0.3">
      <c r="B182" s="263"/>
      <c r="C182" s="263"/>
      <c r="D182" s="263"/>
      <c r="E182" s="212" t="s">
        <v>60</v>
      </c>
      <c r="F182" s="46">
        <v>13452910</v>
      </c>
      <c r="G182" s="46"/>
      <c r="H182" s="46"/>
      <c r="I182" s="46"/>
      <c r="J182" s="46"/>
      <c r="K182" s="46">
        <f t="shared" si="7"/>
        <v>13452910</v>
      </c>
      <c r="L182" s="283"/>
      <c r="M182" s="278"/>
      <c r="N182" s="278"/>
    </row>
    <row r="183" spans="2:14" s="3" customFormat="1" ht="33.75" customHeight="1" x14ac:dyDescent="0.3">
      <c r="B183" s="263"/>
      <c r="C183" s="263"/>
      <c r="D183" s="263"/>
      <c r="E183" s="212" t="s">
        <v>61</v>
      </c>
      <c r="F183" s="46">
        <v>5820898</v>
      </c>
      <c r="G183" s="46"/>
      <c r="H183" s="46"/>
      <c r="I183" s="46"/>
      <c r="J183" s="46"/>
      <c r="K183" s="46">
        <f t="shared" si="7"/>
        <v>5820898</v>
      </c>
      <c r="L183" s="283"/>
      <c r="M183" s="278"/>
      <c r="N183" s="278"/>
    </row>
    <row r="184" spans="2:14" s="3" customFormat="1" ht="33.75" customHeight="1" x14ac:dyDescent="0.3">
      <c r="B184" s="263"/>
      <c r="C184" s="263"/>
      <c r="D184" s="263"/>
      <c r="E184" s="43" t="s">
        <v>25</v>
      </c>
      <c r="F184" s="46">
        <v>11727450</v>
      </c>
      <c r="G184" s="46"/>
      <c r="H184" s="46"/>
      <c r="I184" s="46"/>
      <c r="J184" s="46"/>
      <c r="K184" s="46">
        <f t="shared" si="7"/>
        <v>11727450</v>
      </c>
      <c r="L184" s="283"/>
      <c r="M184" s="278"/>
      <c r="N184" s="278"/>
    </row>
    <row r="185" spans="2:14" s="3" customFormat="1" ht="33.75" customHeight="1" x14ac:dyDescent="0.3">
      <c r="B185" s="263"/>
      <c r="C185" s="263"/>
      <c r="D185" s="263"/>
      <c r="E185" s="206" t="s">
        <v>38</v>
      </c>
      <c r="F185" s="45">
        <v>269125984</v>
      </c>
      <c r="G185" s="45"/>
      <c r="H185" s="45"/>
      <c r="I185" s="45"/>
      <c r="J185" s="45"/>
      <c r="K185" s="46">
        <f t="shared" si="7"/>
        <v>269125984</v>
      </c>
      <c r="L185" s="283"/>
      <c r="M185" s="279"/>
      <c r="N185" s="279"/>
    </row>
    <row r="186" spans="2:14" s="3" customFormat="1" ht="118.8" x14ac:dyDescent="0.3">
      <c r="B186" s="18" t="s">
        <v>96</v>
      </c>
      <c r="C186" s="18" t="s">
        <v>102</v>
      </c>
      <c r="D186" s="18" t="s">
        <v>104</v>
      </c>
      <c r="E186" s="206" t="s">
        <v>38</v>
      </c>
      <c r="F186" s="45"/>
      <c r="G186" s="45">
        <v>174797162</v>
      </c>
      <c r="H186" s="45"/>
      <c r="I186" s="45"/>
      <c r="J186" s="45"/>
      <c r="K186" s="45">
        <f>G186</f>
        <v>174797162</v>
      </c>
      <c r="L186" s="93">
        <f>K186</f>
        <v>174797162</v>
      </c>
      <c r="M186" s="54" t="s">
        <v>223</v>
      </c>
      <c r="N186" s="54" t="s">
        <v>250</v>
      </c>
    </row>
    <row r="187" spans="2:14" s="3" customFormat="1" ht="59.25" customHeight="1" x14ac:dyDescent="0.3">
      <c r="B187" s="261" t="s">
        <v>96</v>
      </c>
      <c r="C187" s="261" t="s">
        <v>105</v>
      </c>
      <c r="D187" s="261" t="s">
        <v>106</v>
      </c>
      <c r="E187" s="213" t="s">
        <v>65</v>
      </c>
      <c r="F187" s="55">
        <v>218912</v>
      </c>
      <c r="G187" s="55"/>
      <c r="H187" s="55"/>
      <c r="I187" s="55"/>
      <c r="J187" s="55"/>
      <c r="K187" s="55">
        <f>F187</f>
        <v>218912</v>
      </c>
      <c r="L187" s="260">
        <f>SUM(K187:K190)</f>
        <v>202365372</v>
      </c>
      <c r="M187" s="273" t="s">
        <v>223</v>
      </c>
      <c r="N187" s="273" t="s">
        <v>248</v>
      </c>
    </row>
    <row r="188" spans="2:14" s="3" customFormat="1" ht="41.25" customHeight="1" x14ac:dyDescent="0.3">
      <c r="B188" s="261"/>
      <c r="C188" s="261"/>
      <c r="D188" s="261"/>
      <c r="E188" s="209" t="s">
        <v>107</v>
      </c>
      <c r="F188" s="49">
        <v>1453494</v>
      </c>
      <c r="G188" s="49"/>
      <c r="H188" s="49"/>
      <c r="I188" s="49"/>
      <c r="J188" s="49"/>
      <c r="K188" s="55">
        <f>F188</f>
        <v>1453494</v>
      </c>
      <c r="L188" s="260"/>
      <c r="M188" s="274"/>
      <c r="N188" s="274"/>
    </row>
    <row r="189" spans="2:14" s="3" customFormat="1" ht="39.75" customHeight="1" x14ac:dyDescent="0.3">
      <c r="B189" s="261"/>
      <c r="C189" s="261"/>
      <c r="D189" s="261"/>
      <c r="E189" s="211" t="s">
        <v>38</v>
      </c>
      <c r="F189" s="52">
        <v>234701565</v>
      </c>
      <c r="G189" s="52"/>
      <c r="H189" s="52"/>
      <c r="I189" s="52"/>
      <c r="J189" s="52">
        <v>40548033</v>
      </c>
      <c r="K189" s="55">
        <f>F189-J189</f>
        <v>194153532</v>
      </c>
      <c r="L189" s="260"/>
      <c r="M189" s="274"/>
      <c r="N189" s="274"/>
    </row>
    <row r="190" spans="2:14" s="3" customFormat="1" ht="54" customHeight="1" x14ac:dyDescent="0.3">
      <c r="B190" s="261"/>
      <c r="C190" s="261"/>
      <c r="D190" s="261"/>
      <c r="E190" s="209" t="s">
        <v>17</v>
      </c>
      <c r="F190" s="50">
        <v>6539434</v>
      </c>
      <c r="G190" s="50"/>
      <c r="H190" s="50"/>
      <c r="I190" s="50"/>
      <c r="J190" s="50"/>
      <c r="K190" s="55">
        <f>F190</f>
        <v>6539434</v>
      </c>
      <c r="L190" s="260"/>
      <c r="M190" s="275"/>
      <c r="N190" s="275"/>
    </row>
    <row r="191" spans="2:14" s="3" customFormat="1" ht="69.75" customHeight="1" x14ac:dyDescent="0.3">
      <c r="B191" s="263" t="s">
        <v>108</v>
      </c>
      <c r="C191" s="263" t="s">
        <v>109</v>
      </c>
      <c r="D191" s="263" t="s">
        <v>110</v>
      </c>
      <c r="E191" s="214" t="s">
        <v>63</v>
      </c>
      <c r="F191" s="46">
        <v>65700000</v>
      </c>
      <c r="G191" s="46"/>
      <c r="H191" s="46"/>
      <c r="I191" s="46"/>
      <c r="J191" s="46">
        <f xml:space="preserve">              F192</f>
        <v>13050000</v>
      </c>
      <c r="K191" s="46">
        <f>F191+J191</f>
        <v>78750000</v>
      </c>
      <c r="L191" s="283">
        <f>SUM(K191:K192)</f>
        <v>78750000</v>
      </c>
      <c r="M191" s="277" t="s">
        <v>223</v>
      </c>
      <c r="N191" s="277" t="s">
        <v>251</v>
      </c>
    </row>
    <row r="192" spans="2:14" s="3" customFormat="1" ht="72.75" customHeight="1" x14ac:dyDescent="0.3">
      <c r="B192" s="263"/>
      <c r="C192" s="263"/>
      <c r="D192" s="263"/>
      <c r="E192" s="212" t="s">
        <v>73</v>
      </c>
      <c r="F192" s="46">
        <v>13050000</v>
      </c>
      <c r="G192" s="46"/>
      <c r="H192" s="46"/>
      <c r="I192" s="46"/>
      <c r="J192" s="46">
        <v>13050000</v>
      </c>
      <c r="K192" s="46">
        <f>F192-J192</f>
        <v>0</v>
      </c>
      <c r="L192" s="283"/>
      <c r="M192" s="279"/>
      <c r="N192" s="279"/>
    </row>
    <row r="193" spans="2:14" s="3" customFormat="1" ht="102.75" customHeight="1" x14ac:dyDescent="0.3">
      <c r="B193" s="109" t="s">
        <v>108</v>
      </c>
      <c r="C193" s="109" t="s">
        <v>109</v>
      </c>
      <c r="D193" s="109" t="s">
        <v>203</v>
      </c>
      <c r="E193" s="215" t="s">
        <v>38</v>
      </c>
      <c r="F193" s="46"/>
      <c r="G193" s="46"/>
      <c r="H193" s="46"/>
      <c r="I193" s="46"/>
      <c r="J193" s="46"/>
      <c r="K193" s="46">
        <v>160240000</v>
      </c>
      <c r="L193" s="93">
        <f>K193</f>
        <v>160240000</v>
      </c>
      <c r="M193" s="99" t="s">
        <v>223</v>
      </c>
      <c r="N193" s="99" t="s">
        <v>251</v>
      </c>
    </row>
    <row r="194" spans="2:14" s="3" customFormat="1" ht="38.25" customHeight="1" x14ac:dyDescent="0.3">
      <c r="B194" s="261" t="s">
        <v>96</v>
      </c>
      <c r="C194" s="261" t="s">
        <v>111</v>
      </c>
      <c r="D194" s="261" t="s">
        <v>112</v>
      </c>
      <c r="E194" s="210" t="s">
        <v>43</v>
      </c>
      <c r="F194" s="50">
        <v>7500000</v>
      </c>
      <c r="G194" s="50">
        <v>26379962</v>
      </c>
      <c r="H194" s="50"/>
      <c r="I194" s="50"/>
      <c r="J194" s="50"/>
      <c r="K194" s="50">
        <f>F194+G194</f>
        <v>33879962</v>
      </c>
      <c r="L194" s="260">
        <f>SUM(K194:K209)</f>
        <v>4543539867</v>
      </c>
      <c r="M194" s="273" t="s">
        <v>223</v>
      </c>
      <c r="N194" s="273" t="s">
        <v>252</v>
      </c>
    </row>
    <row r="195" spans="2:14" s="3" customFormat="1" ht="43.5" customHeight="1" x14ac:dyDescent="0.3">
      <c r="B195" s="261"/>
      <c r="C195" s="261"/>
      <c r="D195" s="261"/>
      <c r="E195" s="209" t="s">
        <v>25</v>
      </c>
      <c r="F195" s="50">
        <v>1050000</v>
      </c>
      <c r="G195" s="50">
        <v>1200000</v>
      </c>
      <c r="H195" s="50"/>
      <c r="I195" s="50"/>
      <c r="J195" s="50"/>
      <c r="K195" s="50">
        <f>F195+G195</f>
        <v>2250000</v>
      </c>
      <c r="L195" s="260"/>
      <c r="M195" s="274"/>
      <c r="N195" s="274"/>
    </row>
    <row r="196" spans="2:14" s="3" customFormat="1" ht="37.5" customHeight="1" x14ac:dyDescent="0.3">
      <c r="B196" s="261"/>
      <c r="C196" s="261"/>
      <c r="D196" s="261"/>
      <c r="E196" s="211" t="s">
        <v>40</v>
      </c>
      <c r="F196" s="52">
        <v>4500000</v>
      </c>
      <c r="G196" s="52">
        <v>5300000</v>
      </c>
      <c r="H196" s="52"/>
      <c r="I196" s="52"/>
      <c r="J196" s="52"/>
      <c r="K196" s="50">
        <f>F196+G196</f>
        <v>9800000</v>
      </c>
      <c r="L196" s="260"/>
      <c r="M196" s="274"/>
      <c r="N196" s="274"/>
    </row>
    <row r="197" spans="2:14" s="3" customFormat="1" ht="36" customHeight="1" x14ac:dyDescent="0.3">
      <c r="B197" s="261"/>
      <c r="C197" s="261"/>
      <c r="D197" s="261"/>
      <c r="E197" s="211" t="s">
        <v>38</v>
      </c>
      <c r="F197" s="47">
        <v>896695434</v>
      </c>
      <c r="G197" s="47">
        <v>1186947952</v>
      </c>
      <c r="H197" s="47"/>
      <c r="I197" s="47"/>
      <c r="J197" s="47">
        <v>90499034</v>
      </c>
      <c r="K197" s="50">
        <f>F197+G197-J197</f>
        <v>1993144352</v>
      </c>
      <c r="L197" s="260"/>
      <c r="M197" s="274"/>
      <c r="N197" s="274"/>
    </row>
    <row r="198" spans="2:14" s="3" customFormat="1" ht="36.75" customHeight="1" x14ac:dyDescent="0.3">
      <c r="B198" s="261"/>
      <c r="C198" s="261"/>
      <c r="D198" s="261"/>
      <c r="E198" s="209" t="s">
        <v>28</v>
      </c>
      <c r="F198" s="53">
        <v>63766727</v>
      </c>
      <c r="G198" s="53">
        <v>408645246</v>
      </c>
      <c r="H198" s="53"/>
      <c r="I198" s="53"/>
      <c r="J198" s="53"/>
      <c r="K198" s="50">
        <f>F198+G198</f>
        <v>472411973</v>
      </c>
      <c r="L198" s="260"/>
      <c r="M198" s="274"/>
      <c r="N198" s="274"/>
    </row>
    <row r="199" spans="2:14" s="3" customFormat="1" ht="36" customHeight="1" x14ac:dyDescent="0.3">
      <c r="B199" s="261"/>
      <c r="C199" s="261"/>
      <c r="D199" s="261"/>
      <c r="E199" s="210" t="s">
        <v>43</v>
      </c>
      <c r="F199" s="53"/>
      <c r="G199" s="53">
        <v>1242534425</v>
      </c>
      <c r="H199" s="53"/>
      <c r="I199" s="53">
        <v>156626610</v>
      </c>
      <c r="J199" s="53"/>
      <c r="K199" s="53">
        <f>I199+G199</f>
        <v>1399161035</v>
      </c>
      <c r="L199" s="260"/>
      <c r="M199" s="274"/>
      <c r="N199" s="274"/>
    </row>
    <row r="200" spans="2:14" s="3" customFormat="1" ht="36" customHeight="1" x14ac:dyDescent="0.3">
      <c r="B200" s="261"/>
      <c r="C200" s="261"/>
      <c r="D200" s="261"/>
      <c r="E200" s="210" t="s">
        <v>48</v>
      </c>
      <c r="F200" s="53"/>
      <c r="G200" s="53">
        <v>364749499</v>
      </c>
      <c r="H200" s="53"/>
      <c r="I200" s="53"/>
      <c r="J200" s="53"/>
      <c r="K200" s="53">
        <f>G200-J200</f>
        <v>364749499</v>
      </c>
      <c r="L200" s="260"/>
      <c r="M200" s="274"/>
      <c r="N200" s="274"/>
    </row>
    <row r="201" spans="2:14" s="3" customFormat="1" ht="34.5" customHeight="1" x14ac:dyDescent="0.3">
      <c r="B201" s="261"/>
      <c r="C201" s="261"/>
      <c r="D201" s="261"/>
      <c r="E201" s="210" t="s">
        <v>34</v>
      </c>
      <c r="F201" s="53"/>
      <c r="G201" s="53">
        <v>1681983</v>
      </c>
      <c r="H201" s="53"/>
      <c r="I201" s="53"/>
      <c r="J201" s="53"/>
      <c r="K201" s="53">
        <f>G201</f>
        <v>1681983</v>
      </c>
      <c r="L201" s="260"/>
      <c r="M201" s="274"/>
      <c r="N201" s="274"/>
    </row>
    <row r="202" spans="2:14" s="3" customFormat="1" ht="26.25" customHeight="1" x14ac:dyDescent="0.3">
      <c r="B202" s="261"/>
      <c r="C202" s="261"/>
      <c r="D202" s="261"/>
      <c r="E202" s="210" t="s">
        <v>113</v>
      </c>
      <c r="F202" s="53"/>
      <c r="G202" s="53">
        <v>1600015</v>
      </c>
      <c r="H202" s="53"/>
      <c r="I202" s="53"/>
      <c r="J202" s="53"/>
      <c r="K202" s="53">
        <f>G202</f>
        <v>1600015</v>
      </c>
      <c r="L202" s="260"/>
      <c r="M202" s="274"/>
      <c r="N202" s="274"/>
    </row>
    <row r="203" spans="2:14" s="3" customFormat="1" ht="26.25" customHeight="1" x14ac:dyDescent="0.3">
      <c r="B203" s="261"/>
      <c r="C203" s="261"/>
      <c r="D203" s="261"/>
      <c r="E203" s="210" t="s">
        <v>54</v>
      </c>
      <c r="F203" s="53"/>
      <c r="G203" s="53">
        <v>65114047</v>
      </c>
      <c r="H203" s="53"/>
      <c r="I203" s="53"/>
      <c r="J203" s="53"/>
      <c r="K203" s="53">
        <f t="shared" ref="K203:K209" si="8">G203</f>
        <v>65114047</v>
      </c>
      <c r="L203" s="260"/>
      <c r="M203" s="274"/>
      <c r="N203" s="274"/>
    </row>
    <row r="204" spans="2:14" s="3" customFormat="1" ht="26.25" customHeight="1" x14ac:dyDescent="0.3">
      <c r="B204" s="261"/>
      <c r="C204" s="261"/>
      <c r="D204" s="261"/>
      <c r="E204" s="210" t="s">
        <v>107</v>
      </c>
      <c r="F204" s="53"/>
      <c r="G204" s="53">
        <v>175052791</v>
      </c>
      <c r="H204" s="53"/>
      <c r="I204" s="53"/>
      <c r="J204" s="53"/>
      <c r="K204" s="53">
        <f t="shared" si="8"/>
        <v>175052791</v>
      </c>
      <c r="L204" s="260"/>
      <c r="M204" s="274"/>
      <c r="N204" s="274"/>
    </row>
    <row r="205" spans="2:14" s="3" customFormat="1" ht="26.25" customHeight="1" x14ac:dyDescent="0.3">
      <c r="B205" s="261"/>
      <c r="C205" s="261"/>
      <c r="D205" s="261"/>
      <c r="E205" s="210" t="s">
        <v>46</v>
      </c>
      <c r="F205" s="53"/>
      <c r="G205" s="53">
        <v>3988201</v>
      </c>
      <c r="H205" s="53"/>
      <c r="I205" s="53"/>
      <c r="J205" s="53"/>
      <c r="K205" s="53">
        <f t="shared" si="8"/>
        <v>3988201</v>
      </c>
      <c r="L205" s="260"/>
      <c r="M205" s="274"/>
      <c r="N205" s="274"/>
    </row>
    <row r="206" spans="2:14" s="3" customFormat="1" ht="26.25" customHeight="1" x14ac:dyDescent="0.3">
      <c r="B206" s="261"/>
      <c r="C206" s="261"/>
      <c r="D206" s="261"/>
      <c r="E206" s="210" t="s">
        <v>15</v>
      </c>
      <c r="F206" s="53"/>
      <c r="G206" s="53">
        <v>4959997</v>
      </c>
      <c r="H206" s="53"/>
      <c r="I206" s="53"/>
      <c r="J206" s="53"/>
      <c r="K206" s="53">
        <f t="shared" si="8"/>
        <v>4959997</v>
      </c>
      <c r="L206" s="260"/>
      <c r="M206" s="274"/>
      <c r="N206" s="274"/>
    </row>
    <row r="207" spans="2:14" s="3" customFormat="1" ht="26.25" customHeight="1" x14ac:dyDescent="0.3">
      <c r="B207" s="261"/>
      <c r="C207" s="261"/>
      <c r="D207" s="261"/>
      <c r="E207" s="210" t="s">
        <v>68</v>
      </c>
      <c r="F207" s="53"/>
      <c r="G207" s="53">
        <v>5332012</v>
      </c>
      <c r="H207" s="53"/>
      <c r="I207" s="53"/>
      <c r="J207" s="53"/>
      <c r="K207" s="53">
        <f t="shared" si="8"/>
        <v>5332012</v>
      </c>
      <c r="L207" s="260"/>
      <c r="M207" s="274"/>
      <c r="N207" s="274"/>
    </row>
    <row r="208" spans="2:14" s="3" customFormat="1" ht="26.25" customHeight="1" x14ac:dyDescent="0.3">
      <c r="B208" s="261"/>
      <c r="C208" s="261"/>
      <c r="D208" s="261"/>
      <c r="E208" s="211" t="s">
        <v>49</v>
      </c>
      <c r="F208" s="53"/>
      <c r="G208" s="52">
        <v>414000</v>
      </c>
      <c r="H208" s="52"/>
      <c r="I208" s="53"/>
      <c r="J208" s="53"/>
      <c r="K208" s="53">
        <f t="shared" si="8"/>
        <v>414000</v>
      </c>
      <c r="L208" s="260"/>
      <c r="M208" s="274"/>
      <c r="N208" s="274"/>
    </row>
    <row r="209" spans="2:15" s="3" customFormat="1" ht="26.25" customHeight="1" x14ac:dyDescent="0.3">
      <c r="B209" s="261"/>
      <c r="C209" s="261"/>
      <c r="D209" s="261"/>
      <c r="E209" s="209" t="s">
        <v>114</v>
      </c>
      <c r="F209" s="53"/>
      <c r="G209" s="56">
        <v>10000000</v>
      </c>
      <c r="H209" s="56"/>
      <c r="I209" s="53"/>
      <c r="J209" s="53"/>
      <c r="K209" s="53">
        <f t="shared" si="8"/>
        <v>10000000</v>
      </c>
      <c r="L209" s="260"/>
      <c r="M209" s="275"/>
      <c r="N209" s="275"/>
    </row>
    <row r="210" spans="2:15" s="3" customFormat="1" ht="33" customHeight="1" x14ac:dyDescent="0.3">
      <c r="B210" s="261" t="s">
        <v>96</v>
      </c>
      <c r="C210" s="261" t="s">
        <v>111</v>
      </c>
      <c r="D210" s="261" t="s">
        <v>115</v>
      </c>
      <c r="E210" s="216" t="s">
        <v>57</v>
      </c>
      <c r="F210" s="50">
        <v>1096091792</v>
      </c>
      <c r="G210" s="50"/>
      <c r="H210" s="50"/>
      <c r="I210" s="50"/>
      <c r="J210" s="50"/>
      <c r="K210" s="50">
        <f>F210</f>
        <v>1096091792</v>
      </c>
      <c r="L210" s="262">
        <f>SUM(K210:K215)</f>
        <v>2250607189</v>
      </c>
      <c r="M210" s="273" t="s">
        <v>223</v>
      </c>
      <c r="N210" s="273" t="s">
        <v>252</v>
      </c>
    </row>
    <row r="211" spans="2:15" s="3" customFormat="1" ht="33" customHeight="1" x14ac:dyDescent="0.3">
      <c r="B211" s="261"/>
      <c r="C211" s="261"/>
      <c r="D211" s="261"/>
      <c r="E211" s="217" t="s">
        <v>58</v>
      </c>
      <c r="F211" s="50">
        <v>44637134</v>
      </c>
      <c r="G211" s="50"/>
      <c r="H211" s="50"/>
      <c r="I211" s="50"/>
      <c r="J211" s="50"/>
      <c r="K211" s="50">
        <f>F211</f>
        <v>44637134</v>
      </c>
      <c r="L211" s="262"/>
      <c r="M211" s="274"/>
      <c r="N211" s="274"/>
    </row>
    <row r="212" spans="2:15" s="3" customFormat="1" ht="33" customHeight="1" x14ac:dyDescent="0.3">
      <c r="B212" s="261"/>
      <c r="C212" s="261"/>
      <c r="D212" s="261"/>
      <c r="E212" s="217" t="s">
        <v>59</v>
      </c>
      <c r="F212" s="50">
        <v>95060753</v>
      </c>
      <c r="G212" s="50"/>
      <c r="H212" s="50"/>
      <c r="I212" s="50"/>
      <c r="J212" s="50"/>
      <c r="K212" s="50">
        <f>F212</f>
        <v>95060753</v>
      </c>
      <c r="L212" s="262"/>
      <c r="M212" s="274"/>
      <c r="N212" s="274"/>
    </row>
    <row r="213" spans="2:15" s="3" customFormat="1" ht="33" customHeight="1" x14ac:dyDescent="0.3">
      <c r="B213" s="261"/>
      <c r="C213" s="261"/>
      <c r="D213" s="261"/>
      <c r="E213" s="217" t="s">
        <v>60</v>
      </c>
      <c r="F213" s="50">
        <v>100553011</v>
      </c>
      <c r="G213" s="50"/>
      <c r="H213" s="50"/>
      <c r="I213" s="50"/>
      <c r="J213" s="50"/>
      <c r="K213" s="50">
        <f>F213</f>
        <v>100553011</v>
      </c>
      <c r="L213" s="262"/>
      <c r="M213" s="274"/>
      <c r="N213" s="274"/>
    </row>
    <row r="214" spans="2:15" s="3" customFormat="1" ht="33" customHeight="1" x14ac:dyDescent="0.3">
      <c r="B214" s="261"/>
      <c r="C214" s="261"/>
      <c r="D214" s="261"/>
      <c r="E214" s="217" t="s">
        <v>61</v>
      </c>
      <c r="F214" s="50">
        <v>45670499</v>
      </c>
      <c r="G214" s="50"/>
      <c r="H214" s="50"/>
      <c r="I214" s="50"/>
      <c r="J214" s="50"/>
      <c r="K214" s="50">
        <f>F214</f>
        <v>45670499</v>
      </c>
      <c r="L214" s="262"/>
      <c r="M214" s="274"/>
      <c r="N214" s="274"/>
      <c r="O214" s="23"/>
    </row>
    <row r="215" spans="2:15" s="3" customFormat="1" ht="33" customHeight="1" x14ac:dyDescent="0.3">
      <c r="B215" s="261"/>
      <c r="C215" s="261"/>
      <c r="D215" s="261"/>
      <c r="E215" s="211" t="s">
        <v>38</v>
      </c>
      <c r="F215" s="47">
        <v>817596823</v>
      </c>
      <c r="G215" s="47">
        <v>295650000</v>
      </c>
      <c r="H215" s="47"/>
      <c r="I215" s="47"/>
      <c r="J215" s="47">
        <v>244652823</v>
      </c>
      <c r="K215" s="47">
        <f>G215+F215-J215</f>
        <v>868594000</v>
      </c>
      <c r="L215" s="262"/>
      <c r="M215" s="275"/>
      <c r="N215" s="275"/>
    </row>
    <row r="216" spans="2:15" s="3" customFormat="1" ht="33" customHeight="1" x14ac:dyDescent="0.3">
      <c r="B216" s="261" t="s">
        <v>96</v>
      </c>
      <c r="C216" s="261" t="s">
        <v>111</v>
      </c>
      <c r="D216" s="261" t="s">
        <v>116</v>
      </c>
      <c r="E216" s="218" t="s">
        <v>42</v>
      </c>
      <c r="F216" s="16"/>
      <c r="G216" s="40">
        <v>8846978</v>
      </c>
      <c r="H216" s="40"/>
      <c r="I216" s="47"/>
      <c r="J216" s="47"/>
      <c r="K216" s="47">
        <f>G216</f>
        <v>8846978</v>
      </c>
      <c r="L216" s="262">
        <f>SUM(K216:K222)</f>
        <v>3133836598</v>
      </c>
      <c r="M216" s="273" t="s">
        <v>223</v>
      </c>
      <c r="N216" s="273" t="s">
        <v>252</v>
      </c>
    </row>
    <row r="217" spans="2:15" s="3" customFormat="1" ht="33" customHeight="1" x14ac:dyDescent="0.3">
      <c r="B217" s="261"/>
      <c r="C217" s="261"/>
      <c r="D217" s="261"/>
      <c r="E217" s="209" t="s">
        <v>107</v>
      </c>
      <c r="F217" s="16"/>
      <c r="G217" s="57">
        <v>5093557</v>
      </c>
      <c r="H217" s="57"/>
      <c r="I217" s="47"/>
      <c r="J217" s="47"/>
      <c r="K217" s="47">
        <f>G217</f>
        <v>5093557</v>
      </c>
      <c r="L217" s="262"/>
      <c r="M217" s="274"/>
      <c r="N217" s="274"/>
    </row>
    <row r="218" spans="2:15" s="3" customFormat="1" ht="33" customHeight="1" x14ac:dyDescent="0.3">
      <c r="B218" s="261"/>
      <c r="C218" s="261"/>
      <c r="D218" s="261"/>
      <c r="E218" s="219" t="s">
        <v>46</v>
      </c>
      <c r="F218" s="16"/>
      <c r="G218" s="57">
        <v>50301101</v>
      </c>
      <c r="H218" s="57"/>
      <c r="I218" s="47"/>
      <c r="J218" s="47"/>
      <c r="K218" s="47">
        <f>G218</f>
        <v>50301101</v>
      </c>
      <c r="L218" s="262"/>
      <c r="M218" s="274"/>
      <c r="N218" s="274"/>
    </row>
    <row r="219" spans="2:15" s="3" customFormat="1" ht="33" customHeight="1" x14ac:dyDescent="0.3">
      <c r="B219" s="261"/>
      <c r="C219" s="261"/>
      <c r="D219" s="261"/>
      <c r="E219" s="211" t="s">
        <v>68</v>
      </c>
      <c r="F219" s="16"/>
      <c r="G219" s="38">
        <v>32561256</v>
      </c>
      <c r="H219" s="38"/>
      <c r="I219" s="47"/>
      <c r="J219" s="47"/>
      <c r="K219" s="47">
        <f>G219</f>
        <v>32561256</v>
      </c>
      <c r="L219" s="262"/>
      <c r="M219" s="274"/>
      <c r="N219" s="274"/>
    </row>
    <row r="220" spans="2:15" s="3" customFormat="1" ht="33" customHeight="1" x14ac:dyDescent="0.3">
      <c r="B220" s="261"/>
      <c r="C220" s="261"/>
      <c r="D220" s="261"/>
      <c r="E220" s="211" t="s">
        <v>48</v>
      </c>
      <c r="F220" s="16"/>
      <c r="G220" s="38">
        <v>2427431224</v>
      </c>
      <c r="H220" s="38"/>
      <c r="I220" s="47"/>
      <c r="J220" s="47"/>
      <c r="K220" s="47">
        <f>G220+I220</f>
        <v>2427431224</v>
      </c>
      <c r="L220" s="262"/>
      <c r="M220" s="274"/>
      <c r="N220" s="274"/>
    </row>
    <row r="221" spans="2:15" s="3" customFormat="1" ht="33" customHeight="1" x14ac:dyDescent="0.3">
      <c r="B221" s="261"/>
      <c r="C221" s="261"/>
      <c r="D221" s="261"/>
      <c r="E221" s="209" t="s">
        <v>50</v>
      </c>
      <c r="F221" s="16"/>
      <c r="G221" s="41">
        <v>275059589</v>
      </c>
      <c r="H221" s="41"/>
      <c r="I221" s="47"/>
      <c r="J221" s="47"/>
      <c r="K221" s="47">
        <f>G221</f>
        <v>275059589</v>
      </c>
      <c r="L221" s="262"/>
      <c r="M221" s="274"/>
      <c r="N221" s="274"/>
    </row>
    <row r="222" spans="2:15" s="3" customFormat="1" ht="33" customHeight="1" x14ac:dyDescent="0.3">
      <c r="B222" s="261"/>
      <c r="C222" s="261"/>
      <c r="D222" s="261"/>
      <c r="E222" s="211" t="s">
        <v>38</v>
      </c>
      <c r="F222" s="16"/>
      <c r="G222" s="38">
        <v>341887883</v>
      </c>
      <c r="H222" s="38"/>
      <c r="I222" s="47"/>
      <c r="J222" s="47">
        <v>7344990</v>
      </c>
      <c r="K222" s="47">
        <f>G222-J222</f>
        <v>334542893</v>
      </c>
      <c r="L222" s="262"/>
      <c r="M222" s="275"/>
      <c r="N222" s="275"/>
    </row>
    <row r="223" spans="2:15" s="3" customFormat="1" ht="153.75" customHeight="1" x14ac:dyDescent="0.3">
      <c r="B223" s="32" t="s">
        <v>96</v>
      </c>
      <c r="C223" s="32" t="s">
        <v>111</v>
      </c>
      <c r="D223" s="32" t="s">
        <v>117</v>
      </c>
      <c r="E223" s="211" t="s">
        <v>38</v>
      </c>
      <c r="F223" s="47"/>
      <c r="G223" s="47">
        <v>2007982153</v>
      </c>
      <c r="H223" s="47"/>
      <c r="I223" s="47"/>
      <c r="J223" s="47">
        <v>97503153</v>
      </c>
      <c r="K223" s="47">
        <f>G223-J223</f>
        <v>1910479000</v>
      </c>
      <c r="L223" s="14">
        <f>K223</f>
        <v>1910479000</v>
      </c>
      <c r="M223" s="58" t="s">
        <v>223</v>
      </c>
      <c r="N223" s="58" t="s">
        <v>252</v>
      </c>
    </row>
    <row r="224" spans="2:15" s="3" customFormat="1" ht="119.25" customHeight="1" x14ac:dyDescent="0.3">
      <c r="B224" s="32" t="s">
        <v>96</v>
      </c>
      <c r="C224" s="32" t="s">
        <v>111</v>
      </c>
      <c r="D224" s="32" t="s">
        <v>118</v>
      </c>
      <c r="E224" s="211" t="s">
        <v>28</v>
      </c>
      <c r="F224" s="47"/>
      <c r="G224" s="47">
        <v>37053705</v>
      </c>
      <c r="H224" s="47"/>
      <c r="I224" s="47"/>
      <c r="J224" s="47"/>
      <c r="K224" s="47">
        <f>G224</f>
        <v>37053705</v>
      </c>
      <c r="L224" s="14">
        <f>K224</f>
        <v>37053705</v>
      </c>
      <c r="M224" s="58" t="s">
        <v>223</v>
      </c>
      <c r="N224" s="58" t="s">
        <v>253</v>
      </c>
    </row>
    <row r="225" spans="1:16" s="3" customFormat="1" ht="162" customHeight="1" x14ac:dyDescent="0.3">
      <c r="B225" s="32" t="s">
        <v>96</v>
      </c>
      <c r="C225" s="32" t="s">
        <v>111</v>
      </c>
      <c r="D225" s="32" t="s">
        <v>119</v>
      </c>
      <c r="E225" s="211" t="s">
        <v>114</v>
      </c>
      <c r="F225" s="47"/>
      <c r="G225" s="47">
        <v>910375662</v>
      </c>
      <c r="H225" s="47"/>
      <c r="I225" s="47"/>
      <c r="J225" s="47"/>
      <c r="K225" s="47">
        <f>G225</f>
        <v>910375662</v>
      </c>
      <c r="L225" s="14">
        <f>K225</f>
        <v>910375662</v>
      </c>
      <c r="M225" s="95" t="s">
        <v>219</v>
      </c>
      <c r="N225" s="95" t="s">
        <v>254</v>
      </c>
    </row>
    <row r="226" spans="1:16" s="3" customFormat="1" ht="162" customHeight="1" x14ac:dyDescent="0.3">
      <c r="B226" s="95" t="s">
        <v>96</v>
      </c>
      <c r="C226" s="94" t="s">
        <v>111</v>
      </c>
      <c r="D226" s="94" t="s">
        <v>280</v>
      </c>
      <c r="E226" s="211"/>
      <c r="F226" s="47"/>
      <c r="G226" s="47"/>
      <c r="H226" s="47"/>
      <c r="I226" s="47">
        <v>2946589061</v>
      </c>
      <c r="J226" s="47">
        <v>3233410939</v>
      </c>
      <c r="K226" s="47">
        <f>I226+J226</f>
        <v>6180000000</v>
      </c>
      <c r="L226" s="14">
        <f>K226</f>
        <v>6180000000</v>
      </c>
      <c r="M226" s="94" t="s">
        <v>223</v>
      </c>
      <c r="N226" s="94" t="s">
        <v>252</v>
      </c>
    </row>
    <row r="227" spans="1:16" s="3" customFormat="1" ht="33.75" customHeight="1" x14ac:dyDescent="0.3">
      <c r="B227" s="263" t="s">
        <v>96</v>
      </c>
      <c r="C227" s="263" t="s">
        <v>120</v>
      </c>
      <c r="D227" s="263" t="s">
        <v>121</v>
      </c>
      <c r="E227" s="220" t="s">
        <v>42</v>
      </c>
      <c r="F227" s="59">
        <v>178504819</v>
      </c>
      <c r="G227" s="59"/>
      <c r="H227" s="59"/>
      <c r="I227" s="59"/>
      <c r="J227" s="59"/>
      <c r="K227" s="59">
        <f>F227</f>
        <v>178504819</v>
      </c>
      <c r="L227" s="282">
        <f>SUM(K227:K230)</f>
        <v>468150735</v>
      </c>
      <c r="M227" s="277" t="s">
        <v>223</v>
      </c>
      <c r="N227" s="277" t="s">
        <v>253</v>
      </c>
    </row>
    <row r="228" spans="1:16" s="3" customFormat="1" ht="29.25" customHeight="1" x14ac:dyDescent="0.3">
      <c r="B228" s="263"/>
      <c r="C228" s="263"/>
      <c r="D228" s="263"/>
      <c r="E228" s="221" t="s">
        <v>43</v>
      </c>
      <c r="F228" s="46">
        <v>115217892</v>
      </c>
      <c r="G228" s="46"/>
      <c r="H228" s="46"/>
      <c r="I228" s="46"/>
      <c r="J228" s="46"/>
      <c r="K228" s="59">
        <f>F228</f>
        <v>115217892</v>
      </c>
      <c r="L228" s="282"/>
      <c r="M228" s="278"/>
      <c r="N228" s="278"/>
    </row>
    <row r="229" spans="1:16" s="3" customFormat="1" ht="38.25" customHeight="1" x14ac:dyDescent="0.3">
      <c r="B229" s="263"/>
      <c r="C229" s="263"/>
      <c r="D229" s="263"/>
      <c r="E229" s="43" t="s">
        <v>62</v>
      </c>
      <c r="F229" s="46">
        <v>131723024</v>
      </c>
      <c r="G229" s="46"/>
      <c r="H229" s="46"/>
      <c r="I229" s="46"/>
      <c r="J229" s="46"/>
      <c r="K229" s="59">
        <f>F229</f>
        <v>131723024</v>
      </c>
      <c r="L229" s="282"/>
      <c r="M229" s="278"/>
      <c r="N229" s="278"/>
    </row>
    <row r="230" spans="1:16" s="3" customFormat="1" ht="81" customHeight="1" x14ac:dyDescent="0.3">
      <c r="B230" s="263"/>
      <c r="C230" s="263"/>
      <c r="D230" s="263"/>
      <c r="E230" s="43" t="s">
        <v>29</v>
      </c>
      <c r="F230" s="60">
        <v>42705000</v>
      </c>
      <c r="G230" s="60"/>
      <c r="H230" s="60"/>
      <c r="I230" s="60"/>
      <c r="J230" s="60"/>
      <c r="K230" s="59">
        <f>F230</f>
        <v>42705000</v>
      </c>
      <c r="L230" s="282"/>
      <c r="M230" s="279"/>
      <c r="N230" s="279"/>
    </row>
    <row r="231" spans="1:16" s="3" customFormat="1" ht="30.75" customHeight="1" x14ac:dyDescent="0.3">
      <c r="B231" s="263" t="s">
        <v>96</v>
      </c>
      <c r="C231" s="263" t="s">
        <v>120</v>
      </c>
      <c r="D231" s="263" t="s">
        <v>122</v>
      </c>
      <c r="E231" s="221" t="s">
        <v>44</v>
      </c>
      <c r="F231" s="60"/>
      <c r="G231" s="27">
        <v>3123750</v>
      </c>
      <c r="H231" s="27"/>
      <c r="I231" s="60"/>
      <c r="J231" s="60"/>
      <c r="K231" s="60">
        <f>G231</f>
        <v>3123750</v>
      </c>
      <c r="L231" s="282">
        <f>SUM(K231:K242)</f>
        <v>372307124</v>
      </c>
      <c r="M231" s="277" t="s">
        <v>223</v>
      </c>
      <c r="N231" s="263" t="s">
        <v>253</v>
      </c>
    </row>
    <row r="232" spans="1:16" s="3" customFormat="1" ht="30.75" customHeight="1" x14ac:dyDescent="0.3">
      <c r="B232" s="263"/>
      <c r="C232" s="263"/>
      <c r="D232" s="263"/>
      <c r="E232" s="221" t="s">
        <v>48</v>
      </c>
      <c r="F232" s="60"/>
      <c r="G232" s="27">
        <v>109857230</v>
      </c>
      <c r="H232" s="27"/>
      <c r="I232" s="60"/>
      <c r="J232" s="60"/>
      <c r="K232" s="60">
        <f t="shared" ref="K232:K242" si="9">G232</f>
        <v>109857230</v>
      </c>
      <c r="L232" s="282"/>
      <c r="M232" s="278"/>
      <c r="N232" s="263"/>
    </row>
    <row r="233" spans="1:16" s="3" customFormat="1" ht="30.75" customHeight="1" x14ac:dyDescent="0.3">
      <c r="B233" s="263"/>
      <c r="C233" s="263"/>
      <c r="D233" s="263"/>
      <c r="E233" s="222" t="s">
        <v>49</v>
      </c>
      <c r="F233" s="60"/>
      <c r="G233" s="28">
        <v>162018463</v>
      </c>
      <c r="H233" s="28"/>
      <c r="I233" s="60"/>
      <c r="J233" s="60"/>
      <c r="K233" s="60">
        <f t="shared" si="9"/>
        <v>162018463</v>
      </c>
      <c r="L233" s="282"/>
      <c r="M233" s="278"/>
      <c r="N233" s="263"/>
    </row>
    <row r="234" spans="1:16" s="3" customFormat="1" ht="30.75" customHeight="1" x14ac:dyDescent="0.3">
      <c r="B234" s="263"/>
      <c r="C234" s="263"/>
      <c r="D234" s="263"/>
      <c r="E234" s="223" t="s">
        <v>65</v>
      </c>
      <c r="F234" s="60"/>
      <c r="G234" s="61">
        <v>2263975</v>
      </c>
      <c r="H234" s="61"/>
      <c r="I234" s="60"/>
      <c r="J234" s="60"/>
      <c r="K234" s="60">
        <f t="shared" si="9"/>
        <v>2263975</v>
      </c>
      <c r="L234" s="282"/>
      <c r="M234" s="278"/>
      <c r="N234" s="263"/>
    </row>
    <row r="235" spans="1:16" s="3" customFormat="1" ht="30.75" customHeight="1" x14ac:dyDescent="0.3">
      <c r="B235" s="263"/>
      <c r="C235" s="263"/>
      <c r="D235" s="263"/>
      <c r="E235" s="43" t="s">
        <v>34</v>
      </c>
      <c r="F235" s="60"/>
      <c r="G235" s="28">
        <v>65512429</v>
      </c>
      <c r="H235" s="28"/>
      <c r="I235" s="60"/>
      <c r="J235" s="60"/>
      <c r="K235" s="60">
        <f t="shared" si="9"/>
        <v>65512429</v>
      </c>
      <c r="L235" s="282"/>
      <c r="M235" s="278"/>
      <c r="N235" s="263"/>
    </row>
    <row r="236" spans="1:16" s="3" customFormat="1" ht="30.75" customHeight="1" x14ac:dyDescent="0.3">
      <c r="B236" s="263"/>
      <c r="C236" s="263"/>
      <c r="D236" s="263"/>
      <c r="E236" s="43" t="s">
        <v>107</v>
      </c>
      <c r="F236" s="60"/>
      <c r="G236" s="26">
        <v>5514750</v>
      </c>
      <c r="H236" s="26"/>
      <c r="I236" s="60"/>
      <c r="J236" s="60"/>
      <c r="K236" s="60">
        <f t="shared" si="9"/>
        <v>5514750</v>
      </c>
      <c r="L236" s="282"/>
      <c r="M236" s="278"/>
      <c r="N236" s="263"/>
    </row>
    <row r="237" spans="1:16" s="3" customFormat="1" ht="30.75" customHeight="1" x14ac:dyDescent="0.3">
      <c r="B237" s="263"/>
      <c r="C237" s="263"/>
      <c r="D237" s="263"/>
      <c r="E237" s="43" t="s">
        <v>45</v>
      </c>
      <c r="F237" s="60"/>
      <c r="G237" s="27">
        <v>1076950</v>
      </c>
      <c r="H237" s="27"/>
      <c r="I237" s="60"/>
      <c r="J237" s="60"/>
      <c r="K237" s="60">
        <f t="shared" si="9"/>
        <v>1076950</v>
      </c>
      <c r="L237" s="282"/>
      <c r="M237" s="278"/>
      <c r="N237" s="263"/>
    </row>
    <row r="238" spans="1:16" s="3" customFormat="1" ht="30.75" customHeight="1" x14ac:dyDescent="0.3">
      <c r="B238" s="263"/>
      <c r="C238" s="263"/>
      <c r="D238" s="263"/>
      <c r="E238" s="43" t="s">
        <v>15</v>
      </c>
      <c r="F238" s="60"/>
      <c r="G238" s="27">
        <v>684250</v>
      </c>
      <c r="H238" s="27"/>
      <c r="I238" s="60"/>
      <c r="J238" s="60"/>
      <c r="K238" s="60">
        <f t="shared" si="9"/>
        <v>684250</v>
      </c>
      <c r="L238" s="282"/>
      <c r="M238" s="278"/>
      <c r="N238" s="263"/>
      <c r="O238" s="114"/>
    </row>
    <row r="239" spans="1:16" s="3" customFormat="1" ht="30.75" customHeight="1" x14ac:dyDescent="0.3">
      <c r="A239" s="114"/>
      <c r="B239" s="263"/>
      <c r="C239" s="263"/>
      <c r="D239" s="263"/>
      <c r="E239" s="43" t="s">
        <v>43</v>
      </c>
      <c r="F239" s="60"/>
      <c r="G239" s="27">
        <v>281140</v>
      </c>
      <c r="H239" s="27"/>
      <c r="I239" s="60"/>
      <c r="J239" s="60"/>
      <c r="K239" s="60">
        <f t="shared" si="9"/>
        <v>281140</v>
      </c>
      <c r="L239" s="282"/>
      <c r="M239" s="278"/>
      <c r="N239" s="263"/>
      <c r="O239" s="114"/>
    </row>
    <row r="240" spans="1:16" s="22" customFormat="1" ht="30.75" customHeight="1" x14ac:dyDescent="0.3">
      <c r="A240" s="114"/>
      <c r="B240" s="263"/>
      <c r="C240" s="263"/>
      <c r="D240" s="263"/>
      <c r="E240" s="206" t="s">
        <v>68</v>
      </c>
      <c r="F240" s="60"/>
      <c r="G240" s="29">
        <v>249900</v>
      </c>
      <c r="H240" s="29"/>
      <c r="I240" s="60"/>
      <c r="J240" s="60"/>
      <c r="K240" s="60">
        <f t="shared" si="9"/>
        <v>249900</v>
      </c>
      <c r="L240" s="282"/>
      <c r="M240" s="278"/>
      <c r="N240" s="263"/>
      <c r="O240" s="114"/>
      <c r="P240" s="92"/>
    </row>
    <row r="241" spans="1:16" s="22" customFormat="1" ht="30.75" customHeight="1" x14ac:dyDescent="0.3">
      <c r="A241" s="114"/>
      <c r="B241" s="263"/>
      <c r="C241" s="263"/>
      <c r="D241" s="263"/>
      <c r="E241" s="224" t="s">
        <v>48</v>
      </c>
      <c r="F241" s="60"/>
      <c r="G241" s="62">
        <v>5485008</v>
      </c>
      <c r="H241" s="62"/>
      <c r="I241" s="60"/>
      <c r="J241" s="60"/>
      <c r="K241" s="60">
        <f t="shared" si="9"/>
        <v>5485008</v>
      </c>
      <c r="L241" s="282"/>
      <c r="M241" s="278"/>
      <c r="N241" s="263"/>
      <c r="O241" s="114"/>
      <c r="P241" s="92"/>
    </row>
    <row r="242" spans="1:16" s="22" customFormat="1" ht="30.75" customHeight="1" x14ac:dyDescent="0.3">
      <c r="A242" s="114"/>
      <c r="B242" s="263"/>
      <c r="C242" s="263"/>
      <c r="D242" s="263"/>
      <c r="E242" s="206" t="s">
        <v>49</v>
      </c>
      <c r="F242" s="60"/>
      <c r="G242" s="29">
        <v>16239279</v>
      </c>
      <c r="H242" s="29"/>
      <c r="I242" s="60"/>
      <c r="J242" s="60"/>
      <c r="K242" s="60">
        <f t="shared" si="9"/>
        <v>16239279</v>
      </c>
      <c r="L242" s="282"/>
      <c r="M242" s="279"/>
      <c r="N242" s="263"/>
      <c r="O242" s="114"/>
      <c r="P242" s="92"/>
    </row>
    <row r="243" spans="1:16" s="3" customFormat="1" ht="38.25" customHeight="1" x14ac:dyDescent="0.3">
      <c r="B243" s="261" t="s">
        <v>108</v>
      </c>
      <c r="C243" s="261" t="s">
        <v>123</v>
      </c>
      <c r="D243" s="261" t="s">
        <v>124</v>
      </c>
      <c r="E243" s="218" t="s">
        <v>42</v>
      </c>
      <c r="F243" s="49">
        <v>557904442</v>
      </c>
      <c r="G243" s="16"/>
      <c r="H243" s="16"/>
      <c r="I243" s="49"/>
      <c r="J243" s="49">
        <v>557904442</v>
      </c>
      <c r="K243" s="49">
        <f>F243-J243</f>
        <v>0</v>
      </c>
      <c r="L243" s="262">
        <f>SUM(K243:K245)</f>
        <v>25576551126</v>
      </c>
      <c r="M243" s="273" t="s">
        <v>277</v>
      </c>
      <c r="N243" s="261" t="s">
        <v>263</v>
      </c>
      <c r="O243" s="114"/>
    </row>
    <row r="244" spans="1:16" s="3" customFormat="1" ht="44.25" customHeight="1" x14ac:dyDescent="0.3">
      <c r="B244" s="261"/>
      <c r="C244" s="261"/>
      <c r="D244" s="261"/>
      <c r="E244" s="209" t="s">
        <v>50</v>
      </c>
      <c r="F244" s="63">
        <v>2103738292</v>
      </c>
      <c r="G244" s="49">
        <f>5802302484+15475872012</f>
        <v>21278174496</v>
      </c>
      <c r="H244" s="49"/>
      <c r="I244" s="63">
        <v>325144339</v>
      </c>
      <c r="J244" s="63"/>
      <c r="K244" s="63">
        <f>G244+F244+I244</f>
        <v>23707057127</v>
      </c>
      <c r="L244" s="262"/>
      <c r="M244" s="274"/>
      <c r="N244" s="261"/>
      <c r="O244" s="114"/>
    </row>
    <row r="245" spans="1:16" s="3" customFormat="1" ht="54" customHeight="1" x14ac:dyDescent="0.3">
      <c r="B245" s="261"/>
      <c r="C245" s="261"/>
      <c r="D245" s="261"/>
      <c r="E245" s="211" t="s">
        <v>125</v>
      </c>
      <c r="F245" s="52">
        <v>147261681</v>
      </c>
      <c r="G245" s="52">
        <f>406161174+1083311041</f>
        <v>1489472215</v>
      </c>
      <c r="H245" s="52"/>
      <c r="I245" s="52">
        <v>232760103</v>
      </c>
      <c r="J245" s="52"/>
      <c r="K245" s="63">
        <f>G245+F245+I245</f>
        <v>1869493999</v>
      </c>
      <c r="L245" s="262"/>
      <c r="M245" s="275"/>
      <c r="N245" s="261"/>
    </row>
    <row r="246" spans="1:16" s="3" customFormat="1" ht="143.25" customHeight="1" x14ac:dyDescent="0.3">
      <c r="B246" s="64" t="s">
        <v>108</v>
      </c>
      <c r="C246" s="32" t="s">
        <v>123</v>
      </c>
      <c r="D246" s="32" t="s">
        <v>126</v>
      </c>
      <c r="E246" s="211" t="s">
        <v>45</v>
      </c>
      <c r="F246" s="52"/>
      <c r="G246" s="52">
        <v>309068136</v>
      </c>
      <c r="H246" s="52"/>
      <c r="I246" s="52"/>
      <c r="J246" s="52"/>
      <c r="K246" s="52">
        <f t="shared" ref="K246:K254" si="10">G246</f>
        <v>309068136</v>
      </c>
      <c r="L246" s="14">
        <f>G246</f>
        <v>309068136</v>
      </c>
      <c r="M246" s="156" t="s">
        <v>219</v>
      </c>
      <c r="N246" s="156" t="s">
        <v>278</v>
      </c>
    </row>
    <row r="247" spans="1:16" s="3" customFormat="1" ht="69" customHeight="1" x14ac:dyDescent="0.3">
      <c r="B247" s="64" t="s">
        <v>108</v>
      </c>
      <c r="C247" s="64" t="s">
        <v>123</v>
      </c>
      <c r="D247" s="64" t="s">
        <v>127</v>
      </c>
      <c r="E247" s="225" t="s">
        <v>50</v>
      </c>
      <c r="F247" s="52"/>
      <c r="G247" s="65">
        <v>29031843</v>
      </c>
      <c r="H247" s="65"/>
      <c r="I247" s="52"/>
      <c r="J247" s="52"/>
      <c r="K247" s="52">
        <f t="shared" si="10"/>
        <v>29031843</v>
      </c>
      <c r="L247" s="66">
        <f t="shared" ref="L247:L252" si="11">K247</f>
        <v>29031843</v>
      </c>
      <c r="M247" s="95" t="s">
        <v>279</v>
      </c>
      <c r="N247" s="95" t="s">
        <v>263</v>
      </c>
    </row>
    <row r="248" spans="1:16" s="3" customFormat="1" ht="74.25" customHeight="1" x14ac:dyDescent="0.3">
      <c r="B248" s="64" t="s">
        <v>108</v>
      </c>
      <c r="C248" s="64" t="s">
        <v>123</v>
      </c>
      <c r="D248" s="64" t="s">
        <v>127</v>
      </c>
      <c r="E248" s="225" t="s">
        <v>50</v>
      </c>
      <c r="F248" s="52"/>
      <c r="G248" s="65">
        <v>105538849</v>
      </c>
      <c r="H248" s="65"/>
      <c r="I248" s="52"/>
      <c r="J248" s="52"/>
      <c r="K248" s="52">
        <f t="shared" si="10"/>
        <v>105538849</v>
      </c>
      <c r="L248" s="66">
        <f t="shared" si="11"/>
        <v>105538849</v>
      </c>
      <c r="M248" s="95" t="s">
        <v>279</v>
      </c>
      <c r="N248" s="95" t="s">
        <v>263</v>
      </c>
    </row>
    <row r="249" spans="1:16" s="3" customFormat="1" ht="183.75" customHeight="1" x14ac:dyDescent="0.3">
      <c r="B249" s="64" t="s">
        <v>108</v>
      </c>
      <c r="C249" s="64" t="s">
        <v>123</v>
      </c>
      <c r="D249" s="64" t="s">
        <v>128</v>
      </c>
      <c r="E249" s="225" t="s">
        <v>50</v>
      </c>
      <c r="F249" s="52"/>
      <c r="G249" s="65">
        <v>3948898231</v>
      </c>
      <c r="H249" s="65"/>
      <c r="I249" s="52"/>
      <c r="J249" s="52"/>
      <c r="K249" s="52">
        <f t="shared" si="10"/>
        <v>3948898231</v>
      </c>
      <c r="L249" s="66">
        <f t="shared" si="11"/>
        <v>3948898231</v>
      </c>
      <c r="M249" s="157" t="s">
        <v>279</v>
      </c>
      <c r="N249" s="157" t="s">
        <v>263</v>
      </c>
    </row>
    <row r="250" spans="1:16" s="3" customFormat="1" ht="141.75" customHeight="1" x14ac:dyDescent="0.3">
      <c r="B250" s="64" t="s">
        <v>108</v>
      </c>
      <c r="C250" s="64" t="s">
        <v>123</v>
      </c>
      <c r="D250" s="64" t="s">
        <v>128</v>
      </c>
      <c r="E250" s="211" t="s">
        <v>125</v>
      </c>
      <c r="F250" s="52"/>
      <c r="G250" s="47">
        <v>468907706</v>
      </c>
      <c r="H250" s="47"/>
      <c r="I250" s="52"/>
      <c r="J250" s="52"/>
      <c r="K250" s="52">
        <f t="shared" si="10"/>
        <v>468907706</v>
      </c>
      <c r="L250" s="66">
        <f t="shared" si="11"/>
        <v>468907706</v>
      </c>
      <c r="M250" s="157" t="s">
        <v>279</v>
      </c>
      <c r="N250" s="157" t="s">
        <v>263</v>
      </c>
    </row>
    <row r="251" spans="1:16" s="3" customFormat="1" ht="402" customHeight="1" x14ac:dyDescent="0.3">
      <c r="B251" s="64" t="s">
        <v>108</v>
      </c>
      <c r="C251" s="32" t="s">
        <v>123</v>
      </c>
      <c r="D251" s="32" t="s">
        <v>129</v>
      </c>
      <c r="E251" s="211" t="s">
        <v>125</v>
      </c>
      <c r="F251" s="52"/>
      <c r="G251" s="47">
        <v>16050720</v>
      </c>
      <c r="H251" s="47"/>
      <c r="I251" s="52"/>
      <c r="J251" s="52"/>
      <c r="K251" s="52">
        <f t="shared" si="10"/>
        <v>16050720</v>
      </c>
      <c r="L251" s="14">
        <f t="shared" si="11"/>
        <v>16050720</v>
      </c>
      <c r="M251" s="157" t="s">
        <v>279</v>
      </c>
      <c r="N251" s="157" t="s">
        <v>263</v>
      </c>
    </row>
    <row r="252" spans="1:16" s="3" customFormat="1" ht="177.75" customHeight="1" x14ac:dyDescent="0.3">
      <c r="B252" s="64" t="s">
        <v>108</v>
      </c>
      <c r="C252" s="32" t="s">
        <v>123</v>
      </c>
      <c r="D252" s="32" t="s">
        <v>130</v>
      </c>
      <c r="E252" s="211" t="s">
        <v>125</v>
      </c>
      <c r="F252" s="52"/>
      <c r="G252" s="47">
        <v>34897771</v>
      </c>
      <c r="H252" s="47"/>
      <c r="I252" s="52"/>
      <c r="J252" s="52"/>
      <c r="K252" s="52">
        <f t="shared" si="10"/>
        <v>34897771</v>
      </c>
      <c r="L252" s="14">
        <f t="shared" si="11"/>
        <v>34897771</v>
      </c>
      <c r="M252" s="179" t="s">
        <v>279</v>
      </c>
      <c r="N252" s="179" t="s">
        <v>263</v>
      </c>
    </row>
    <row r="253" spans="1:16" s="3" customFormat="1" ht="44.25" customHeight="1" x14ac:dyDescent="0.3">
      <c r="B253" s="261" t="s">
        <v>108</v>
      </c>
      <c r="C253" s="261" t="s">
        <v>123</v>
      </c>
      <c r="D253" s="261" t="s">
        <v>131</v>
      </c>
      <c r="E253" s="211" t="s">
        <v>125</v>
      </c>
      <c r="F253" s="52"/>
      <c r="G253" s="47">
        <v>63517856</v>
      </c>
      <c r="H253" s="47"/>
      <c r="I253" s="52"/>
      <c r="J253" s="52"/>
      <c r="K253" s="52">
        <f t="shared" si="10"/>
        <v>63517856</v>
      </c>
      <c r="L253" s="262">
        <f>SUM(K253:K254)</f>
        <v>71378902</v>
      </c>
      <c r="M253" s="296" t="s">
        <v>279</v>
      </c>
      <c r="N253" s="296" t="s">
        <v>263</v>
      </c>
    </row>
    <row r="254" spans="1:16" s="3" customFormat="1" ht="86.25" customHeight="1" x14ac:dyDescent="0.3">
      <c r="B254" s="261"/>
      <c r="C254" s="261"/>
      <c r="D254" s="261"/>
      <c r="E254" s="211" t="s">
        <v>125</v>
      </c>
      <c r="F254" s="52"/>
      <c r="G254" s="47">
        <v>7861046</v>
      </c>
      <c r="H254" s="47"/>
      <c r="I254" s="52"/>
      <c r="J254" s="52"/>
      <c r="K254" s="52">
        <f t="shared" si="10"/>
        <v>7861046</v>
      </c>
      <c r="L254" s="262"/>
      <c r="M254" s="297"/>
      <c r="N254" s="297"/>
    </row>
    <row r="255" spans="1:16" s="3" customFormat="1" ht="172.5" customHeight="1" x14ac:dyDescent="0.3">
      <c r="B255" s="64" t="s">
        <v>108</v>
      </c>
      <c r="C255" s="32" t="s">
        <v>123</v>
      </c>
      <c r="D255" s="32" t="s">
        <v>132</v>
      </c>
      <c r="E255" s="207" t="s">
        <v>50</v>
      </c>
      <c r="F255" s="52"/>
      <c r="G255" s="47">
        <v>12910684</v>
      </c>
      <c r="H255" s="47"/>
      <c r="I255" s="52"/>
      <c r="J255" s="52"/>
      <c r="K255" s="52">
        <f>G255</f>
        <v>12910684</v>
      </c>
      <c r="L255" s="52">
        <f>K255</f>
        <v>12910684</v>
      </c>
      <c r="M255" s="179" t="s">
        <v>279</v>
      </c>
      <c r="N255" s="179" t="s">
        <v>263</v>
      </c>
    </row>
    <row r="256" spans="1:16" s="3" customFormat="1" ht="21.6" customHeight="1" x14ac:dyDescent="0.3">
      <c r="B256" s="298"/>
      <c r="C256" s="298"/>
      <c r="D256" s="298"/>
      <c r="E256" s="298"/>
      <c r="F256" s="298"/>
      <c r="G256" s="91"/>
      <c r="H256" s="91"/>
      <c r="I256" s="91"/>
      <c r="J256" s="91"/>
      <c r="K256" s="91"/>
      <c r="L256" s="68">
        <f>SUM(L166:L255)</f>
        <v>52090209691</v>
      </c>
      <c r="M256" s="111"/>
      <c r="N256" s="111"/>
    </row>
    <row r="257" spans="2:14" ht="15" customHeight="1" x14ac:dyDescent="0.3"/>
    <row r="258" spans="2:14" ht="15" customHeight="1" x14ac:dyDescent="0.3">
      <c r="B258" s="298"/>
      <c r="C258" s="298"/>
      <c r="D258" s="298"/>
      <c r="E258" s="298"/>
      <c r="F258" s="298"/>
      <c r="G258" s="67"/>
      <c r="H258" s="67"/>
      <c r="I258" s="67"/>
      <c r="J258" s="67"/>
      <c r="K258" s="67"/>
      <c r="L258" s="68">
        <f>L256+L159</f>
        <v>73909529183</v>
      </c>
      <c r="M258" s="180"/>
      <c r="N258" s="180"/>
    </row>
    <row r="259" spans="2:14" ht="15" customHeight="1" x14ac:dyDescent="0.3">
      <c r="L259" s="17">
        <f>73909529183-L258</f>
        <v>0</v>
      </c>
      <c r="M259" s="181"/>
      <c r="N259" s="181"/>
    </row>
    <row r="260" spans="2:14" ht="15" customHeight="1" x14ac:dyDescent="0.3">
      <c r="B260" s="12" t="s">
        <v>214</v>
      </c>
      <c r="L260" s="17"/>
      <c r="M260" s="181"/>
      <c r="N260" s="181"/>
    </row>
    <row r="261" spans="2:14" ht="15" customHeight="1" x14ac:dyDescent="0.3"/>
    <row r="262" spans="2:14" ht="48" customHeight="1" x14ac:dyDescent="0.3">
      <c r="B262" s="6" t="s">
        <v>2</v>
      </c>
      <c r="C262" s="6" t="s">
        <v>3</v>
      </c>
      <c r="D262" s="7" t="s">
        <v>4</v>
      </c>
      <c r="E262" s="184" t="s">
        <v>6</v>
      </c>
      <c r="F262" s="8" t="s">
        <v>7</v>
      </c>
      <c r="G262" s="8" t="s">
        <v>8</v>
      </c>
      <c r="H262" s="8" t="s">
        <v>193</v>
      </c>
      <c r="I262" s="8" t="s">
        <v>190</v>
      </c>
      <c r="J262" s="8" t="s">
        <v>191</v>
      </c>
      <c r="K262" s="8" t="s">
        <v>207</v>
      </c>
      <c r="L262" s="9" t="s">
        <v>9</v>
      </c>
      <c r="M262" s="9" t="s">
        <v>222</v>
      </c>
      <c r="N262" s="9" t="s">
        <v>221</v>
      </c>
    </row>
    <row r="263" spans="2:14" ht="96.75" customHeight="1" x14ac:dyDescent="0.3">
      <c r="B263" s="261" t="s">
        <v>10</v>
      </c>
      <c r="C263" s="261" t="s">
        <v>215</v>
      </c>
      <c r="D263" s="261" t="s">
        <v>281</v>
      </c>
      <c r="E263" s="176" t="s">
        <v>133</v>
      </c>
      <c r="F263" s="52"/>
      <c r="G263" s="52"/>
      <c r="H263" s="69">
        <v>2815761</v>
      </c>
      <c r="I263" s="52"/>
      <c r="J263" s="52">
        <v>2815761</v>
      </c>
      <c r="K263" s="52">
        <f>H263-J263</f>
        <v>0</v>
      </c>
      <c r="L263" s="262">
        <f>SUM(K263:K267)</f>
        <v>464688050</v>
      </c>
      <c r="M263" s="261" t="s">
        <v>219</v>
      </c>
      <c r="N263" s="261" t="s">
        <v>255</v>
      </c>
    </row>
    <row r="264" spans="2:14" ht="96.75" customHeight="1" x14ac:dyDescent="0.3">
      <c r="B264" s="261"/>
      <c r="C264" s="261"/>
      <c r="D264" s="261"/>
      <c r="E264" s="176" t="s">
        <v>134</v>
      </c>
      <c r="F264" s="50"/>
      <c r="G264" s="50"/>
      <c r="H264" s="69">
        <v>248113866</v>
      </c>
      <c r="I264" s="52"/>
      <c r="J264" s="50">
        <v>59148083</v>
      </c>
      <c r="K264" s="52">
        <f>H264-J264</f>
        <v>188965783</v>
      </c>
      <c r="L264" s="262"/>
      <c r="M264" s="261"/>
      <c r="N264" s="261"/>
    </row>
    <row r="265" spans="2:14" ht="96.75" customHeight="1" x14ac:dyDescent="0.3">
      <c r="B265" s="261"/>
      <c r="C265" s="261"/>
      <c r="D265" s="261"/>
      <c r="E265" s="176" t="s">
        <v>135</v>
      </c>
      <c r="F265" s="52"/>
      <c r="G265" s="52"/>
      <c r="H265" s="69">
        <v>202405569</v>
      </c>
      <c r="I265" s="52"/>
      <c r="J265" s="52">
        <v>71900843</v>
      </c>
      <c r="K265" s="52">
        <f>H265-J265</f>
        <v>130504726</v>
      </c>
      <c r="L265" s="262"/>
      <c r="M265" s="261"/>
      <c r="N265" s="261"/>
    </row>
    <row r="266" spans="2:14" ht="96.75" customHeight="1" x14ac:dyDescent="0.3">
      <c r="B266" s="261"/>
      <c r="C266" s="261"/>
      <c r="D266" s="261"/>
      <c r="E266" s="176" t="s">
        <v>136</v>
      </c>
      <c r="F266" s="47"/>
      <c r="G266" s="47"/>
      <c r="H266" s="69">
        <v>11352854</v>
      </c>
      <c r="I266" s="47">
        <v>42055487</v>
      </c>
      <c r="J266" s="47"/>
      <c r="K266" s="52">
        <f>H266+I266</f>
        <v>53408341</v>
      </c>
      <c r="L266" s="262"/>
      <c r="M266" s="261"/>
      <c r="N266" s="261"/>
    </row>
    <row r="267" spans="2:14" ht="96.75" customHeight="1" x14ac:dyDescent="0.3">
      <c r="B267" s="261"/>
      <c r="C267" s="261"/>
      <c r="D267" s="261"/>
      <c r="E267" s="176" t="s">
        <v>205</v>
      </c>
      <c r="F267" s="47"/>
      <c r="G267" s="47"/>
      <c r="H267" s="69"/>
      <c r="I267" s="47">
        <v>91809200</v>
      </c>
      <c r="J267" s="47"/>
      <c r="K267" s="52">
        <f>I267</f>
        <v>91809200</v>
      </c>
      <c r="L267" s="262"/>
      <c r="M267" s="261"/>
      <c r="N267" s="261"/>
    </row>
    <row r="268" spans="2:14" ht="24.75" customHeight="1" x14ac:dyDescent="0.3">
      <c r="B268" s="259"/>
      <c r="C268" s="259"/>
      <c r="D268" s="259"/>
      <c r="E268" s="259"/>
      <c r="F268" s="259"/>
      <c r="G268" s="259"/>
      <c r="H268" s="259"/>
      <c r="I268" s="259"/>
      <c r="J268" s="259"/>
      <c r="K268" s="256">
        <f>SUM(K263:K267)</f>
        <v>464688050</v>
      </c>
      <c r="L268" s="20"/>
      <c r="M268" s="21"/>
      <c r="N268" s="21"/>
    </row>
    <row r="269" spans="2:14" ht="15" customHeight="1" x14ac:dyDescent="0.3"/>
    <row r="270" spans="2:14" ht="15" customHeight="1" x14ac:dyDescent="0.3"/>
    <row r="271" spans="2:14" ht="15" customHeight="1" x14ac:dyDescent="0.3"/>
    <row r="272" spans="2:14"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sheetData>
  <sheetProtection algorithmName="SHA-512" hashValue="LIFLJ/B+eMI8v5vXp96cBMVb3wP2XIk06q0lzJlgjQ/OmJmNoeSgUkSyPvWxGgZjveiwmPK+lPcPpJ5a2sBvwA==" saltValue="FUXVPhMk6Fcvm16p92EIrA==" spinCount="100000" sheet="1" formatCells="0" formatColumns="0" formatRows="0" insertColumns="0" insertRows="0" insertHyperlinks="0" deleteColumns="0" deleteRows="0" sort="0" autoFilter="0" pivotTables="0"/>
  <autoFilter ref="A165:Q165" xr:uid="{9C30942F-4C55-4B54-8516-CCF63D5E2404}"/>
  <mergeCells count="206">
    <mergeCell ref="M166:M168"/>
    <mergeCell ref="D263:D267"/>
    <mergeCell ref="C263:C267"/>
    <mergeCell ref="L263:L267"/>
    <mergeCell ref="L74:L98"/>
    <mergeCell ref="B256:F256"/>
    <mergeCell ref="B258:F258"/>
    <mergeCell ref="B149:B158"/>
    <mergeCell ref="C149:C158"/>
    <mergeCell ref="N263:N267"/>
    <mergeCell ref="M210:M215"/>
    <mergeCell ref="N210:N215"/>
    <mergeCell ref="M216:M222"/>
    <mergeCell ref="N216:N222"/>
    <mergeCell ref="M227:M230"/>
    <mergeCell ref="N227:N230"/>
    <mergeCell ref="M231:M242"/>
    <mergeCell ref="N231:N242"/>
    <mergeCell ref="M253:M254"/>
    <mergeCell ref="N253:N254"/>
    <mergeCell ref="M263:M267"/>
    <mergeCell ref="N170:N178"/>
    <mergeCell ref="M179:M185"/>
    <mergeCell ref="N179:N185"/>
    <mergeCell ref="M187:M190"/>
    <mergeCell ref="N187:N190"/>
    <mergeCell ref="M191:M192"/>
    <mergeCell ref="N191:N192"/>
    <mergeCell ref="M194:M209"/>
    <mergeCell ref="N194:N209"/>
    <mergeCell ref="M170:M178"/>
    <mergeCell ref="N130:N131"/>
    <mergeCell ref="M132:M134"/>
    <mergeCell ref="N132:N134"/>
    <mergeCell ref="M135:M142"/>
    <mergeCell ref="N135:N142"/>
    <mergeCell ref="M143:M148"/>
    <mergeCell ref="N143:N148"/>
    <mergeCell ref="M149:M158"/>
    <mergeCell ref="N149:N158"/>
    <mergeCell ref="M130:M131"/>
    <mergeCell ref="N74:N98"/>
    <mergeCell ref="M102:M109"/>
    <mergeCell ref="N102:N109"/>
    <mergeCell ref="M110:M117"/>
    <mergeCell ref="N110:N117"/>
    <mergeCell ref="M118:M125"/>
    <mergeCell ref="N118:N125"/>
    <mergeCell ref="M126:M127"/>
    <mergeCell ref="N126:N127"/>
    <mergeCell ref="N166:N168"/>
    <mergeCell ref="M243:M245"/>
    <mergeCell ref="N243:N245"/>
    <mergeCell ref="M37:M38"/>
    <mergeCell ref="N37:N38"/>
    <mergeCell ref="N14:N19"/>
    <mergeCell ref="M39:M42"/>
    <mergeCell ref="N39:N42"/>
    <mergeCell ref="M21:M33"/>
    <mergeCell ref="N21:N33"/>
    <mergeCell ref="M34:M35"/>
    <mergeCell ref="N34:N35"/>
    <mergeCell ref="M43:M47"/>
    <mergeCell ref="N43:N47"/>
    <mergeCell ref="M48:M58"/>
    <mergeCell ref="N48:N58"/>
    <mergeCell ref="M59:M61"/>
    <mergeCell ref="N59:N61"/>
    <mergeCell ref="M64:M67"/>
    <mergeCell ref="N64:N67"/>
    <mergeCell ref="M69:M71"/>
    <mergeCell ref="N69:N71"/>
    <mergeCell ref="M74:M98"/>
    <mergeCell ref="M14:M19"/>
    <mergeCell ref="L59:L61"/>
    <mergeCell ref="D166:D168"/>
    <mergeCell ref="L216:L222"/>
    <mergeCell ref="D143:D148"/>
    <mergeCell ref="L187:L190"/>
    <mergeCell ref="D74:D98"/>
    <mergeCell ref="D149:D158"/>
    <mergeCell ref="L149:L158"/>
    <mergeCell ref="L126:L127"/>
    <mergeCell ref="D135:D142"/>
    <mergeCell ref="D132:D134"/>
    <mergeCell ref="L143:L148"/>
    <mergeCell ref="L102:L109"/>
    <mergeCell ref="L191:L192"/>
    <mergeCell ref="L118:L125"/>
    <mergeCell ref="D130:D131"/>
    <mergeCell ref="D118:D125"/>
    <mergeCell ref="L135:L142"/>
    <mergeCell ref="L132:L134"/>
    <mergeCell ref="D6:E9"/>
    <mergeCell ref="D2:E5"/>
    <mergeCell ref="C37:C38"/>
    <mergeCell ref="D21:D33"/>
    <mergeCell ref="B231:B242"/>
    <mergeCell ref="C231:C242"/>
    <mergeCell ref="D231:D242"/>
    <mergeCell ref="C21:C33"/>
    <mergeCell ref="B21:B33"/>
    <mergeCell ref="B37:B38"/>
    <mergeCell ref="D34:D35"/>
    <mergeCell ref="B191:B192"/>
    <mergeCell ref="B187:B190"/>
    <mergeCell ref="C48:C58"/>
    <mergeCell ref="B48:B58"/>
    <mergeCell ref="B39:B42"/>
    <mergeCell ref="B34:B35"/>
    <mergeCell ref="B102:B109"/>
    <mergeCell ref="B11:D11"/>
    <mergeCell ref="D39:D42"/>
    <mergeCell ref="B43:B47"/>
    <mergeCell ref="C43:C47"/>
    <mergeCell ref="D43:D47"/>
    <mergeCell ref="C39:C42"/>
    <mergeCell ref="L14:L19"/>
    <mergeCell ref="C143:C148"/>
    <mergeCell ref="B143:B148"/>
    <mergeCell ref="B159:F159"/>
    <mergeCell ref="L166:L168"/>
    <mergeCell ref="B179:B185"/>
    <mergeCell ref="C179:C185"/>
    <mergeCell ref="D179:D185"/>
    <mergeCell ref="L179:L185"/>
    <mergeCell ref="D110:D117"/>
    <mergeCell ref="C64:C67"/>
    <mergeCell ref="C110:C117"/>
    <mergeCell ref="D37:D38"/>
    <mergeCell ref="C34:C35"/>
    <mergeCell ref="B69:B71"/>
    <mergeCell ref="B74:B98"/>
    <mergeCell ref="C74:C98"/>
    <mergeCell ref="C69:C71"/>
    <mergeCell ref="D69:D71"/>
    <mergeCell ref="B59:B61"/>
    <mergeCell ref="C59:C61"/>
    <mergeCell ref="D59:D61"/>
    <mergeCell ref="L69:L71"/>
    <mergeCell ref="L48:L58"/>
    <mergeCell ref="B14:B19"/>
    <mergeCell ref="C14:C19"/>
    <mergeCell ref="D14:D19"/>
    <mergeCell ref="B126:B127"/>
    <mergeCell ref="C126:C127"/>
    <mergeCell ref="D126:D127"/>
    <mergeCell ref="B64:B67"/>
    <mergeCell ref="D191:D192"/>
    <mergeCell ref="D194:D209"/>
    <mergeCell ref="C194:C209"/>
    <mergeCell ref="B194:B209"/>
    <mergeCell ref="B166:B168"/>
    <mergeCell ref="C187:C190"/>
    <mergeCell ref="D187:D190"/>
    <mergeCell ref="D64:D67"/>
    <mergeCell ref="B118:B125"/>
    <mergeCell ref="C130:C131"/>
    <mergeCell ref="B130:B131"/>
    <mergeCell ref="C118:C125"/>
    <mergeCell ref="B135:B142"/>
    <mergeCell ref="C135:C142"/>
    <mergeCell ref="B132:B134"/>
    <mergeCell ref="C132:C134"/>
    <mergeCell ref="B170:B178"/>
    <mergeCell ref="C191:C192"/>
    <mergeCell ref="B253:B254"/>
    <mergeCell ref="C253:C254"/>
    <mergeCell ref="D253:D254"/>
    <mergeCell ref="B243:B245"/>
    <mergeCell ref="C243:C245"/>
    <mergeCell ref="L21:L33"/>
    <mergeCell ref="C170:C178"/>
    <mergeCell ref="D170:D178"/>
    <mergeCell ref="L170:L178"/>
    <mergeCell ref="L130:L131"/>
    <mergeCell ref="L110:L117"/>
    <mergeCell ref="L39:L42"/>
    <mergeCell ref="L37:L38"/>
    <mergeCell ref="L64:L67"/>
    <mergeCell ref="C166:C168"/>
    <mergeCell ref="D48:D58"/>
    <mergeCell ref="L34:L35"/>
    <mergeCell ref="L43:L47"/>
    <mergeCell ref="B162:D162"/>
    <mergeCell ref="C102:C109"/>
    <mergeCell ref="D102:D109"/>
    <mergeCell ref="B110:B117"/>
    <mergeCell ref="C227:C230"/>
    <mergeCell ref="B268:J268"/>
    <mergeCell ref="L194:L209"/>
    <mergeCell ref="D216:D222"/>
    <mergeCell ref="C216:C222"/>
    <mergeCell ref="B216:B222"/>
    <mergeCell ref="B210:B215"/>
    <mergeCell ref="C210:C215"/>
    <mergeCell ref="D210:D215"/>
    <mergeCell ref="L210:L215"/>
    <mergeCell ref="B263:B267"/>
    <mergeCell ref="D227:D230"/>
    <mergeCell ref="L243:L245"/>
    <mergeCell ref="B227:B230"/>
    <mergeCell ref="L253:L254"/>
    <mergeCell ref="D243:D245"/>
    <mergeCell ref="L231:L242"/>
    <mergeCell ref="L227:L230"/>
  </mergeCells>
  <pageMargins left="0.7" right="0.7" top="0.75" bottom="0.75" header="0.3" footer="0.3"/>
  <pageSetup paperSize="9" orientation="portrait" r:id="rId1"/>
  <ignoredErrors>
    <ignoredError sqref="K220 K133 K19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4BFAD-2D19-4DA0-ACC1-160546C07F81}">
  <dimension ref="A1:O170"/>
  <sheetViews>
    <sheetView showGridLines="0" tabSelected="1" topLeftCell="A166" zoomScale="80" zoomScaleNormal="80" workbookViewId="0">
      <selection activeCell="E166" sqref="E166"/>
    </sheetView>
  </sheetViews>
  <sheetFormatPr baseColWidth="10" defaultColWidth="11.44140625" defaultRowHeight="0" customHeight="1" zeroHeight="1" x14ac:dyDescent="0.3"/>
  <cols>
    <col min="1" max="1" width="7.44140625" style="3" customWidth="1"/>
    <col min="2" max="2" width="13.44140625" style="2" customWidth="1"/>
    <col min="3" max="3" width="15.33203125" style="2" customWidth="1"/>
    <col min="4" max="4" width="48" style="2" customWidth="1"/>
    <col min="5" max="5" width="44.44140625" style="183" customWidth="1"/>
    <col min="6" max="11" width="25.109375" style="155" customWidth="1"/>
    <col min="12" max="12" width="28" style="155" customWidth="1"/>
    <col min="13" max="14" width="28" style="160" customWidth="1"/>
    <col min="15" max="15" width="17.44140625" style="2" customWidth="1"/>
    <col min="16" max="16384" width="11.44140625" style="2"/>
  </cols>
  <sheetData>
    <row r="1" spans="1:14" ht="15" customHeight="1" x14ac:dyDescent="0.3">
      <c r="E1" s="15"/>
    </row>
    <row r="2" spans="1:14" ht="15" customHeight="1" x14ac:dyDescent="0.3">
      <c r="E2" s="285" t="s">
        <v>0</v>
      </c>
      <c r="F2" s="285"/>
      <c r="G2" s="285"/>
    </row>
    <row r="3" spans="1:14" ht="15" customHeight="1" x14ac:dyDescent="0.3">
      <c r="E3" s="285"/>
      <c r="F3" s="285"/>
      <c r="G3" s="285"/>
    </row>
    <row r="4" spans="1:14" ht="15" customHeight="1" x14ac:dyDescent="0.3">
      <c r="E4" s="285"/>
      <c r="F4" s="285"/>
      <c r="G4" s="285"/>
    </row>
    <row r="5" spans="1:14" ht="15" customHeight="1" x14ac:dyDescent="0.3">
      <c r="E5" s="285"/>
      <c r="F5" s="285"/>
      <c r="G5" s="285"/>
    </row>
    <row r="6" spans="1:14" ht="15" customHeight="1" x14ac:dyDescent="0.3">
      <c r="E6" s="285"/>
      <c r="F6" s="285"/>
      <c r="G6" s="285"/>
    </row>
    <row r="7" spans="1:14" ht="15" customHeight="1" x14ac:dyDescent="0.3">
      <c r="E7" s="285"/>
      <c r="F7" s="285"/>
      <c r="G7" s="285"/>
    </row>
    <row r="8" spans="1:14" ht="15" customHeight="1" x14ac:dyDescent="0.3">
      <c r="E8" s="284" t="s">
        <v>216</v>
      </c>
      <c r="F8" s="284"/>
      <c r="G8" s="284"/>
    </row>
    <row r="9" spans="1:14" ht="15" customHeight="1" x14ac:dyDescent="0.3">
      <c r="E9" s="284"/>
      <c r="F9" s="284"/>
      <c r="G9" s="284"/>
    </row>
    <row r="10" spans="1:14" ht="15" customHeight="1" x14ac:dyDescent="0.3">
      <c r="E10" s="284"/>
      <c r="F10" s="284"/>
      <c r="G10" s="284"/>
    </row>
    <row r="11" spans="1:14" ht="31.5" customHeight="1" x14ac:dyDescent="0.3">
      <c r="E11" s="1"/>
      <c r="F11" s="1"/>
    </row>
    <row r="12" spans="1:14" ht="15" customHeight="1" x14ac:dyDescent="0.3">
      <c r="E12" s="1"/>
      <c r="F12" s="1"/>
    </row>
    <row r="13" spans="1:14" ht="15" customHeight="1" x14ac:dyDescent="0.3">
      <c r="B13" s="257" t="s">
        <v>137</v>
      </c>
      <c r="C13" s="257"/>
      <c r="D13" s="257"/>
    </row>
    <row r="14" spans="1:14" ht="15" customHeight="1" x14ac:dyDescent="0.3"/>
    <row r="15" spans="1:14" s="1" customFormat="1" ht="71.25" customHeight="1" x14ac:dyDescent="0.3">
      <c r="A15" s="11"/>
      <c r="B15" s="6" t="s">
        <v>138</v>
      </c>
      <c r="C15" s="6" t="s">
        <v>139</v>
      </c>
      <c r="D15" s="6" t="s">
        <v>140</v>
      </c>
      <c r="E15" s="184" t="s">
        <v>5</v>
      </c>
      <c r="F15" s="8" t="s">
        <v>7</v>
      </c>
      <c r="G15" s="8" t="s">
        <v>8</v>
      </c>
      <c r="H15" s="8" t="s">
        <v>193</v>
      </c>
      <c r="I15" s="8" t="s">
        <v>190</v>
      </c>
      <c r="J15" s="8" t="s">
        <v>191</v>
      </c>
      <c r="K15" s="8" t="s">
        <v>95</v>
      </c>
      <c r="L15" s="9" t="s">
        <v>9</v>
      </c>
      <c r="M15" s="9" t="s">
        <v>222</v>
      </c>
      <c r="N15" s="9" t="s">
        <v>221</v>
      </c>
    </row>
    <row r="16" spans="1:14" s="3" customFormat="1" ht="98.25" customHeight="1" x14ac:dyDescent="0.3">
      <c r="B16" s="18" t="s">
        <v>108</v>
      </c>
      <c r="C16" s="18" t="s">
        <v>141</v>
      </c>
      <c r="D16" s="18" t="s">
        <v>142</v>
      </c>
      <c r="E16" s="43" t="s">
        <v>50</v>
      </c>
      <c r="F16" s="46">
        <v>97055784</v>
      </c>
      <c r="G16" s="46">
        <v>411052985</v>
      </c>
      <c r="H16" s="46"/>
      <c r="I16" s="46"/>
      <c r="J16" s="46"/>
      <c r="K16" s="46">
        <f>F16+G16</f>
        <v>508108769</v>
      </c>
      <c r="L16" s="111">
        <f>K16</f>
        <v>508108769</v>
      </c>
      <c r="M16" s="161" t="s">
        <v>223</v>
      </c>
      <c r="N16" s="161" t="s">
        <v>270</v>
      </c>
    </row>
    <row r="17" spans="2:14" s="3" customFormat="1" ht="101.25" customHeight="1" x14ac:dyDescent="0.3">
      <c r="B17" s="18" t="s">
        <v>108</v>
      </c>
      <c r="C17" s="18" t="s">
        <v>141</v>
      </c>
      <c r="D17" s="18" t="s">
        <v>143</v>
      </c>
      <c r="E17" s="222" t="s">
        <v>43</v>
      </c>
      <c r="F17" s="46">
        <v>16175964</v>
      </c>
      <c r="G17" s="46"/>
      <c r="H17" s="46"/>
      <c r="I17" s="46"/>
      <c r="J17" s="46"/>
      <c r="K17" s="46"/>
      <c r="L17" s="111">
        <f>F17</f>
        <v>16175964</v>
      </c>
      <c r="M17" s="162" t="s">
        <v>223</v>
      </c>
      <c r="N17" s="162" t="s">
        <v>271</v>
      </c>
    </row>
    <row r="18" spans="2:14" s="3" customFormat="1" ht="113.25" customHeight="1" x14ac:dyDescent="0.3">
      <c r="B18" s="18" t="s">
        <v>108</v>
      </c>
      <c r="C18" s="18" t="s">
        <v>141</v>
      </c>
      <c r="D18" s="18" t="s">
        <v>144</v>
      </c>
      <c r="E18" s="222" t="s">
        <v>43</v>
      </c>
      <c r="F18" s="46">
        <v>97055784</v>
      </c>
      <c r="G18" s="46"/>
      <c r="H18" s="46"/>
      <c r="I18" s="46"/>
      <c r="J18" s="46"/>
      <c r="K18" s="46"/>
      <c r="L18" s="111">
        <f>F18</f>
        <v>97055784</v>
      </c>
      <c r="M18" s="162" t="s">
        <v>223</v>
      </c>
      <c r="N18" s="162" t="s">
        <v>274</v>
      </c>
    </row>
    <row r="19" spans="2:14" s="3" customFormat="1" ht="99" customHeight="1" x14ac:dyDescent="0.3">
      <c r="B19" s="109" t="s">
        <v>108</v>
      </c>
      <c r="C19" s="109" t="s">
        <v>141</v>
      </c>
      <c r="D19" s="109" t="s">
        <v>145</v>
      </c>
      <c r="E19" s="212" t="s">
        <v>73</v>
      </c>
      <c r="F19" s="46">
        <v>16175964</v>
      </c>
      <c r="G19" s="46">
        <v>4068226</v>
      </c>
      <c r="H19" s="46"/>
      <c r="I19" s="46">
        <v>40333567</v>
      </c>
      <c r="J19" s="46"/>
      <c r="K19" s="46">
        <f>F19+G19+I19</f>
        <v>60577757</v>
      </c>
      <c r="L19" s="111">
        <f>K19</f>
        <v>60577757</v>
      </c>
      <c r="M19" s="161" t="s">
        <v>233</v>
      </c>
      <c r="N19" s="161" t="s">
        <v>275</v>
      </c>
    </row>
    <row r="20" spans="2:14" s="3" customFormat="1" ht="66" customHeight="1" x14ac:dyDescent="0.3">
      <c r="B20" s="277" t="s">
        <v>108</v>
      </c>
      <c r="C20" s="277" t="s">
        <v>141</v>
      </c>
      <c r="D20" s="277" t="s">
        <v>146</v>
      </c>
      <c r="E20" s="222" t="s">
        <v>49</v>
      </c>
      <c r="F20" s="60">
        <v>13500000</v>
      </c>
      <c r="G20" s="60"/>
      <c r="H20" s="60"/>
      <c r="I20" s="60"/>
      <c r="J20" s="60"/>
      <c r="K20" s="60">
        <f>F20</f>
        <v>13500000</v>
      </c>
      <c r="L20" s="264">
        <f>SUM(K20:K21)</f>
        <v>16175964</v>
      </c>
      <c r="M20" s="304" t="s">
        <v>223</v>
      </c>
      <c r="N20" s="304" t="s">
        <v>276</v>
      </c>
    </row>
    <row r="21" spans="2:14" s="3" customFormat="1" ht="66.75" customHeight="1" x14ac:dyDescent="0.3">
      <c r="B21" s="279"/>
      <c r="C21" s="279"/>
      <c r="D21" s="279"/>
      <c r="E21" s="222" t="s">
        <v>49</v>
      </c>
      <c r="F21" s="60">
        <v>2675964</v>
      </c>
      <c r="G21" s="60"/>
      <c r="H21" s="60"/>
      <c r="I21" s="60"/>
      <c r="J21" s="60"/>
      <c r="K21" s="60">
        <f>F21</f>
        <v>2675964</v>
      </c>
      <c r="L21" s="266"/>
      <c r="M21" s="305" t="s">
        <v>223</v>
      </c>
      <c r="N21" s="305" t="s">
        <v>257</v>
      </c>
    </row>
    <row r="22" spans="2:14" s="3" customFormat="1" ht="36.75" customHeight="1" x14ac:dyDescent="0.3">
      <c r="B22" s="277" t="s">
        <v>108</v>
      </c>
      <c r="C22" s="277" t="s">
        <v>141</v>
      </c>
      <c r="D22" s="277" t="s">
        <v>147</v>
      </c>
      <c r="E22" s="226" t="s">
        <v>22</v>
      </c>
      <c r="F22" s="46">
        <v>2220000</v>
      </c>
      <c r="G22" s="46">
        <v>3000000</v>
      </c>
      <c r="H22" s="46">
        <v>6000000</v>
      </c>
      <c r="I22" s="46">
        <v>939087</v>
      </c>
      <c r="J22" s="46"/>
      <c r="K22" s="46">
        <f>F22+I22+G22+H22</f>
        <v>12159087</v>
      </c>
      <c r="L22" s="264">
        <f>SUM(K22:K44)</f>
        <v>326554304</v>
      </c>
      <c r="M22" s="304" t="s">
        <v>220</v>
      </c>
      <c r="N22" s="304" t="s">
        <v>268</v>
      </c>
    </row>
    <row r="23" spans="2:14" s="3" customFormat="1" ht="36.75" customHeight="1" x14ac:dyDescent="0.3">
      <c r="B23" s="278"/>
      <c r="C23" s="278"/>
      <c r="D23" s="278"/>
      <c r="E23" s="227" t="s">
        <v>148</v>
      </c>
      <c r="F23" s="46"/>
      <c r="G23" s="46">
        <v>250000</v>
      </c>
      <c r="H23" s="46">
        <v>6000000</v>
      </c>
      <c r="I23" s="46"/>
      <c r="J23" s="46">
        <v>6000000</v>
      </c>
      <c r="K23" s="238">
        <f>G23+H23-J23</f>
        <v>250000</v>
      </c>
      <c r="L23" s="265"/>
      <c r="M23" s="306"/>
      <c r="N23" s="306"/>
    </row>
    <row r="24" spans="2:14" s="3" customFormat="1" ht="51" customHeight="1" x14ac:dyDescent="0.3">
      <c r="B24" s="278"/>
      <c r="C24" s="278"/>
      <c r="D24" s="278"/>
      <c r="E24" s="227" t="s">
        <v>149</v>
      </c>
      <c r="F24" s="46"/>
      <c r="G24" s="46">
        <v>850000</v>
      </c>
      <c r="H24" s="46">
        <v>8000000</v>
      </c>
      <c r="I24" s="46"/>
      <c r="J24" s="46">
        <v>6665731</v>
      </c>
      <c r="K24" s="238">
        <f>G24+H24-J24</f>
        <v>2184269</v>
      </c>
      <c r="L24" s="265"/>
      <c r="M24" s="306"/>
      <c r="N24" s="306"/>
    </row>
    <row r="25" spans="2:14" s="3" customFormat="1" ht="36.75" customHeight="1" x14ac:dyDescent="0.3">
      <c r="B25" s="278"/>
      <c r="C25" s="278"/>
      <c r="D25" s="278"/>
      <c r="E25" s="222" t="s">
        <v>150</v>
      </c>
      <c r="F25" s="46">
        <v>700000</v>
      </c>
      <c r="G25" s="46">
        <v>1000000</v>
      </c>
      <c r="H25" s="46">
        <v>8000000</v>
      </c>
      <c r="I25" s="46"/>
      <c r="J25" s="46"/>
      <c r="K25" s="238">
        <f>F25+G25+H25</f>
        <v>9700000</v>
      </c>
      <c r="L25" s="265"/>
      <c r="M25" s="306"/>
      <c r="N25" s="306"/>
    </row>
    <row r="26" spans="2:14" s="3" customFormat="1" ht="36.75" customHeight="1" x14ac:dyDescent="0.3">
      <c r="B26" s="278"/>
      <c r="C26" s="278"/>
      <c r="D26" s="278"/>
      <c r="E26" s="71" t="s">
        <v>34</v>
      </c>
      <c r="F26" s="46">
        <v>148817</v>
      </c>
      <c r="G26" s="46">
        <v>1887740</v>
      </c>
      <c r="H26" s="46">
        <v>8000000</v>
      </c>
      <c r="I26" s="46"/>
      <c r="J26" s="46"/>
      <c r="K26" s="238">
        <f>F26+G26+H26</f>
        <v>10036557</v>
      </c>
      <c r="L26" s="265"/>
      <c r="M26" s="306"/>
      <c r="N26" s="306"/>
    </row>
    <row r="27" spans="2:14" s="3" customFormat="1" ht="36.75" customHeight="1" x14ac:dyDescent="0.3">
      <c r="B27" s="278"/>
      <c r="C27" s="278"/>
      <c r="D27" s="278"/>
      <c r="E27" s="222" t="s">
        <v>113</v>
      </c>
      <c r="F27" s="46">
        <v>1520140</v>
      </c>
      <c r="G27" s="46">
        <v>2000000</v>
      </c>
      <c r="H27" s="46">
        <v>12000000</v>
      </c>
      <c r="I27" s="46"/>
      <c r="J27" s="46">
        <v>266902</v>
      </c>
      <c r="K27" s="238">
        <f>F27-J27+G27+H27</f>
        <v>15253238</v>
      </c>
      <c r="L27" s="265"/>
      <c r="M27" s="306"/>
      <c r="N27" s="306"/>
    </row>
    <row r="28" spans="2:14" s="3" customFormat="1" ht="51" customHeight="1" x14ac:dyDescent="0.3">
      <c r="B28" s="278"/>
      <c r="C28" s="278"/>
      <c r="D28" s="278"/>
      <c r="E28" s="222" t="s">
        <v>54</v>
      </c>
      <c r="F28" s="46">
        <v>5895042</v>
      </c>
      <c r="G28" s="46">
        <v>16062092</v>
      </c>
      <c r="H28" s="46">
        <v>10000000</v>
      </c>
      <c r="I28" s="46"/>
      <c r="J28" s="46">
        <v>4464842</v>
      </c>
      <c r="K28" s="238">
        <f>F28-J28+G28+H28</f>
        <v>27492292</v>
      </c>
      <c r="L28" s="265"/>
      <c r="M28" s="306"/>
      <c r="N28" s="306"/>
    </row>
    <row r="29" spans="2:14" s="3" customFormat="1" ht="36.75" customHeight="1" x14ac:dyDescent="0.3">
      <c r="B29" s="278"/>
      <c r="C29" s="278"/>
      <c r="D29" s="278"/>
      <c r="E29" s="222" t="s">
        <v>107</v>
      </c>
      <c r="F29" s="46">
        <v>5256700</v>
      </c>
      <c r="G29" s="46">
        <v>7724281</v>
      </c>
      <c r="H29" s="46">
        <v>8000000</v>
      </c>
      <c r="I29" s="46"/>
      <c r="J29" s="46">
        <v>7039104</v>
      </c>
      <c r="K29" s="238">
        <f>F29+G29+H29-J29</f>
        <v>13941877</v>
      </c>
      <c r="L29" s="265"/>
      <c r="M29" s="306"/>
      <c r="N29" s="306"/>
    </row>
    <row r="30" spans="2:14" s="3" customFormat="1" ht="36.75" customHeight="1" x14ac:dyDescent="0.3">
      <c r="B30" s="278"/>
      <c r="C30" s="278"/>
      <c r="D30" s="278"/>
      <c r="E30" s="222" t="s">
        <v>151</v>
      </c>
      <c r="F30" s="46">
        <v>4400000</v>
      </c>
      <c r="G30" s="46">
        <v>5000000</v>
      </c>
      <c r="H30" s="46">
        <v>8000000</v>
      </c>
      <c r="I30" s="46">
        <v>2360</v>
      </c>
      <c r="J30" s="46"/>
      <c r="K30" s="238">
        <f>F30+I30+G30+H30</f>
        <v>17402360</v>
      </c>
      <c r="L30" s="265"/>
      <c r="M30" s="306"/>
      <c r="N30" s="306"/>
    </row>
    <row r="31" spans="2:14" s="3" customFormat="1" ht="36.75" customHeight="1" x14ac:dyDescent="0.3">
      <c r="B31" s="278"/>
      <c r="C31" s="278"/>
      <c r="D31" s="278"/>
      <c r="E31" s="222" t="s">
        <v>152</v>
      </c>
      <c r="F31" s="46">
        <v>105179</v>
      </c>
      <c r="G31" s="46">
        <v>1773214</v>
      </c>
      <c r="H31" s="46">
        <v>5000000</v>
      </c>
      <c r="I31" s="46">
        <v>1200004</v>
      </c>
      <c r="J31" s="46"/>
      <c r="K31" s="238">
        <f>F31+I31+G31+H31</f>
        <v>8078397</v>
      </c>
      <c r="L31" s="265"/>
      <c r="M31" s="306"/>
      <c r="N31" s="306"/>
    </row>
    <row r="32" spans="2:14" s="3" customFormat="1" ht="36.75" customHeight="1" x14ac:dyDescent="0.3">
      <c r="B32" s="278"/>
      <c r="C32" s="278"/>
      <c r="D32" s="278"/>
      <c r="E32" s="222" t="s">
        <v>46</v>
      </c>
      <c r="F32" s="46">
        <v>1200000</v>
      </c>
      <c r="G32" s="46">
        <v>797552</v>
      </c>
      <c r="H32" s="46">
        <v>6000000</v>
      </c>
      <c r="I32" s="46">
        <v>9168640</v>
      </c>
      <c r="J32" s="46">
        <v>1939493</v>
      </c>
      <c r="K32" s="238">
        <f>F32+I32+G32+H32-J32</f>
        <v>15226699</v>
      </c>
      <c r="L32" s="265"/>
      <c r="M32" s="306"/>
      <c r="N32" s="306"/>
    </row>
    <row r="33" spans="2:15" s="3" customFormat="1" ht="36.75" customHeight="1" x14ac:dyDescent="0.3">
      <c r="B33" s="278"/>
      <c r="C33" s="278"/>
      <c r="D33" s="278"/>
      <c r="E33" s="71" t="s">
        <v>13</v>
      </c>
      <c r="F33" s="46">
        <v>14848940</v>
      </c>
      <c r="G33" s="46">
        <v>11765827</v>
      </c>
      <c r="H33" s="46">
        <v>11000000</v>
      </c>
      <c r="I33" s="46"/>
      <c r="J33" s="46">
        <v>11000000</v>
      </c>
      <c r="K33" s="238">
        <f>F33+G33+H33-J33</f>
        <v>26614767</v>
      </c>
      <c r="L33" s="265"/>
      <c r="M33" s="306"/>
      <c r="N33" s="306"/>
      <c r="O33" s="24"/>
    </row>
    <row r="34" spans="2:15" s="3" customFormat="1" ht="36.75" customHeight="1" x14ac:dyDescent="0.3">
      <c r="B34" s="278"/>
      <c r="C34" s="278"/>
      <c r="D34" s="278"/>
      <c r="E34" s="222" t="s">
        <v>68</v>
      </c>
      <c r="F34" s="46">
        <v>4147000</v>
      </c>
      <c r="G34" s="46"/>
      <c r="H34" s="46">
        <v>8000000</v>
      </c>
      <c r="I34" s="46"/>
      <c r="J34" s="46">
        <v>12147000</v>
      </c>
      <c r="K34" s="239">
        <f>F34-J34+H34</f>
        <v>0</v>
      </c>
      <c r="L34" s="265"/>
      <c r="M34" s="306"/>
      <c r="N34" s="306"/>
    </row>
    <row r="35" spans="2:15" s="3" customFormat="1" ht="36.75" customHeight="1" x14ac:dyDescent="0.3">
      <c r="B35" s="278"/>
      <c r="C35" s="278"/>
      <c r="D35" s="278"/>
      <c r="E35" s="222" t="s">
        <v>49</v>
      </c>
      <c r="F35" s="46">
        <v>3339510</v>
      </c>
      <c r="G35" s="46"/>
      <c r="H35" s="46">
        <v>8000000</v>
      </c>
      <c r="I35" s="46">
        <v>27986933</v>
      </c>
      <c r="J35" s="46">
        <v>3339510</v>
      </c>
      <c r="K35" s="240">
        <f>F35-J35+I35+H35</f>
        <v>35986933</v>
      </c>
      <c r="L35" s="265"/>
      <c r="M35" s="306"/>
      <c r="N35" s="306"/>
    </row>
    <row r="36" spans="2:15" s="3" customFormat="1" ht="36.75" customHeight="1" x14ac:dyDescent="0.3">
      <c r="B36" s="278"/>
      <c r="C36" s="278"/>
      <c r="D36" s="278"/>
      <c r="E36" s="221" t="s">
        <v>25</v>
      </c>
      <c r="F36" s="46">
        <v>960000</v>
      </c>
      <c r="G36" s="46">
        <v>10051112</v>
      </c>
      <c r="H36" s="46">
        <v>9334269</v>
      </c>
      <c r="I36" s="46">
        <v>40000</v>
      </c>
      <c r="J36" s="46"/>
      <c r="K36" s="240">
        <f>F36+I36+G36+H36</f>
        <v>20385381</v>
      </c>
      <c r="L36" s="265"/>
      <c r="M36" s="306"/>
      <c r="N36" s="306"/>
    </row>
    <row r="37" spans="2:15" s="3" customFormat="1" ht="36.75" customHeight="1" x14ac:dyDescent="0.3">
      <c r="B37" s="278"/>
      <c r="C37" s="278"/>
      <c r="D37" s="278"/>
      <c r="E37" s="221" t="s">
        <v>40</v>
      </c>
      <c r="F37" s="46">
        <v>7840000</v>
      </c>
      <c r="G37" s="46">
        <v>6141600</v>
      </c>
      <c r="H37" s="46">
        <v>8000000</v>
      </c>
      <c r="I37" s="46"/>
      <c r="J37" s="46"/>
      <c r="K37" s="240">
        <f>F37+G37+H37</f>
        <v>21981600</v>
      </c>
      <c r="L37" s="265"/>
      <c r="M37" s="306"/>
      <c r="N37" s="306"/>
    </row>
    <row r="38" spans="2:15" s="3" customFormat="1" ht="43.2" hidden="1" x14ac:dyDescent="0.3">
      <c r="B38" s="278"/>
      <c r="C38" s="278"/>
      <c r="D38" s="278"/>
      <c r="E38" s="206" t="s">
        <v>153</v>
      </c>
      <c r="F38" s="46">
        <v>12122529</v>
      </c>
      <c r="G38" s="46">
        <v>15836000</v>
      </c>
      <c r="H38" s="46">
        <v>4000000</v>
      </c>
      <c r="I38" s="60">
        <f>868163+40657395</f>
        <v>41525558</v>
      </c>
      <c r="J38" s="46"/>
      <c r="K38" s="240">
        <f>F38+I38+G38+H38</f>
        <v>73484087</v>
      </c>
      <c r="L38" s="265"/>
      <c r="M38" s="306"/>
      <c r="N38" s="306"/>
    </row>
    <row r="39" spans="2:15" s="3" customFormat="1" ht="36.75" customHeight="1" x14ac:dyDescent="0.3">
      <c r="B39" s="278"/>
      <c r="C39" s="278"/>
      <c r="D39" s="278"/>
      <c r="E39" s="70" t="s">
        <v>15</v>
      </c>
      <c r="F39" s="46"/>
      <c r="G39" s="46">
        <v>12600000</v>
      </c>
      <c r="H39" s="46">
        <v>10000000</v>
      </c>
      <c r="I39" s="46"/>
      <c r="J39" s="46">
        <v>10000000</v>
      </c>
      <c r="K39" s="238">
        <f>G39+H39-J39</f>
        <v>12600000</v>
      </c>
      <c r="L39" s="265"/>
      <c r="M39" s="306"/>
      <c r="N39" s="306"/>
    </row>
    <row r="40" spans="2:15" s="3" customFormat="1" ht="36.75" customHeight="1" x14ac:dyDescent="0.3">
      <c r="B40" s="278"/>
      <c r="C40" s="278"/>
      <c r="D40" s="278"/>
      <c r="E40" s="71" t="s">
        <v>43</v>
      </c>
      <c r="F40" s="46"/>
      <c r="G40" s="46">
        <v>2176208</v>
      </c>
      <c r="H40" s="46"/>
      <c r="I40" s="46">
        <v>6000000</v>
      </c>
      <c r="J40" s="46">
        <v>6000000</v>
      </c>
      <c r="K40" s="238">
        <f>G40+I40-J40</f>
        <v>2176208</v>
      </c>
      <c r="L40" s="265"/>
      <c r="M40" s="306"/>
      <c r="N40" s="306"/>
    </row>
    <row r="41" spans="2:15" s="3" customFormat="1" ht="36.75" customHeight="1" x14ac:dyDescent="0.3">
      <c r="B41" s="278"/>
      <c r="C41" s="278"/>
      <c r="D41" s="278"/>
      <c r="E41" s="206" t="s">
        <v>154</v>
      </c>
      <c r="F41" s="46"/>
      <c r="G41" s="46">
        <v>1600552</v>
      </c>
      <c r="H41" s="46">
        <v>3000000</v>
      </c>
      <c r="I41" s="46"/>
      <c r="J41" s="46">
        <v>3000000</v>
      </c>
      <c r="K41" s="238">
        <f>G41+H41-J41</f>
        <v>1600552</v>
      </c>
      <c r="L41" s="265"/>
      <c r="M41" s="306"/>
      <c r="N41" s="306"/>
    </row>
    <row r="42" spans="2:15" s="3" customFormat="1" ht="36.75" customHeight="1" x14ac:dyDescent="0.3">
      <c r="B42" s="278"/>
      <c r="C42" s="278"/>
      <c r="D42" s="278"/>
      <c r="E42" s="206" t="s">
        <v>206</v>
      </c>
      <c r="F42" s="46"/>
      <c r="G42" s="46">
        <v>3000000</v>
      </c>
      <c r="H42" s="46"/>
      <c r="I42" s="46"/>
      <c r="J42" s="46">
        <v>3000000</v>
      </c>
      <c r="K42" s="238">
        <f>G42-J42</f>
        <v>0</v>
      </c>
      <c r="L42" s="265"/>
      <c r="M42" s="306"/>
      <c r="N42" s="306"/>
    </row>
    <row r="43" spans="2:15" s="3" customFormat="1" ht="36.75" customHeight="1" x14ac:dyDescent="0.3">
      <c r="B43" s="278"/>
      <c r="C43" s="278"/>
      <c r="D43" s="278"/>
      <c r="E43" s="206" t="s">
        <v>76</v>
      </c>
      <c r="F43" s="46"/>
      <c r="G43" s="46">
        <v>3000000</v>
      </c>
      <c r="H43" s="46"/>
      <c r="I43" s="46"/>
      <c r="J43" s="46">
        <v>3000000</v>
      </c>
      <c r="K43" s="238">
        <f>G43-J43</f>
        <v>0</v>
      </c>
      <c r="L43" s="265"/>
      <c r="M43" s="306"/>
      <c r="N43" s="306"/>
    </row>
    <row r="44" spans="2:15" s="3" customFormat="1" ht="62.25" customHeight="1" x14ac:dyDescent="0.3">
      <c r="B44" s="279"/>
      <c r="C44" s="279"/>
      <c r="D44" s="279"/>
      <c r="E44" s="206" t="s">
        <v>28</v>
      </c>
      <c r="F44" s="46"/>
      <c r="G44" s="46">
        <v>3000000</v>
      </c>
      <c r="H44" s="46"/>
      <c r="I44" s="46"/>
      <c r="J44" s="46">
        <v>3000000</v>
      </c>
      <c r="K44" s="238">
        <f>G44-J44</f>
        <v>0</v>
      </c>
      <c r="L44" s="266"/>
      <c r="M44" s="305"/>
      <c r="N44" s="305"/>
    </row>
    <row r="45" spans="2:15" s="3" customFormat="1" ht="109.5" customHeight="1" x14ac:dyDescent="0.3">
      <c r="B45" s="18" t="s">
        <v>108</v>
      </c>
      <c r="C45" s="18" t="s">
        <v>141</v>
      </c>
      <c r="D45" s="18" t="s">
        <v>155</v>
      </c>
      <c r="E45" s="222" t="s">
        <v>13</v>
      </c>
      <c r="F45" s="46">
        <v>16175964</v>
      </c>
      <c r="G45" s="46"/>
      <c r="H45" s="46"/>
      <c r="I45" s="46"/>
      <c r="J45" s="46"/>
      <c r="K45" s="46"/>
      <c r="L45" s="111">
        <f>F45</f>
        <v>16175964</v>
      </c>
      <c r="M45" s="161" t="s">
        <v>223</v>
      </c>
      <c r="N45" s="161" t="s">
        <v>227</v>
      </c>
    </row>
    <row r="46" spans="2:15" s="3" customFormat="1" ht="135.75" customHeight="1" x14ac:dyDescent="0.3">
      <c r="B46" s="19" t="s">
        <v>108</v>
      </c>
      <c r="C46" s="19" t="s">
        <v>141</v>
      </c>
      <c r="D46" s="19" t="s">
        <v>156</v>
      </c>
      <c r="E46" s="222" t="s">
        <v>50</v>
      </c>
      <c r="F46" s="46"/>
      <c r="G46" s="46">
        <v>97912735</v>
      </c>
      <c r="H46" s="46"/>
      <c r="I46" s="46"/>
      <c r="J46" s="46"/>
      <c r="K46" s="46">
        <f>G46</f>
        <v>97912735</v>
      </c>
      <c r="L46" s="103">
        <f>K46</f>
        <v>97912735</v>
      </c>
      <c r="M46" s="161" t="s">
        <v>223</v>
      </c>
      <c r="N46" s="161" t="s">
        <v>270</v>
      </c>
    </row>
    <row r="47" spans="2:15" s="3" customFormat="1" ht="91.5" customHeight="1" x14ac:dyDescent="0.3">
      <c r="B47" s="19" t="s">
        <v>108</v>
      </c>
      <c r="C47" s="19" t="s">
        <v>141</v>
      </c>
      <c r="D47" s="19" t="s">
        <v>157</v>
      </c>
      <c r="E47" s="71" t="s">
        <v>13</v>
      </c>
      <c r="F47" s="46"/>
      <c r="G47" s="46">
        <v>2700203</v>
      </c>
      <c r="H47" s="46"/>
      <c r="I47" s="46"/>
      <c r="J47" s="46"/>
      <c r="K47" s="46">
        <f>G47</f>
        <v>2700203</v>
      </c>
      <c r="L47" s="103">
        <f>K47</f>
        <v>2700203</v>
      </c>
      <c r="M47" s="161" t="s">
        <v>223</v>
      </c>
      <c r="N47" s="161" t="s">
        <v>227</v>
      </c>
    </row>
    <row r="48" spans="2:15" s="3" customFormat="1" ht="91.5" customHeight="1" x14ac:dyDescent="0.3">
      <c r="B48" s="19" t="s">
        <v>108</v>
      </c>
      <c r="C48" s="19" t="s">
        <v>141</v>
      </c>
      <c r="D48" s="19" t="s">
        <v>158</v>
      </c>
      <c r="E48" s="71" t="s">
        <v>15</v>
      </c>
      <c r="F48" s="46"/>
      <c r="G48" s="46">
        <v>8824538</v>
      </c>
      <c r="H48" s="46"/>
      <c r="I48" s="46"/>
      <c r="J48" s="46"/>
      <c r="K48" s="46">
        <f>G48</f>
        <v>8824538</v>
      </c>
      <c r="L48" s="103">
        <f>K48</f>
        <v>8824538</v>
      </c>
      <c r="M48" s="162" t="s">
        <v>223</v>
      </c>
      <c r="N48" s="162" t="s">
        <v>251</v>
      </c>
    </row>
    <row r="49" spans="2:14" s="3" customFormat="1" ht="91.5" customHeight="1" x14ac:dyDescent="0.3">
      <c r="B49" s="19" t="s">
        <v>108</v>
      </c>
      <c r="C49" s="19" t="s">
        <v>141</v>
      </c>
      <c r="D49" s="19" t="s">
        <v>159</v>
      </c>
      <c r="E49" s="71" t="s">
        <v>42</v>
      </c>
      <c r="F49" s="46"/>
      <c r="G49" s="46">
        <v>19963885</v>
      </c>
      <c r="H49" s="46"/>
      <c r="I49" s="46"/>
      <c r="J49" s="46"/>
      <c r="K49" s="46">
        <f>G49</f>
        <v>19963885</v>
      </c>
      <c r="L49" s="103">
        <f>K49</f>
        <v>19963885</v>
      </c>
      <c r="M49" s="161" t="s">
        <v>223</v>
      </c>
      <c r="N49" s="161" t="s">
        <v>227</v>
      </c>
    </row>
    <row r="50" spans="2:14" s="3" customFormat="1" ht="91.5" customHeight="1" x14ac:dyDescent="0.3">
      <c r="B50" s="19" t="s">
        <v>108</v>
      </c>
      <c r="C50" s="19" t="s">
        <v>141</v>
      </c>
      <c r="D50" s="19" t="s">
        <v>160</v>
      </c>
      <c r="E50" s="71" t="s">
        <v>48</v>
      </c>
      <c r="F50" s="46"/>
      <c r="G50" s="46">
        <v>109099356</v>
      </c>
      <c r="H50" s="46"/>
      <c r="I50" s="46"/>
      <c r="J50" s="46"/>
      <c r="K50" s="46">
        <f>G50</f>
        <v>109099356</v>
      </c>
      <c r="L50" s="103">
        <f>K50</f>
        <v>109099356</v>
      </c>
      <c r="M50" s="163" t="s">
        <v>273</v>
      </c>
      <c r="N50" s="164" t="s">
        <v>266</v>
      </c>
    </row>
    <row r="51" spans="2:14" s="3" customFormat="1" ht="71.25" customHeight="1" x14ac:dyDescent="0.3">
      <c r="B51" s="277" t="s">
        <v>108</v>
      </c>
      <c r="C51" s="277" t="s">
        <v>141</v>
      </c>
      <c r="D51" s="277" t="s">
        <v>161</v>
      </c>
      <c r="E51" s="212" t="s">
        <v>25</v>
      </c>
      <c r="F51" s="46">
        <v>20460064</v>
      </c>
      <c r="G51" s="46">
        <v>10000197</v>
      </c>
      <c r="H51" s="46"/>
      <c r="I51" s="46"/>
      <c r="J51" s="46"/>
      <c r="K51" s="46">
        <f>F51+G51</f>
        <v>30460261</v>
      </c>
      <c r="L51" s="264">
        <f>SUM(K51:K53)</f>
        <v>52873233</v>
      </c>
      <c r="M51" s="304" t="s">
        <v>233</v>
      </c>
      <c r="N51" s="315" t="s">
        <v>234</v>
      </c>
    </row>
    <row r="52" spans="2:14" s="3" customFormat="1" ht="74.25" customHeight="1" x14ac:dyDescent="0.3">
      <c r="B52" s="278"/>
      <c r="C52" s="278"/>
      <c r="D52" s="278"/>
      <c r="E52" s="212" t="s">
        <v>162</v>
      </c>
      <c r="F52" s="241">
        <v>16315022</v>
      </c>
      <c r="G52" s="241">
        <v>2847950</v>
      </c>
      <c r="H52" s="241"/>
      <c r="I52" s="241"/>
      <c r="J52" s="241"/>
      <c r="K52" s="46">
        <f>F52+G52</f>
        <v>19162972</v>
      </c>
      <c r="L52" s="265"/>
      <c r="M52" s="306"/>
      <c r="N52" s="316"/>
    </row>
    <row r="53" spans="2:14" s="3" customFormat="1" ht="74.25" customHeight="1" x14ac:dyDescent="0.3">
      <c r="B53" s="279"/>
      <c r="C53" s="279"/>
      <c r="D53" s="279"/>
      <c r="E53" s="215" t="s">
        <v>27</v>
      </c>
      <c r="F53" s="241"/>
      <c r="G53" s="241">
        <v>3250000</v>
      </c>
      <c r="H53" s="241"/>
      <c r="I53" s="241"/>
      <c r="J53" s="241"/>
      <c r="K53" s="46">
        <f>F53+G53</f>
        <v>3250000</v>
      </c>
      <c r="L53" s="266"/>
      <c r="M53" s="305"/>
      <c r="N53" s="317"/>
    </row>
    <row r="54" spans="2:14" s="3" customFormat="1" ht="120.75" customHeight="1" x14ac:dyDescent="0.3">
      <c r="B54" s="18" t="s">
        <v>108</v>
      </c>
      <c r="C54" s="18" t="s">
        <v>141</v>
      </c>
      <c r="D54" s="18" t="s">
        <v>70</v>
      </c>
      <c r="E54" s="71" t="s">
        <v>71</v>
      </c>
      <c r="F54" s="242">
        <v>611140323</v>
      </c>
      <c r="G54" s="242"/>
      <c r="H54" s="242"/>
      <c r="I54" s="242"/>
      <c r="J54" s="242"/>
      <c r="K54" s="242">
        <f>F54</f>
        <v>611140323</v>
      </c>
      <c r="L54" s="111">
        <f>F54</f>
        <v>611140323</v>
      </c>
      <c r="M54" s="165"/>
      <c r="N54" s="165"/>
    </row>
    <row r="55" spans="2:14" s="3" customFormat="1" ht="120.75" customHeight="1" x14ac:dyDescent="0.3">
      <c r="B55" s="109" t="s">
        <v>108</v>
      </c>
      <c r="C55" s="109" t="s">
        <v>141</v>
      </c>
      <c r="D55" s="98" t="s">
        <v>192</v>
      </c>
      <c r="E55" s="71" t="s">
        <v>42</v>
      </c>
      <c r="F55" s="242"/>
      <c r="G55" s="242"/>
      <c r="H55" s="242">
        <v>40333567</v>
      </c>
      <c r="I55" s="242"/>
      <c r="J55" s="242"/>
      <c r="K55" s="242">
        <f t="shared" ref="K55:K61" si="0">H55</f>
        <v>40333567</v>
      </c>
      <c r="L55" s="111">
        <f>K55</f>
        <v>40333567</v>
      </c>
      <c r="M55" s="162" t="s">
        <v>223</v>
      </c>
      <c r="N55" s="162" t="s">
        <v>251</v>
      </c>
    </row>
    <row r="56" spans="2:14" s="3" customFormat="1" ht="125.25" customHeight="1" x14ac:dyDescent="0.3">
      <c r="B56" s="109" t="s">
        <v>108</v>
      </c>
      <c r="C56" s="109" t="s">
        <v>141</v>
      </c>
      <c r="D56" s="98" t="s">
        <v>194</v>
      </c>
      <c r="E56" s="71" t="s">
        <v>50</v>
      </c>
      <c r="F56" s="242"/>
      <c r="G56" s="242"/>
      <c r="H56" s="242">
        <v>96994832</v>
      </c>
      <c r="I56" s="242"/>
      <c r="J56" s="242"/>
      <c r="K56" s="242">
        <f t="shared" si="0"/>
        <v>96994832</v>
      </c>
      <c r="L56" s="111">
        <f>K56</f>
        <v>96994832</v>
      </c>
      <c r="M56" s="162" t="s">
        <v>223</v>
      </c>
      <c r="N56" s="162" t="s">
        <v>272</v>
      </c>
    </row>
    <row r="57" spans="2:14" s="3" customFormat="1" ht="123" customHeight="1" x14ac:dyDescent="0.3">
      <c r="B57" s="109" t="s">
        <v>108</v>
      </c>
      <c r="C57" s="109" t="s">
        <v>141</v>
      </c>
      <c r="D57" s="98" t="s">
        <v>195</v>
      </c>
      <c r="E57" s="71" t="s">
        <v>43</v>
      </c>
      <c r="F57" s="242"/>
      <c r="G57" s="242"/>
      <c r="H57" s="242">
        <v>120541577</v>
      </c>
      <c r="I57" s="242"/>
      <c r="J57" s="242"/>
      <c r="K57" s="242">
        <f t="shared" si="0"/>
        <v>120541577</v>
      </c>
      <c r="L57" s="111">
        <f>K57</f>
        <v>120541577</v>
      </c>
      <c r="M57" s="162" t="s">
        <v>223</v>
      </c>
      <c r="N57" s="162" t="s">
        <v>266</v>
      </c>
    </row>
    <row r="58" spans="2:14" s="3" customFormat="1" ht="57.75" customHeight="1" x14ac:dyDescent="0.3">
      <c r="B58" s="277" t="s">
        <v>108</v>
      </c>
      <c r="C58" s="277" t="s">
        <v>141</v>
      </c>
      <c r="D58" s="277" t="s">
        <v>196</v>
      </c>
      <c r="E58" s="71" t="s">
        <v>48</v>
      </c>
      <c r="F58" s="242"/>
      <c r="G58" s="242"/>
      <c r="H58" s="72">
        <v>37709567</v>
      </c>
      <c r="I58" s="242"/>
      <c r="J58" s="242"/>
      <c r="K58" s="242">
        <f t="shared" si="0"/>
        <v>37709567</v>
      </c>
      <c r="L58" s="264">
        <f>SUM(K58:K59)</f>
        <v>40333567</v>
      </c>
      <c r="M58" s="304" t="s">
        <v>223</v>
      </c>
      <c r="N58" s="304" t="s">
        <v>227</v>
      </c>
    </row>
    <row r="59" spans="2:14" s="3" customFormat="1" ht="59.25" customHeight="1" x14ac:dyDescent="0.3">
      <c r="B59" s="279"/>
      <c r="C59" s="279"/>
      <c r="D59" s="279"/>
      <c r="E59" s="71" t="s">
        <v>48</v>
      </c>
      <c r="F59" s="242"/>
      <c r="G59" s="242"/>
      <c r="H59" s="72">
        <v>2624000</v>
      </c>
      <c r="I59" s="242"/>
      <c r="J59" s="242"/>
      <c r="K59" s="242">
        <f t="shared" si="0"/>
        <v>2624000</v>
      </c>
      <c r="L59" s="266"/>
      <c r="M59" s="305"/>
      <c r="N59" s="305"/>
    </row>
    <row r="60" spans="2:14" s="3" customFormat="1" ht="107.25" customHeight="1" x14ac:dyDescent="0.3">
      <c r="B60" s="109" t="s">
        <v>108</v>
      </c>
      <c r="C60" s="109" t="s">
        <v>141</v>
      </c>
      <c r="D60" s="99" t="s">
        <v>197</v>
      </c>
      <c r="E60" s="71" t="s">
        <v>42</v>
      </c>
      <c r="F60" s="242"/>
      <c r="G60" s="242"/>
      <c r="H60" s="72">
        <v>40333567</v>
      </c>
      <c r="I60" s="242"/>
      <c r="J60" s="242"/>
      <c r="K60" s="242">
        <f t="shared" si="0"/>
        <v>40333567</v>
      </c>
      <c r="L60" s="104">
        <f>K60</f>
        <v>40333567</v>
      </c>
      <c r="M60" s="161" t="s">
        <v>223</v>
      </c>
      <c r="N60" s="161" t="s">
        <v>266</v>
      </c>
    </row>
    <row r="61" spans="2:14" s="3" customFormat="1" ht="96.75" customHeight="1" x14ac:dyDescent="0.3">
      <c r="B61" s="109" t="s">
        <v>108</v>
      </c>
      <c r="C61" s="109" t="s">
        <v>141</v>
      </c>
      <c r="D61" s="109" t="s">
        <v>198</v>
      </c>
      <c r="E61" s="71" t="s">
        <v>16</v>
      </c>
      <c r="F61" s="242"/>
      <c r="G61" s="242"/>
      <c r="H61" s="72">
        <v>20007300</v>
      </c>
      <c r="I61" s="242"/>
      <c r="J61" s="242"/>
      <c r="K61" s="242">
        <f t="shared" si="0"/>
        <v>20007300</v>
      </c>
      <c r="L61" s="111">
        <f>K61</f>
        <v>20007300</v>
      </c>
      <c r="M61" s="166" t="s">
        <v>223</v>
      </c>
      <c r="N61" s="161" t="s">
        <v>266</v>
      </c>
    </row>
    <row r="62" spans="2:14" s="3" customFormat="1" ht="147" customHeight="1" x14ac:dyDescent="0.3">
      <c r="B62" s="98" t="s">
        <v>108</v>
      </c>
      <c r="C62" s="98" t="s">
        <v>141</v>
      </c>
      <c r="D62" s="98" t="s">
        <v>211</v>
      </c>
      <c r="E62" s="71" t="s">
        <v>50</v>
      </c>
      <c r="F62" s="242"/>
      <c r="G62" s="242"/>
      <c r="H62" s="72"/>
      <c r="I62" s="242"/>
      <c r="J62" s="242"/>
      <c r="K62" s="242">
        <v>124999272</v>
      </c>
      <c r="L62" s="103">
        <v>124999272</v>
      </c>
      <c r="M62" s="167" t="s">
        <v>223</v>
      </c>
      <c r="N62" s="161" t="s">
        <v>270</v>
      </c>
    </row>
    <row r="63" spans="2:14" s="3" customFormat="1" ht="96" customHeight="1" x14ac:dyDescent="0.3">
      <c r="B63" s="98" t="s">
        <v>108</v>
      </c>
      <c r="C63" s="98" t="s">
        <v>141</v>
      </c>
      <c r="D63" s="98" t="s">
        <v>212</v>
      </c>
      <c r="E63" s="71" t="s">
        <v>43</v>
      </c>
      <c r="F63" s="242"/>
      <c r="G63" s="242"/>
      <c r="H63" s="72"/>
      <c r="I63" s="242"/>
      <c r="J63" s="242"/>
      <c r="K63" s="242">
        <v>124999272</v>
      </c>
      <c r="L63" s="103">
        <v>121459827</v>
      </c>
      <c r="M63" s="167" t="s">
        <v>223</v>
      </c>
      <c r="N63" s="161" t="s">
        <v>266</v>
      </c>
    </row>
    <row r="64" spans="2:14" s="3" customFormat="1" ht="120.75" customHeight="1" x14ac:dyDescent="0.3">
      <c r="B64" s="273" t="s">
        <v>163</v>
      </c>
      <c r="C64" s="273" t="s">
        <v>164</v>
      </c>
      <c r="D64" s="273" t="s">
        <v>165</v>
      </c>
      <c r="E64" s="228" t="s">
        <v>42</v>
      </c>
      <c r="F64" s="83">
        <v>574642</v>
      </c>
      <c r="G64" s="83"/>
      <c r="H64" s="83">
        <v>3240230</v>
      </c>
      <c r="I64" s="83"/>
      <c r="J64" s="83">
        <v>3814872</v>
      </c>
      <c r="K64" s="37">
        <f>F64+H64-J64</f>
        <v>0</v>
      </c>
      <c r="L64" s="270">
        <f>SUM(K64:K66)</f>
        <v>23123971</v>
      </c>
      <c r="M64" s="312" t="s">
        <v>223</v>
      </c>
      <c r="N64" s="311" t="s">
        <v>227</v>
      </c>
    </row>
    <row r="65" spans="2:14" s="3" customFormat="1" ht="81" customHeight="1" x14ac:dyDescent="0.3">
      <c r="B65" s="274"/>
      <c r="C65" s="274"/>
      <c r="D65" s="274"/>
      <c r="E65" s="229" t="s">
        <v>49</v>
      </c>
      <c r="F65" s="83">
        <v>574643</v>
      </c>
      <c r="G65" s="83"/>
      <c r="H65" s="83">
        <v>4860342</v>
      </c>
      <c r="I65" s="83">
        <v>17688986</v>
      </c>
      <c r="J65" s="83"/>
      <c r="K65" s="37">
        <f>F65+H65+I65</f>
        <v>23123971</v>
      </c>
      <c r="L65" s="271"/>
      <c r="M65" s="313"/>
      <c r="N65" s="311"/>
    </row>
    <row r="66" spans="2:14" s="3" customFormat="1" ht="81" customHeight="1" x14ac:dyDescent="0.3">
      <c r="B66" s="275"/>
      <c r="C66" s="275"/>
      <c r="D66" s="275"/>
      <c r="E66" s="229" t="s">
        <v>45</v>
      </c>
      <c r="F66" s="83"/>
      <c r="G66" s="83"/>
      <c r="H66" s="83">
        <v>1620114</v>
      </c>
      <c r="I66" s="83"/>
      <c r="J66" s="83">
        <v>1620114</v>
      </c>
      <c r="K66" s="37">
        <f>F66+H66-J66</f>
        <v>0</v>
      </c>
      <c r="L66" s="272"/>
      <c r="M66" s="314"/>
      <c r="N66" s="311"/>
    </row>
    <row r="67" spans="2:14" s="3" customFormat="1" ht="81" customHeight="1" x14ac:dyDescent="0.3">
      <c r="B67" s="273" t="s">
        <v>108</v>
      </c>
      <c r="C67" s="273" t="s">
        <v>164</v>
      </c>
      <c r="D67" s="273" t="s">
        <v>166</v>
      </c>
      <c r="E67" s="79" t="s">
        <v>43</v>
      </c>
      <c r="F67" s="56">
        <v>4597138</v>
      </c>
      <c r="G67" s="56"/>
      <c r="H67" s="56">
        <v>39616040</v>
      </c>
      <c r="I67" s="56"/>
      <c r="J67" s="56"/>
      <c r="K67" s="56">
        <f>H67+F67</f>
        <v>44213178</v>
      </c>
      <c r="L67" s="270">
        <f>SUM(K67:K68)</f>
        <v>66301769</v>
      </c>
      <c r="M67" s="312" t="s">
        <v>223</v>
      </c>
      <c r="N67" s="311" t="s">
        <v>265</v>
      </c>
    </row>
    <row r="68" spans="2:14" s="3" customFormat="1" ht="184.5" customHeight="1" x14ac:dyDescent="0.3">
      <c r="B68" s="275"/>
      <c r="C68" s="275"/>
      <c r="D68" s="275"/>
      <c r="E68" s="229" t="s">
        <v>68</v>
      </c>
      <c r="F68" s="56">
        <v>2298569</v>
      </c>
      <c r="G68" s="56"/>
      <c r="H68" s="56">
        <v>19790022</v>
      </c>
      <c r="I68" s="56"/>
      <c r="J68" s="56"/>
      <c r="K68" s="56">
        <f>H68+F68</f>
        <v>22088591</v>
      </c>
      <c r="L68" s="272"/>
      <c r="M68" s="314"/>
      <c r="N68" s="311"/>
    </row>
    <row r="69" spans="2:14" s="3" customFormat="1" ht="129.75" customHeight="1" x14ac:dyDescent="0.3">
      <c r="B69" s="32" t="s">
        <v>108</v>
      </c>
      <c r="C69" s="32" t="s">
        <v>164</v>
      </c>
      <c r="D69" s="32" t="s">
        <v>167</v>
      </c>
      <c r="E69" s="217" t="s">
        <v>73</v>
      </c>
      <c r="F69" s="56">
        <v>1149285</v>
      </c>
      <c r="G69" s="56"/>
      <c r="H69" s="56">
        <v>9902079</v>
      </c>
      <c r="I69" s="56"/>
      <c r="J69" s="56"/>
      <c r="K69" s="56">
        <f>H69+F69</f>
        <v>11051364</v>
      </c>
      <c r="L69" s="102">
        <f>K69</f>
        <v>11051364</v>
      </c>
      <c r="M69" s="153" t="s">
        <v>233</v>
      </c>
      <c r="N69" s="168" t="s">
        <v>264</v>
      </c>
    </row>
    <row r="70" spans="2:14" s="3" customFormat="1" ht="129" customHeight="1" x14ac:dyDescent="0.3">
      <c r="B70" s="32" t="s">
        <v>108</v>
      </c>
      <c r="C70" s="32" t="s">
        <v>164</v>
      </c>
      <c r="D70" s="32" t="s">
        <v>168</v>
      </c>
      <c r="E70" s="210" t="s">
        <v>50</v>
      </c>
      <c r="F70" s="56">
        <v>6895707</v>
      </c>
      <c r="G70" s="56"/>
      <c r="H70" s="56">
        <v>56178798</v>
      </c>
      <c r="I70" s="56">
        <v>9056100</v>
      </c>
      <c r="J70" s="56"/>
      <c r="K70" s="56">
        <f>H70+F70+I70</f>
        <v>72130605</v>
      </c>
      <c r="L70" s="56">
        <f>K70</f>
        <v>72130605</v>
      </c>
      <c r="M70" s="153" t="s">
        <v>260</v>
      </c>
      <c r="N70" s="75" t="s">
        <v>263</v>
      </c>
    </row>
    <row r="71" spans="2:14" s="3" customFormat="1" ht="33" customHeight="1" x14ac:dyDescent="0.3">
      <c r="B71" s="273" t="s">
        <v>108</v>
      </c>
      <c r="C71" s="273" t="s">
        <v>164</v>
      </c>
      <c r="D71" s="273" t="s">
        <v>169</v>
      </c>
      <c r="E71" s="229" t="s">
        <v>43</v>
      </c>
      <c r="F71" s="56">
        <v>88408</v>
      </c>
      <c r="G71" s="56"/>
      <c r="H71" s="243"/>
      <c r="I71" s="56"/>
      <c r="J71" s="56">
        <v>88408</v>
      </c>
      <c r="K71" s="56">
        <f>F71-J71</f>
        <v>0</v>
      </c>
      <c r="L71" s="270">
        <f>SUM(K71:K76)</f>
        <v>10512418</v>
      </c>
      <c r="M71" s="293" t="s">
        <v>223</v>
      </c>
      <c r="N71" s="293" t="s">
        <v>271</v>
      </c>
    </row>
    <row r="72" spans="2:14" s="3" customFormat="1" ht="33" customHeight="1" x14ac:dyDescent="0.3">
      <c r="B72" s="274"/>
      <c r="C72" s="274"/>
      <c r="D72" s="274"/>
      <c r="E72" s="229" t="s">
        <v>48</v>
      </c>
      <c r="F72" s="83">
        <v>530437</v>
      </c>
      <c r="G72" s="83"/>
      <c r="H72" s="243">
        <v>1773094</v>
      </c>
      <c r="I72" s="83">
        <v>5498515</v>
      </c>
      <c r="J72" s="83"/>
      <c r="K72" s="56">
        <f>F72+I72+H72</f>
        <v>7802046</v>
      </c>
      <c r="L72" s="271"/>
      <c r="M72" s="294"/>
      <c r="N72" s="307"/>
    </row>
    <row r="73" spans="2:14" s="3" customFormat="1" ht="33" customHeight="1" x14ac:dyDescent="0.3">
      <c r="B73" s="274"/>
      <c r="C73" s="274"/>
      <c r="D73" s="274"/>
      <c r="E73" s="230" t="s">
        <v>43</v>
      </c>
      <c r="F73" s="244">
        <v>353626</v>
      </c>
      <c r="G73" s="244"/>
      <c r="H73" s="56">
        <v>1914638</v>
      </c>
      <c r="I73" s="244"/>
      <c r="J73" s="244">
        <v>2268264</v>
      </c>
      <c r="K73" s="56">
        <f>F73+H73-J73</f>
        <v>0</v>
      </c>
      <c r="L73" s="271"/>
      <c r="M73" s="294"/>
      <c r="N73" s="307"/>
    </row>
    <row r="74" spans="2:14" s="3" customFormat="1" ht="33" customHeight="1" x14ac:dyDescent="0.3">
      <c r="B74" s="274"/>
      <c r="C74" s="274"/>
      <c r="D74" s="274"/>
      <c r="E74" s="230" t="s">
        <v>48</v>
      </c>
      <c r="F74" s="244">
        <v>88406</v>
      </c>
      <c r="G74" s="244"/>
      <c r="H74" s="244">
        <v>2621966</v>
      </c>
      <c r="I74" s="244"/>
      <c r="J74" s="244"/>
      <c r="K74" s="56">
        <f>F74+H74</f>
        <v>2710372</v>
      </c>
      <c r="L74" s="271"/>
      <c r="M74" s="294"/>
      <c r="N74" s="307"/>
    </row>
    <row r="75" spans="2:14" s="3" customFormat="1" ht="33" customHeight="1" x14ac:dyDescent="0.3">
      <c r="B75" s="274"/>
      <c r="C75" s="274"/>
      <c r="D75" s="274"/>
      <c r="E75" s="79" t="s">
        <v>49</v>
      </c>
      <c r="F75" s="83">
        <v>88408</v>
      </c>
      <c r="G75" s="83"/>
      <c r="H75" s="83">
        <v>1444592</v>
      </c>
      <c r="I75" s="83"/>
      <c r="J75" s="74">
        <v>1533000</v>
      </c>
      <c r="K75" s="56">
        <f>H78+F75+H75-J75</f>
        <v>0</v>
      </c>
      <c r="L75" s="271"/>
      <c r="M75" s="294"/>
      <c r="N75" s="307"/>
    </row>
    <row r="76" spans="2:14" s="3" customFormat="1" ht="33" customHeight="1" x14ac:dyDescent="0.3">
      <c r="B76" s="275"/>
      <c r="C76" s="275"/>
      <c r="D76" s="275"/>
      <c r="E76" s="79" t="s">
        <v>46</v>
      </c>
      <c r="F76" s="83">
        <v>1608843</v>
      </c>
      <c r="G76" s="83"/>
      <c r="H76" s="83"/>
      <c r="I76" s="83"/>
      <c r="J76" s="74">
        <v>1608843</v>
      </c>
      <c r="K76" s="56">
        <f>F76-J76</f>
        <v>0</v>
      </c>
      <c r="L76" s="272"/>
      <c r="M76" s="295"/>
      <c r="N76" s="308"/>
    </row>
    <row r="77" spans="2:14" s="3" customFormat="1" ht="141.75" customHeight="1" x14ac:dyDescent="0.3">
      <c r="B77" s="32" t="s">
        <v>108</v>
      </c>
      <c r="C77" s="32" t="s">
        <v>164</v>
      </c>
      <c r="D77" s="32" t="s">
        <v>170</v>
      </c>
      <c r="E77" s="176" t="s">
        <v>15</v>
      </c>
      <c r="F77" s="56">
        <v>1149285</v>
      </c>
      <c r="G77" s="56"/>
      <c r="H77" s="56">
        <v>9699910</v>
      </c>
      <c r="I77" s="56"/>
      <c r="J77" s="56"/>
      <c r="K77" s="56">
        <f>H77+F77</f>
        <v>10849195</v>
      </c>
      <c r="L77" s="102">
        <f>K77</f>
        <v>10849195</v>
      </c>
      <c r="M77" s="153" t="s">
        <v>260</v>
      </c>
      <c r="N77" s="153" t="s">
        <v>262</v>
      </c>
    </row>
    <row r="78" spans="2:14" s="3" customFormat="1" ht="38.25" customHeight="1" x14ac:dyDescent="0.3">
      <c r="B78" s="273" t="s">
        <v>108</v>
      </c>
      <c r="C78" s="273" t="s">
        <v>164</v>
      </c>
      <c r="D78" s="273" t="s">
        <v>171</v>
      </c>
      <c r="E78" s="208" t="s">
        <v>25</v>
      </c>
      <c r="F78" s="56">
        <v>4597137</v>
      </c>
      <c r="G78" s="56"/>
      <c r="H78" s="56"/>
      <c r="I78" s="56"/>
      <c r="J78" s="56"/>
      <c r="K78" s="56">
        <f>F78</f>
        <v>4597137</v>
      </c>
      <c r="L78" s="270">
        <f>SUM(K78:K89)</f>
        <v>57258454</v>
      </c>
      <c r="M78" s="293" t="s">
        <v>259</v>
      </c>
      <c r="N78" s="293" t="s">
        <v>258</v>
      </c>
    </row>
    <row r="79" spans="2:14" s="3" customFormat="1" ht="39" customHeight="1" x14ac:dyDescent="0.3">
      <c r="B79" s="274"/>
      <c r="C79" s="274"/>
      <c r="D79" s="274"/>
      <c r="E79" s="229" t="s">
        <v>65</v>
      </c>
      <c r="F79" s="39"/>
      <c r="G79" s="56"/>
      <c r="H79" s="39">
        <v>4618191</v>
      </c>
      <c r="I79" s="56"/>
      <c r="J79" s="56"/>
      <c r="K79" s="47">
        <f>H79</f>
        <v>4618191</v>
      </c>
      <c r="L79" s="271"/>
      <c r="M79" s="294"/>
      <c r="N79" s="294"/>
    </row>
    <row r="80" spans="2:14" s="3" customFormat="1" ht="24" customHeight="1" x14ac:dyDescent="0.3">
      <c r="B80" s="274"/>
      <c r="C80" s="274"/>
      <c r="D80" s="274"/>
      <c r="E80" s="229" t="s">
        <v>113</v>
      </c>
      <c r="F80" s="39"/>
      <c r="G80" s="56"/>
      <c r="H80" s="39">
        <v>1718810</v>
      </c>
      <c r="I80" s="56"/>
      <c r="J80" s="56"/>
      <c r="K80" s="56">
        <f t="shared" ref="K80:K89" si="1">H80</f>
        <v>1718810</v>
      </c>
      <c r="L80" s="271"/>
      <c r="M80" s="294"/>
      <c r="N80" s="294"/>
    </row>
    <row r="81" spans="2:14" s="3" customFormat="1" ht="24" customHeight="1" x14ac:dyDescent="0.3">
      <c r="B81" s="274"/>
      <c r="C81" s="274"/>
      <c r="D81" s="274"/>
      <c r="E81" s="229" t="s">
        <v>107</v>
      </c>
      <c r="F81" s="39"/>
      <c r="G81" s="56"/>
      <c r="H81" s="39">
        <v>4633233</v>
      </c>
      <c r="I81" s="56"/>
      <c r="J81" s="56"/>
      <c r="K81" s="56">
        <f t="shared" si="1"/>
        <v>4633233</v>
      </c>
      <c r="L81" s="271"/>
      <c r="M81" s="294"/>
      <c r="N81" s="294"/>
    </row>
    <row r="82" spans="2:14" s="3" customFormat="1" ht="30" customHeight="1" x14ac:dyDescent="0.3">
      <c r="B82" s="274"/>
      <c r="C82" s="274"/>
      <c r="D82" s="274"/>
      <c r="E82" s="229" t="s">
        <v>46</v>
      </c>
      <c r="F82" s="39"/>
      <c r="G82" s="56"/>
      <c r="H82" s="39">
        <v>76028</v>
      </c>
      <c r="I82" s="56"/>
      <c r="J82" s="56"/>
      <c r="K82" s="56">
        <f t="shared" si="1"/>
        <v>76028</v>
      </c>
      <c r="L82" s="271"/>
      <c r="M82" s="294"/>
      <c r="N82" s="294"/>
    </row>
    <row r="83" spans="2:14" s="3" customFormat="1" ht="24" customHeight="1" x14ac:dyDescent="0.3">
      <c r="B83" s="274"/>
      <c r="C83" s="274"/>
      <c r="D83" s="274"/>
      <c r="E83" s="229" t="s">
        <v>13</v>
      </c>
      <c r="F83" s="39"/>
      <c r="G83" s="56"/>
      <c r="H83" s="39">
        <v>1121476</v>
      </c>
      <c r="I83" s="56"/>
      <c r="J83" s="56"/>
      <c r="K83" s="56">
        <f t="shared" si="1"/>
        <v>1121476</v>
      </c>
      <c r="L83" s="271"/>
      <c r="M83" s="294"/>
      <c r="N83" s="294"/>
    </row>
    <row r="84" spans="2:14" s="3" customFormat="1" ht="21" customHeight="1" x14ac:dyDescent="0.3">
      <c r="B84" s="274"/>
      <c r="C84" s="274"/>
      <c r="D84" s="274"/>
      <c r="E84" s="229" t="s">
        <v>189</v>
      </c>
      <c r="F84" s="39"/>
      <c r="G84" s="56"/>
      <c r="H84" s="39">
        <v>1904366</v>
      </c>
      <c r="I84" s="56"/>
      <c r="J84" s="56"/>
      <c r="K84" s="56">
        <f t="shared" si="1"/>
        <v>1904366</v>
      </c>
      <c r="L84" s="271"/>
      <c r="M84" s="294"/>
      <c r="N84" s="294"/>
    </row>
    <row r="85" spans="2:14" s="3" customFormat="1" ht="30.75" customHeight="1" x14ac:dyDescent="0.3">
      <c r="B85" s="274"/>
      <c r="C85" s="274"/>
      <c r="D85" s="274"/>
      <c r="E85" s="229" t="s">
        <v>43</v>
      </c>
      <c r="F85" s="39"/>
      <c r="G85" s="56"/>
      <c r="H85" s="39">
        <v>6508994</v>
      </c>
      <c r="I85" s="56"/>
      <c r="J85" s="56"/>
      <c r="K85" s="56">
        <f t="shared" si="1"/>
        <v>6508994</v>
      </c>
      <c r="L85" s="271"/>
      <c r="M85" s="294"/>
      <c r="N85" s="294"/>
    </row>
    <row r="86" spans="2:14" s="3" customFormat="1" ht="21" customHeight="1" x14ac:dyDescent="0.3">
      <c r="B86" s="274"/>
      <c r="C86" s="274"/>
      <c r="D86" s="274"/>
      <c r="E86" s="229" t="s">
        <v>68</v>
      </c>
      <c r="F86" s="39"/>
      <c r="G86" s="56"/>
      <c r="H86" s="39">
        <v>258189</v>
      </c>
      <c r="I86" s="56"/>
      <c r="J86" s="56"/>
      <c r="K86" s="56">
        <f t="shared" si="1"/>
        <v>258189</v>
      </c>
      <c r="L86" s="271"/>
      <c r="M86" s="294"/>
      <c r="N86" s="294"/>
    </row>
    <row r="87" spans="2:14" s="3" customFormat="1" ht="30" customHeight="1" x14ac:dyDescent="0.3">
      <c r="B87" s="274"/>
      <c r="C87" s="274"/>
      <c r="D87" s="274"/>
      <c r="E87" s="229" t="s">
        <v>48</v>
      </c>
      <c r="F87" s="39"/>
      <c r="G87" s="56"/>
      <c r="H87" s="39">
        <v>4998399</v>
      </c>
      <c r="I87" s="56"/>
      <c r="J87" s="56"/>
      <c r="K87" s="56">
        <f t="shared" si="1"/>
        <v>4998399</v>
      </c>
      <c r="L87" s="271"/>
      <c r="M87" s="294"/>
      <c r="N87" s="294"/>
    </row>
    <row r="88" spans="2:14" s="3" customFormat="1" ht="37.5" customHeight="1" x14ac:dyDescent="0.3">
      <c r="B88" s="274"/>
      <c r="C88" s="274"/>
      <c r="D88" s="274"/>
      <c r="E88" s="229" t="s">
        <v>49</v>
      </c>
      <c r="F88" s="39"/>
      <c r="G88" s="56"/>
      <c r="H88" s="39">
        <v>13449255</v>
      </c>
      <c r="I88" s="56"/>
      <c r="J88" s="56"/>
      <c r="K88" s="56">
        <f t="shared" si="1"/>
        <v>13449255</v>
      </c>
      <c r="L88" s="271"/>
      <c r="M88" s="294"/>
      <c r="N88" s="294"/>
    </row>
    <row r="89" spans="2:14" s="3" customFormat="1" ht="43.5" customHeight="1" x14ac:dyDescent="0.3">
      <c r="B89" s="275"/>
      <c r="C89" s="275"/>
      <c r="D89" s="275"/>
      <c r="E89" s="211" t="s">
        <v>38</v>
      </c>
      <c r="F89" s="39"/>
      <c r="G89" s="56"/>
      <c r="H89" s="39">
        <v>13374376</v>
      </c>
      <c r="I89" s="56"/>
      <c r="J89" s="56"/>
      <c r="K89" s="56">
        <f t="shared" si="1"/>
        <v>13374376</v>
      </c>
      <c r="L89" s="272"/>
      <c r="M89" s="295"/>
      <c r="N89" s="295"/>
    </row>
    <row r="90" spans="2:14" s="3" customFormat="1" ht="63.6" customHeight="1" x14ac:dyDescent="0.3">
      <c r="B90" s="273" t="s">
        <v>108</v>
      </c>
      <c r="C90" s="273" t="s">
        <v>164</v>
      </c>
      <c r="D90" s="273" t="s">
        <v>161</v>
      </c>
      <c r="E90" s="217" t="s">
        <v>25</v>
      </c>
      <c r="F90" s="56">
        <v>29300065</v>
      </c>
      <c r="G90" s="56">
        <v>9500186</v>
      </c>
      <c r="H90" s="56"/>
      <c r="I90" s="56"/>
      <c r="J90" s="56"/>
      <c r="K90" s="56">
        <f>F90+G90</f>
        <v>38800251</v>
      </c>
      <c r="L90" s="270">
        <f>SUM(K90:K92)</f>
        <v>61219203</v>
      </c>
      <c r="M90" s="318" t="s">
        <v>233</v>
      </c>
      <c r="N90" s="318" t="s">
        <v>234</v>
      </c>
    </row>
    <row r="91" spans="2:14" s="3" customFormat="1" ht="63.6" customHeight="1" x14ac:dyDescent="0.3">
      <c r="B91" s="274"/>
      <c r="C91" s="274"/>
      <c r="D91" s="274"/>
      <c r="E91" s="230" t="s">
        <v>162</v>
      </c>
      <c r="F91" s="244">
        <v>16001022</v>
      </c>
      <c r="G91" s="244">
        <v>3167930</v>
      </c>
      <c r="H91" s="244"/>
      <c r="I91" s="244"/>
      <c r="J91" s="244"/>
      <c r="K91" s="56">
        <f>F91+G91</f>
        <v>19168952</v>
      </c>
      <c r="L91" s="271"/>
      <c r="M91" s="319"/>
      <c r="N91" s="319"/>
    </row>
    <row r="92" spans="2:14" s="3" customFormat="1" ht="63.6" customHeight="1" x14ac:dyDescent="0.3">
      <c r="B92" s="275"/>
      <c r="C92" s="275"/>
      <c r="D92" s="275"/>
      <c r="E92" s="230" t="s">
        <v>27</v>
      </c>
      <c r="F92" s="244"/>
      <c r="G92" s="244">
        <v>3250000</v>
      </c>
      <c r="H92" s="244"/>
      <c r="I92" s="244"/>
      <c r="J92" s="244"/>
      <c r="K92" s="244">
        <f>G92</f>
        <v>3250000</v>
      </c>
      <c r="L92" s="272"/>
      <c r="M92" s="320"/>
      <c r="N92" s="320"/>
    </row>
    <row r="93" spans="2:14" s="3" customFormat="1" ht="136.5" customHeight="1" x14ac:dyDescent="0.3">
      <c r="B93" s="32" t="s">
        <v>108</v>
      </c>
      <c r="C93" s="32" t="s">
        <v>164</v>
      </c>
      <c r="D93" s="32" t="s">
        <v>70</v>
      </c>
      <c r="E93" s="229" t="s">
        <v>71</v>
      </c>
      <c r="F93" s="56">
        <v>604783484</v>
      </c>
      <c r="G93" s="56"/>
      <c r="H93" s="56"/>
      <c r="I93" s="56"/>
      <c r="J93" s="56"/>
      <c r="K93" s="56">
        <f>F93</f>
        <v>604783484</v>
      </c>
      <c r="L93" s="102">
        <f>F93</f>
        <v>604783484</v>
      </c>
      <c r="M93" s="95" t="s">
        <v>233</v>
      </c>
      <c r="N93" s="95" t="s">
        <v>235</v>
      </c>
    </row>
    <row r="94" spans="2:14" s="3" customFormat="1" ht="46.5" customHeight="1" x14ac:dyDescent="0.3">
      <c r="B94" s="277" t="s">
        <v>108</v>
      </c>
      <c r="C94" s="277" t="s">
        <v>172</v>
      </c>
      <c r="D94" s="277" t="s">
        <v>161</v>
      </c>
      <c r="E94" s="231" t="s">
        <v>25</v>
      </c>
      <c r="F94" s="245">
        <v>16860033</v>
      </c>
      <c r="G94" s="245">
        <v>5250103</v>
      </c>
      <c r="H94" s="245"/>
      <c r="I94" s="245"/>
      <c r="J94" s="245"/>
      <c r="K94" s="245">
        <f>F94+G94</f>
        <v>22110136</v>
      </c>
      <c r="L94" s="264">
        <f>SUM(K94:K96)</f>
        <v>36475107</v>
      </c>
      <c r="M94" s="328" t="s">
        <v>233</v>
      </c>
      <c r="N94" s="328" t="s">
        <v>234</v>
      </c>
    </row>
    <row r="95" spans="2:14" s="3" customFormat="1" ht="66.75" customHeight="1" x14ac:dyDescent="0.3">
      <c r="B95" s="278"/>
      <c r="C95" s="278"/>
      <c r="D95" s="278"/>
      <c r="E95" s="231" t="s">
        <v>162</v>
      </c>
      <c r="F95" s="245">
        <v>8427011</v>
      </c>
      <c r="G95" s="245">
        <v>2687960</v>
      </c>
      <c r="H95" s="245"/>
      <c r="I95" s="245"/>
      <c r="J95" s="245"/>
      <c r="K95" s="245">
        <f>F95+G95</f>
        <v>11114971</v>
      </c>
      <c r="L95" s="265"/>
      <c r="M95" s="329"/>
      <c r="N95" s="329"/>
    </row>
    <row r="96" spans="2:14" s="3" customFormat="1" ht="66.75" customHeight="1" x14ac:dyDescent="0.3">
      <c r="B96" s="279"/>
      <c r="C96" s="279"/>
      <c r="D96" s="279"/>
      <c r="E96" s="231" t="s">
        <v>27</v>
      </c>
      <c r="F96" s="245"/>
      <c r="G96" s="245">
        <v>3250000</v>
      </c>
      <c r="H96" s="245"/>
      <c r="I96" s="245"/>
      <c r="J96" s="245"/>
      <c r="K96" s="245">
        <f>G96</f>
        <v>3250000</v>
      </c>
      <c r="L96" s="266"/>
      <c r="M96" s="330"/>
      <c r="N96" s="330"/>
    </row>
    <row r="97" spans="2:14" s="3" customFormat="1" ht="127.5" customHeight="1" x14ac:dyDescent="0.3">
      <c r="B97" s="18" t="s">
        <v>108</v>
      </c>
      <c r="C97" s="18" t="s">
        <v>172</v>
      </c>
      <c r="D97" s="18" t="s">
        <v>70</v>
      </c>
      <c r="E97" s="222" t="s">
        <v>71</v>
      </c>
      <c r="F97" s="245">
        <v>137901204</v>
      </c>
      <c r="G97" s="245"/>
      <c r="H97" s="245"/>
      <c r="I97" s="245"/>
      <c r="J97" s="245"/>
      <c r="K97" s="245"/>
      <c r="L97" s="111">
        <f>F97</f>
        <v>137901204</v>
      </c>
      <c r="M97" s="109" t="s">
        <v>233</v>
      </c>
      <c r="N97" s="109" t="s">
        <v>235</v>
      </c>
    </row>
    <row r="98" spans="2:14" s="3" customFormat="1" ht="99" customHeight="1" x14ac:dyDescent="0.3">
      <c r="B98" s="19" t="s">
        <v>108</v>
      </c>
      <c r="C98" s="19" t="s">
        <v>172</v>
      </c>
      <c r="D98" s="19" t="s">
        <v>173</v>
      </c>
      <c r="E98" s="71" t="s">
        <v>50</v>
      </c>
      <c r="F98" s="245">
        <v>14048478</v>
      </c>
      <c r="G98" s="245"/>
      <c r="H98" s="245"/>
      <c r="I98" s="245"/>
      <c r="J98" s="245"/>
      <c r="K98" s="245">
        <f>F98</f>
        <v>14048478</v>
      </c>
      <c r="L98" s="103">
        <f>K98</f>
        <v>14048478</v>
      </c>
      <c r="M98" s="173" t="s">
        <v>260</v>
      </c>
      <c r="N98" s="162" t="s">
        <v>261</v>
      </c>
    </row>
    <row r="99" spans="2:14" s="3" customFormat="1" ht="78" customHeight="1" x14ac:dyDescent="0.3">
      <c r="B99" s="273" t="s">
        <v>108</v>
      </c>
      <c r="C99" s="273" t="s">
        <v>174</v>
      </c>
      <c r="D99" s="273" t="s">
        <v>161</v>
      </c>
      <c r="E99" s="217" t="s">
        <v>25</v>
      </c>
      <c r="F99" s="50">
        <v>21185042</v>
      </c>
      <c r="G99" s="50">
        <v>8700175</v>
      </c>
      <c r="H99" s="50"/>
      <c r="I99" s="50"/>
      <c r="J99" s="50"/>
      <c r="K99" s="50">
        <f>F99+G99</f>
        <v>29885217</v>
      </c>
      <c r="L99" s="270">
        <f>SUM(K99:K101)</f>
        <v>53280781</v>
      </c>
      <c r="M99" s="321" t="s">
        <v>233</v>
      </c>
      <c r="N99" s="321" t="s">
        <v>234</v>
      </c>
    </row>
    <row r="100" spans="2:14" s="3" customFormat="1" ht="84.75" customHeight="1" x14ac:dyDescent="0.3">
      <c r="B100" s="274"/>
      <c r="C100" s="274"/>
      <c r="D100" s="274"/>
      <c r="E100" s="217" t="s">
        <v>162</v>
      </c>
      <c r="F100" s="50">
        <v>12384614</v>
      </c>
      <c r="G100" s="50">
        <v>4510950</v>
      </c>
      <c r="H100" s="50"/>
      <c r="I100" s="50"/>
      <c r="J100" s="50"/>
      <c r="K100" s="50">
        <f>F100+G100</f>
        <v>16895564</v>
      </c>
      <c r="L100" s="271"/>
      <c r="M100" s="322"/>
      <c r="N100" s="322"/>
    </row>
    <row r="101" spans="2:14" s="3" customFormat="1" ht="84.75" customHeight="1" x14ac:dyDescent="0.3">
      <c r="B101" s="275"/>
      <c r="C101" s="275"/>
      <c r="D101" s="275"/>
      <c r="E101" s="217" t="s">
        <v>27</v>
      </c>
      <c r="F101" s="50"/>
      <c r="G101" s="50">
        <v>6500000</v>
      </c>
      <c r="H101" s="50"/>
      <c r="I101" s="50"/>
      <c r="J101" s="50"/>
      <c r="K101" s="50">
        <f>G101</f>
        <v>6500000</v>
      </c>
      <c r="L101" s="272"/>
      <c r="M101" s="323"/>
      <c r="N101" s="323"/>
    </row>
    <row r="102" spans="2:14" s="3" customFormat="1" ht="122.25" customHeight="1" x14ac:dyDescent="0.3">
      <c r="B102" s="32" t="s">
        <v>108</v>
      </c>
      <c r="C102" s="32" t="s">
        <v>174</v>
      </c>
      <c r="D102" s="32" t="s">
        <v>70</v>
      </c>
      <c r="E102" s="229" t="s">
        <v>71</v>
      </c>
      <c r="F102" s="246">
        <v>210515648</v>
      </c>
      <c r="G102" s="246"/>
      <c r="H102" s="246"/>
      <c r="I102" s="246"/>
      <c r="J102" s="246"/>
      <c r="K102" s="246">
        <f>F102</f>
        <v>210515648</v>
      </c>
      <c r="L102" s="102">
        <f>F102</f>
        <v>210515648</v>
      </c>
      <c r="M102" s="174" t="s">
        <v>260</v>
      </c>
      <c r="N102" s="158" t="s">
        <v>261</v>
      </c>
    </row>
    <row r="103" spans="2:14" s="3" customFormat="1" ht="63.6" customHeight="1" x14ac:dyDescent="0.3">
      <c r="B103" s="277" t="s">
        <v>108</v>
      </c>
      <c r="C103" s="277" t="s">
        <v>175</v>
      </c>
      <c r="D103" s="277" t="s">
        <v>161</v>
      </c>
      <c r="E103" s="212" t="s">
        <v>25</v>
      </c>
      <c r="F103" s="46">
        <v>14250341</v>
      </c>
      <c r="G103" s="46">
        <v>4700092</v>
      </c>
      <c r="H103" s="46"/>
      <c r="I103" s="46"/>
      <c r="J103" s="46"/>
      <c r="K103" s="46">
        <f>F103+G103</f>
        <v>18950433</v>
      </c>
      <c r="L103" s="264">
        <f>SUM(K103:K105)</f>
        <v>33951007</v>
      </c>
      <c r="M103" s="304" t="s">
        <v>233</v>
      </c>
      <c r="N103" s="315" t="s">
        <v>234</v>
      </c>
    </row>
    <row r="104" spans="2:14" s="3" customFormat="1" ht="63.6" customHeight="1" x14ac:dyDescent="0.3">
      <c r="B104" s="278"/>
      <c r="C104" s="278"/>
      <c r="D104" s="278"/>
      <c r="E104" s="212" t="s">
        <v>162</v>
      </c>
      <c r="F104" s="46">
        <v>9062614</v>
      </c>
      <c r="G104" s="46">
        <v>2687960</v>
      </c>
      <c r="H104" s="46"/>
      <c r="I104" s="46"/>
      <c r="J104" s="46"/>
      <c r="K104" s="46">
        <f>F104+G104</f>
        <v>11750574</v>
      </c>
      <c r="L104" s="265"/>
      <c r="M104" s="324"/>
      <c r="N104" s="326"/>
    </row>
    <row r="105" spans="2:14" s="3" customFormat="1" ht="63.6" customHeight="1" x14ac:dyDescent="0.3">
      <c r="B105" s="279"/>
      <c r="C105" s="279"/>
      <c r="D105" s="279"/>
      <c r="E105" s="215" t="s">
        <v>27</v>
      </c>
      <c r="F105" s="46"/>
      <c r="G105" s="46">
        <v>3250000</v>
      </c>
      <c r="H105" s="247"/>
      <c r="I105" s="247"/>
      <c r="J105" s="247"/>
      <c r="K105" s="46">
        <f>G105</f>
        <v>3250000</v>
      </c>
      <c r="L105" s="266"/>
      <c r="M105" s="325"/>
      <c r="N105" s="327"/>
    </row>
    <row r="106" spans="2:14" s="3" customFormat="1" ht="118.5" customHeight="1" x14ac:dyDescent="0.3">
      <c r="B106" s="18" t="s">
        <v>108</v>
      </c>
      <c r="C106" s="18" t="s">
        <v>175</v>
      </c>
      <c r="D106" s="18" t="s">
        <v>70</v>
      </c>
      <c r="E106" s="222" t="s">
        <v>71</v>
      </c>
      <c r="F106" s="46">
        <v>430022084</v>
      </c>
      <c r="G106" s="46"/>
      <c r="H106" s="46"/>
      <c r="I106" s="46"/>
      <c r="J106" s="46"/>
      <c r="K106" s="46"/>
      <c r="L106" s="111">
        <f>F106</f>
        <v>430022084</v>
      </c>
      <c r="M106" s="173" t="s">
        <v>260</v>
      </c>
      <c r="N106" s="162" t="s">
        <v>261</v>
      </c>
    </row>
    <row r="107" spans="2:14" s="3" customFormat="1" ht="21.6" customHeight="1" x14ac:dyDescent="0.3">
      <c r="B107" s="303"/>
      <c r="C107" s="303"/>
      <c r="D107" s="303"/>
      <c r="E107" s="303"/>
      <c r="F107" s="303"/>
      <c r="G107" s="303"/>
      <c r="H107" s="303"/>
      <c r="I107" s="303"/>
      <c r="J107" s="303"/>
      <c r="K107" s="303"/>
      <c r="L107" s="248">
        <f>SUM(L16:L106)</f>
        <v>4381767060</v>
      </c>
      <c r="M107" s="169"/>
      <c r="N107" s="169"/>
    </row>
    <row r="108" spans="2:14" ht="15" customHeight="1" x14ac:dyDescent="0.3">
      <c r="L108" s="249"/>
      <c r="M108" s="170"/>
      <c r="N108" s="170"/>
    </row>
    <row r="109" spans="2:14" ht="15" customHeight="1" x14ac:dyDescent="0.3">
      <c r="N109" s="172"/>
    </row>
    <row r="110" spans="2:14" ht="15" customHeight="1" x14ac:dyDescent="0.3">
      <c r="B110" s="12" t="s">
        <v>176</v>
      </c>
      <c r="M110" s="172"/>
    </row>
    <row r="111" spans="2:14" ht="15" customHeight="1" x14ac:dyDescent="0.3"/>
    <row r="112" spans="2:14" ht="66.75" customHeight="1" x14ac:dyDescent="0.3">
      <c r="B112" s="6" t="s">
        <v>138</v>
      </c>
      <c r="C112" s="6" t="s">
        <v>139</v>
      </c>
      <c r="D112" s="6" t="s">
        <v>140</v>
      </c>
      <c r="E112" s="184" t="s">
        <v>5</v>
      </c>
      <c r="F112" s="8" t="s">
        <v>7</v>
      </c>
      <c r="G112" s="8" t="s">
        <v>8</v>
      </c>
      <c r="H112" s="8" t="s">
        <v>193</v>
      </c>
      <c r="I112" s="8" t="s">
        <v>190</v>
      </c>
      <c r="J112" s="8" t="s">
        <v>191</v>
      </c>
      <c r="K112" s="8" t="s">
        <v>95</v>
      </c>
      <c r="L112" s="9" t="s">
        <v>9</v>
      </c>
      <c r="M112" s="9" t="s">
        <v>222</v>
      </c>
      <c r="N112" s="9" t="s">
        <v>221</v>
      </c>
    </row>
    <row r="113" spans="2:14" s="3" customFormat="1" ht="30" customHeight="1" x14ac:dyDescent="0.3">
      <c r="B113" s="273" t="s">
        <v>10</v>
      </c>
      <c r="C113" s="273" t="s">
        <v>177</v>
      </c>
      <c r="D113" s="273" t="s">
        <v>178</v>
      </c>
      <c r="E113" s="232" t="s">
        <v>64</v>
      </c>
      <c r="F113" s="76">
        <v>4805125</v>
      </c>
      <c r="G113" s="76">
        <v>3000000</v>
      </c>
      <c r="H113" s="76"/>
      <c r="I113" s="76">
        <v>20000000</v>
      </c>
      <c r="J113" s="76"/>
      <c r="K113" s="77">
        <f>F113+G113+I113</f>
        <v>27805125</v>
      </c>
      <c r="L113" s="270">
        <f>SUM(K113:K127)</f>
        <v>2394278849</v>
      </c>
      <c r="M113" s="293" t="s">
        <v>220</v>
      </c>
      <c r="N113" s="293" t="s">
        <v>267</v>
      </c>
    </row>
    <row r="114" spans="2:14" s="3" customFormat="1" ht="30" customHeight="1" x14ac:dyDescent="0.3">
      <c r="B114" s="274"/>
      <c r="C114" s="274"/>
      <c r="D114" s="274"/>
      <c r="E114" s="233" t="s">
        <v>34</v>
      </c>
      <c r="F114" s="250">
        <v>4000000</v>
      </c>
      <c r="G114" s="250"/>
      <c r="H114" s="250"/>
      <c r="I114" s="250"/>
      <c r="J114" s="250">
        <v>4000000</v>
      </c>
      <c r="K114" s="77">
        <f>F114+G114-J114</f>
        <v>0</v>
      </c>
      <c r="L114" s="271"/>
      <c r="M114" s="294" t="s">
        <v>220</v>
      </c>
      <c r="N114" s="309" t="s">
        <v>224</v>
      </c>
    </row>
    <row r="115" spans="2:14" s="3" customFormat="1" ht="30" customHeight="1" x14ac:dyDescent="0.3">
      <c r="B115" s="274"/>
      <c r="C115" s="274"/>
      <c r="D115" s="274"/>
      <c r="E115" s="208" t="s">
        <v>107</v>
      </c>
      <c r="F115" s="81">
        <v>1000000</v>
      </c>
      <c r="G115" s="81"/>
      <c r="H115" s="81"/>
      <c r="I115" s="81"/>
      <c r="J115" s="81"/>
      <c r="K115" s="77">
        <f t="shared" ref="K115:K121" si="2">F115+G115</f>
        <v>1000000</v>
      </c>
      <c r="L115" s="271"/>
      <c r="M115" s="294" t="s">
        <v>220</v>
      </c>
      <c r="N115" s="309" t="s">
        <v>224</v>
      </c>
    </row>
    <row r="116" spans="2:14" s="3" customFormat="1" ht="30" customHeight="1" x14ac:dyDescent="0.3">
      <c r="B116" s="274"/>
      <c r="C116" s="274"/>
      <c r="D116" s="274"/>
      <c r="E116" s="208" t="s">
        <v>152</v>
      </c>
      <c r="F116" s="81">
        <v>3000000</v>
      </c>
      <c r="G116" s="81"/>
      <c r="H116" s="81"/>
      <c r="I116" s="81"/>
      <c r="J116" s="81">
        <v>3000000</v>
      </c>
      <c r="K116" s="76">
        <f>F116+G116-J116</f>
        <v>0</v>
      </c>
      <c r="L116" s="271"/>
      <c r="M116" s="294" t="s">
        <v>220</v>
      </c>
      <c r="N116" s="309" t="s">
        <v>224</v>
      </c>
    </row>
    <row r="117" spans="2:14" s="3" customFormat="1" ht="30" customHeight="1" x14ac:dyDescent="0.3">
      <c r="B117" s="274"/>
      <c r="C117" s="274"/>
      <c r="D117" s="274"/>
      <c r="E117" s="234" t="s">
        <v>25</v>
      </c>
      <c r="F117" s="47">
        <v>85500650</v>
      </c>
      <c r="G117" s="47">
        <v>170000000</v>
      </c>
      <c r="H117" s="47"/>
      <c r="I117" s="47"/>
      <c r="J117" s="47"/>
      <c r="K117" s="76">
        <f t="shared" si="2"/>
        <v>255500650</v>
      </c>
      <c r="L117" s="271"/>
      <c r="M117" s="294" t="s">
        <v>220</v>
      </c>
      <c r="N117" s="309" t="s">
        <v>224</v>
      </c>
    </row>
    <row r="118" spans="2:14" s="3" customFormat="1" ht="30" customHeight="1" x14ac:dyDescent="0.3">
      <c r="B118" s="274"/>
      <c r="C118" s="274"/>
      <c r="D118" s="274"/>
      <c r="E118" s="234" t="s">
        <v>40</v>
      </c>
      <c r="F118" s="47">
        <v>80244270</v>
      </c>
      <c r="G118" s="47">
        <v>55399796</v>
      </c>
      <c r="H118" s="47"/>
      <c r="I118" s="47"/>
      <c r="J118" s="47"/>
      <c r="K118" s="76">
        <f t="shared" si="2"/>
        <v>135644066</v>
      </c>
      <c r="L118" s="271"/>
      <c r="M118" s="294" t="s">
        <v>220</v>
      </c>
      <c r="N118" s="309" t="s">
        <v>224</v>
      </c>
    </row>
    <row r="119" spans="2:14" s="3" customFormat="1" ht="30" customHeight="1" x14ac:dyDescent="0.3">
      <c r="B119" s="274"/>
      <c r="C119" s="274"/>
      <c r="D119" s="274"/>
      <c r="E119" s="218" t="s">
        <v>179</v>
      </c>
      <c r="F119" s="56">
        <v>219240000</v>
      </c>
      <c r="G119" s="56"/>
      <c r="H119" s="56"/>
      <c r="I119" s="56"/>
      <c r="J119" s="56">
        <v>203541936</v>
      </c>
      <c r="K119" s="47">
        <f>F119+G119-J119</f>
        <v>15698064</v>
      </c>
      <c r="L119" s="271"/>
      <c r="M119" s="294" t="s">
        <v>220</v>
      </c>
      <c r="N119" s="309" t="s">
        <v>224</v>
      </c>
    </row>
    <row r="120" spans="2:14" s="3" customFormat="1" ht="51" customHeight="1" x14ac:dyDescent="0.3">
      <c r="B120" s="274"/>
      <c r="C120" s="274"/>
      <c r="D120" s="274"/>
      <c r="E120" s="234" t="s">
        <v>180</v>
      </c>
      <c r="F120" s="56">
        <v>50000000</v>
      </c>
      <c r="G120" s="56">
        <v>435000000</v>
      </c>
      <c r="H120" s="56"/>
      <c r="I120" s="56">
        <v>317062932</v>
      </c>
      <c r="J120" s="56"/>
      <c r="K120" s="76">
        <f>F120+G120+I120</f>
        <v>802062932</v>
      </c>
      <c r="L120" s="271"/>
      <c r="M120" s="294" t="s">
        <v>220</v>
      </c>
      <c r="N120" s="309" t="s">
        <v>224</v>
      </c>
    </row>
    <row r="121" spans="2:14" s="3" customFormat="1" ht="30" customHeight="1" x14ac:dyDescent="0.3">
      <c r="B121" s="274"/>
      <c r="C121" s="274"/>
      <c r="D121" s="274"/>
      <c r="E121" s="208" t="s">
        <v>28</v>
      </c>
      <c r="F121" s="56">
        <v>15722102</v>
      </c>
      <c r="G121" s="56">
        <v>473589662</v>
      </c>
      <c r="H121" s="56"/>
      <c r="I121" s="56"/>
      <c r="J121" s="56"/>
      <c r="K121" s="76">
        <f t="shared" si="2"/>
        <v>489311764</v>
      </c>
      <c r="L121" s="271"/>
      <c r="M121" s="294" t="s">
        <v>220</v>
      </c>
      <c r="N121" s="309" t="s">
        <v>224</v>
      </c>
    </row>
    <row r="122" spans="2:14" s="3" customFormat="1" ht="30" customHeight="1" x14ac:dyDescent="0.3">
      <c r="B122" s="274"/>
      <c r="C122" s="274"/>
      <c r="D122" s="274"/>
      <c r="E122" s="208" t="s">
        <v>29</v>
      </c>
      <c r="F122" s="56">
        <v>2000000</v>
      </c>
      <c r="G122" s="56"/>
      <c r="H122" s="56"/>
      <c r="I122" s="56"/>
      <c r="J122" s="56">
        <v>2000000</v>
      </c>
      <c r="K122" s="77">
        <f>F122+G122-J122</f>
        <v>0</v>
      </c>
      <c r="L122" s="271"/>
      <c r="M122" s="294" t="s">
        <v>220</v>
      </c>
      <c r="N122" s="309" t="s">
        <v>224</v>
      </c>
    </row>
    <row r="123" spans="2:14" s="3" customFormat="1" ht="30" customHeight="1" x14ac:dyDescent="0.3">
      <c r="B123" s="274"/>
      <c r="C123" s="274"/>
      <c r="D123" s="274"/>
      <c r="E123" s="218" t="s">
        <v>77</v>
      </c>
      <c r="F123" s="47">
        <v>151870967</v>
      </c>
      <c r="G123" s="47">
        <v>295000000</v>
      </c>
      <c r="H123" s="47"/>
      <c r="I123" s="47">
        <v>80000000</v>
      </c>
      <c r="J123" s="47">
        <f>40000000+16832701+63972050+80000000</f>
        <v>200804751</v>
      </c>
      <c r="K123" s="110">
        <f>F123+G123+I123-J123</f>
        <v>326066216</v>
      </c>
      <c r="L123" s="271"/>
      <c r="M123" s="294" t="s">
        <v>220</v>
      </c>
      <c r="N123" s="309" t="s">
        <v>224</v>
      </c>
    </row>
    <row r="124" spans="2:14" s="3" customFormat="1" ht="30" customHeight="1" x14ac:dyDescent="0.3">
      <c r="B124" s="274"/>
      <c r="C124" s="274"/>
      <c r="D124" s="274"/>
      <c r="E124" s="208" t="s">
        <v>63</v>
      </c>
      <c r="F124" s="56">
        <v>104509881</v>
      </c>
      <c r="G124" s="56">
        <v>85000000</v>
      </c>
      <c r="H124" s="56"/>
      <c r="I124" s="56"/>
      <c r="J124" s="56">
        <v>48453820</v>
      </c>
      <c r="K124" s="78">
        <f>F124+G124-J124</f>
        <v>141056061</v>
      </c>
      <c r="L124" s="271"/>
      <c r="M124" s="294" t="s">
        <v>220</v>
      </c>
      <c r="N124" s="309" t="s">
        <v>224</v>
      </c>
    </row>
    <row r="125" spans="2:14" s="3" customFormat="1" ht="30" customHeight="1" x14ac:dyDescent="0.3">
      <c r="B125" s="274"/>
      <c r="C125" s="274"/>
      <c r="D125" s="274"/>
      <c r="E125" s="218" t="s">
        <v>48</v>
      </c>
      <c r="F125" s="56"/>
      <c r="G125" s="56">
        <v>66000000</v>
      </c>
      <c r="H125" s="56"/>
      <c r="I125" s="56"/>
      <c r="J125" s="56"/>
      <c r="K125" s="78">
        <f>F125+G125</f>
        <v>66000000</v>
      </c>
      <c r="L125" s="271"/>
      <c r="M125" s="294" t="s">
        <v>220</v>
      </c>
      <c r="N125" s="309" t="s">
        <v>224</v>
      </c>
    </row>
    <row r="126" spans="2:14" s="3" customFormat="1" ht="30" customHeight="1" x14ac:dyDescent="0.3">
      <c r="B126" s="274"/>
      <c r="C126" s="274"/>
      <c r="D126" s="274"/>
      <c r="E126" s="218" t="s">
        <v>27</v>
      </c>
      <c r="F126" s="56"/>
      <c r="G126" s="56">
        <v>114133971</v>
      </c>
      <c r="H126" s="56"/>
      <c r="I126" s="56">
        <v>20000000</v>
      </c>
      <c r="J126" s="56"/>
      <c r="K126" s="56">
        <f>F126+G126+I126</f>
        <v>134133971</v>
      </c>
      <c r="L126" s="271"/>
      <c r="M126" s="294" t="s">
        <v>220</v>
      </c>
      <c r="N126" s="309" t="s">
        <v>224</v>
      </c>
    </row>
    <row r="127" spans="2:14" s="3" customFormat="1" ht="30" customHeight="1" x14ac:dyDescent="0.3">
      <c r="B127" s="275"/>
      <c r="C127" s="275"/>
      <c r="D127" s="275"/>
      <c r="E127" s="218" t="s">
        <v>17</v>
      </c>
      <c r="F127" s="56"/>
      <c r="G127" s="56">
        <v>10000000</v>
      </c>
      <c r="H127" s="56"/>
      <c r="I127" s="56"/>
      <c r="J127" s="56">
        <v>10000000</v>
      </c>
      <c r="K127" s="78">
        <f>F127+G127-J127</f>
        <v>0</v>
      </c>
      <c r="L127" s="271"/>
      <c r="M127" s="295" t="s">
        <v>220</v>
      </c>
      <c r="N127" s="310" t="s">
        <v>224</v>
      </c>
    </row>
    <row r="128" spans="2:14" s="3" customFormat="1" ht="91.5" customHeight="1" x14ac:dyDescent="0.3">
      <c r="B128" s="273" t="s">
        <v>10</v>
      </c>
      <c r="C128" s="273" t="s">
        <v>177</v>
      </c>
      <c r="D128" s="273" t="s">
        <v>181</v>
      </c>
      <c r="E128" s="218" t="s">
        <v>179</v>
      </c>
      <c r="F128" s="37">
        <v>1360082318</v>
      </c>
      <c r="G128" s="37"/>
      <c r="H128" s="37"/>
      <c r="I128" s="37"/>
      <c r="J128" s="37">
        <v>393881670</v>
      </c>
      <c r="K128" s="37">
        <f>F128-J128</f>
        <v>966200648</v>
      </c>
      <c r="L128" s="270">
        <f>K128+K129</f>
        <v>1066200648</v>
      </c>
      <c r="M128" s="293" t="s">
        <v>220</v>
      </c>
      <c r="N128" s="293" t="s">
        <v>268</v>
      </c>
    </row>
    <row r="129" spans="2:14" s="3" customFormat="1" ht="45.75" customHeight="1" x14ac:dyDescent="0.3">
      <c r="B129" s="275"/>
      <c r="C129" s="275"/>
      <c r="D129" s="275"/>
      <c r="E129" s="218" t="s">
        <v>43</v>
      </c>
      <c r="F129" s="37"/>
      <c r="G129" s="37">
        <v>160000000</v>
      </c>
      <c r="H129" s="37"/>
      <c r="I129" s="37"/>
      <c r="J129" s="37">
        <v>60000000</v>
      </c>
      <c r="K129" s="37">
        <f>G129-J129</f>
        <v>100000000</v>
      </c>
      <c r="L129" s="272"/>
      <c r="M129" s="295" t="s">
        <v>220</v>
      </c>
      <c r="N129" s="295" t="s">
        <v>225</v>
      </c>
    </row>
    <row r="130" spans="2:14" s="3" customFormat="1" ht="33" customHeight="1" x14ac:dyDescent="0.3">
      <c r="B130" s="261" t="s">
        <v>10</v>
      </c>
      <c r="C130" s="261" t="s">
        <v>177</v>
      </c>
      <c r="D130" s="261" t="s">
        <v>182</v>
      </c>
      <c r="E130" s="235" t="s">
        <v>22</v>
      </c>
      <c r="F130" s="81">
        <v>35991440</v>
      </c>
      <c r="G130" s="81">
        <v>25000000</v>
      </c>
      <c r="H130" s="81"/>
      <c r="I130" s="81"/>
      <c r="J130" s="81">
        <f>25000000+25859734+9940906</f>
        <v>60800640</v>
      </c>
      <c r="K130" s="81">
        <f>(F130+G130)-J130</f>
        <v>190800</v>
      </c>
      <c r="L130" s="270">
        <f>SUM(K130:K160)</f>
        <v>3491572021</v>
      </c>
      <c r="M130" s="293" t="s">
        <v>220</v>
      </c>
      <c r="N130" s="293" t="s">
        <v>269</v>
      </c>
    </row>
    <row r="131" spans="2:14" s="3" customFormat="1" ht="33" customHeight="1" x14ac:dyDescent="0.3">
      <c r="B131" s="261"/>
      <c r="C131" s="261"/>
      <c r="D131" s="261"/>
      <c r="E131" s="235" t="s">
        <v>183</v>
      </c>
      <c r="F131" s="81">
        <v>10754120</v>
      </c>
      <c r="G131" s="81">
        <v>2000000</v>
      </c>
      <c r="H131" s="81"/>
      <c r="I131" s="81"/>
      <c r="J131" s="81">
        <f>2000000+10754120</f>
        <v>12754120</v>
      </c>
      <c r="K131" s="251">
        <f>F131+G131-J131</f>
        <v>0</v>
      </c>
      <c r="L131" s="271"/>
      <c r="M131" s="294" t="s">
        <v>220</v>
      </c>
      <c r="N131" s="294" t="s">
        <v>226</v>
      </c>
    </row>
    <row r="132" spans="2:14" s="3" customFormat="1" ht="33" customHeight="1" x14ac:dyDescent="0.3">
      <c r="B132" s="261"/>
      <c r="C132" s="261"/>
      <c r="D132" s="261"/>
      <c r="E132" s="235" t="s">
        <v>65</v>
      </c>
      <c r="F132" s="81">
        <v>2595152</v>
      </c>
      <c r="G132" s="81">
        <v>5000000</v>
      </c>
      <c r="H132" s="81"/>
      <c r="I132" s="81">
        <v>1000000</v>
      </c>
      <c r="J132" s="81"/>
      <c r="K132" s="81">
        <f>F132+I132+G132</f>
        <v>8595152</v>
      </c>
      <c r="L132" s="271"/>
      <c r="M132" s="294" t="s">
        <v>220</v>
      </c>
      <c r="N132" s="294" t="s">
        <v>226</v>
      </c>
    </row>
    <row r="133" spans="2:14" s="3" customFormat="1" ht="33" customHeight="1" x14ac:dyDescent="0.3">
      <c r="B133" s="261"/>
      <c r="C133" s="261"/>
      <c r="D133" s="261"/>
      <c r="E133" s="236" t="s">
        <v>150</v>
      </c>
      <c r="F133" s="81">
        <v>2397376</v>
      </c>
      <c r="G133" s="81">
        <v>5000000</v>
      </c>
      <c r="H133" s="81"/>
      <c r="I133" s="81">
        <v>1000000</v>
      </c>
      <c r="J133" s="81"/>
      <c r="K133" s="81">
        <f>F133+I133+G133</f>
        <v>8397376</v>
      </c>
      <c r="L133" s="271"/>
      <c r="M133" s="294" t="s">
        <v>220</v>
      </c>
      <c r="N133" s="294" t="s">
        <v>226</v>
      </c>
    </row>
    <row r="134" spans="2:14" s="3" customFormat="1" ht="33" customHeight="1" x14ac:dyDescent="0.3">
      <c r="B134" s="261"/>
      <c r="C134" s="261"/>
      <c r="D134" s="261"/>
      <c r="E134" s="233" t="s">
        <v>34</v>
      </c>
      <c r="F134" s="250">
        <v>61246650</v>
      </c>
      <c r="G134" s="250">
        <v>15000000</v>
      </c>
      <c r="H134" s="250"/>
      <c r="I134" s="250"/>
      <c r="J134" s="250">
        <f>35412055+10439002+29016193</f>
        <v>74867250</v>
      </c>
      <c r="K134" s="81">
        <f>F134+G134-J134</f>
        <v>1379400</v>
      </c>
      <c r="L134" s="271"/>
      <c r="M134" s="294" t="s">
        <v>220</v>
      </c>
      <c r="N134" s="294" t="s">
        <v>226</v>
      </c>
    </row>
    <row r="135" spans="2:14" s="3" customFormat="1" ht="48.75" customHeight="1" x14ac:dyDescent="0.3">
      <c r="B135" s="261"/>
      <c r="C135" s="261"/>
      <c r="D135" s="261"/>
      <c r="E135" s="208" t="s">
        <v>184</v>
      </c>
      <c r="F135" s="81">
        <v>1000000</v>
      </c>
      <c r="G135" s="81">
        <v>2000000</v>
      </c>
      <c r="H135" s="81"/>
      <c r="I135" s="81"/>
      <c r="J135" s="252">
        <f>2000000+1000000</f>
        <v>3000000</v>
      </c>
      <c r="K135" s="251">
        <f t="shared" ref="K135:K144" si="3">F135+I135+G135-J135</f>
        <v>0</v>
      </c>
      <c r="L135" s="271"/>
      <c r="M135" s="294" t="s">
        <v>220</v>
      </c>
      <c r="N135" s="294" t="s">
        <v>226</v>
      </c>
    </row>
    <row r="136" spans="2:14" s="3" customFormat="1" ht="33" customHeight="1" x14ac:dyDescent="0.3">
      <c r="B136" s="261"/>
      <c r="C136" s="261"/>
      <c r="D136" s="261"/>
      <c r="E136" s="208" t="s">
        <v>113</v>
      </c>
      <c r="F136" s="81">
        <v>46397970</v>
      </c>
      <c r="G136" s="81">
        <v>55000000</v>
      </c>
      <c r="H136" s="81"/>
      <c r="I136" s="81">
        <v>5000000</v>
      </c>
      <c r="J136" s="81">
        <f>26415101+55000000</f>
        <v>81415101</v>
      </c>
      <c r="K136" s="81">
        <f t="shared" si="3"/>
        <v>24982869</v>
      </c>
      <c r="L136" s="271"/>
      <c r="M136" s="294" t="s">
        <v>220</v>
      </c>
      <c r="N136" s="294" t="s">
        <v>226</v>
      </c>
    </row>
    <row r="137" spans="2:14" s="3" customFormat="1" ht="43.5" customHeight="1" x14ac:dyDescent="0.3">
      <c r="B137" s="261"/>
      <c r="C137" s="261"/>
      <c r="D137" s="261"/>
      <c r="E137" s="79" t="s">
        <v>54</v>
      </c>
      <c r="F137" s="81">
        <v>34227460</v>
      </c>
      <c r="G137" s="81">
        <v>45000000</v>
      </c>
      <c r="H137" s="81"/>
      <c r="I137" s="81">
        <v>6000000</v>
      </c>
      <c r="J137" s="81">
        <f>14237492+45000000</f>
        <v>59237492</v>
      </c>
      <c r="K137" s="81">
        <f t="shared" si="3"/>
        <v>25989968</v>
      </c>
      <c r="L137" s="271"/>
      <c r="M137" s="294" t="s">
        <v>220</v>
      </c>
      <c r="N137" s="294" t="s">
        <v>226</v>
      </c>
    </row>
    <row r="138" spans="2:14" s="3" customFormat="1" ht="33" customHeight="1" x14ac:dyDescent="0.3">
      <c r="B138" s="261"/>
      <c r="C138" s="261"/>
      <c r="D138" s="261"/>
      <c r="E138" s="208" t="s">
        <v>107</v>
      </c>
      <c r="F138" s="81">
        <v>79676597</v>
      </c>
      <c r="G138" s="81">
        <v>50000000</v>
      </c>
      <c r="H138" s="81"/>
      <c r="I138" s="81"/>
      <c r="J138" s="81">
        <f>50000000+75478052</f>
        <v>125478052</v>
      </c>
      <c r="K138" s="81">
        <f t="shared" si="3"/>
        <v>4198545</v>
      </c>
      <c r="L138" s="271"/>
      <c r="M138" s="294" t="s">
        <v>220</v>
      </c>
      <c r="N138" s="294" t="s">
        <v>226</v>
      </c>
    </row>
    <row r="139" spans="2:14" s="3" customFormat="1" ht="33" customHeight="1" x14ac:dyDescent="0.3">
      <c r="B139" s="261"/>
      <c r="C139" s="261"/>
      <c r="D139" s="261"/>
      <c r="E139" s="208" t="s">
        <v>151</v>
      </c>
      <c r="F139" s="81">
        <v>13447864</v>
      </c>
      <c r="G139" s="81">
        <v>25000000</v>
      </c>
      <c r="H139" s="81"/>
      <c r="I139" s="81">
        <v>3000000</v>
      </c>
      <c r="J139" s="81">
        <f>13768234+25000000</f>
        <v>38768234</v>
      </c>
      <c r="K139" s="81">
        <f t="shared" si="3"/>
        <v>2679630</v>
      </c>
      <c r="L139" s="271"/>
      <c r="M139" s="294" t="s">
        <v>220</v>
      </c>
      <c r="N139" s="294" t="s">
        <v>226</v>
      </c>
    </row>
    <row r="140" spans="2:14" s="3" customFormat="1" ht="33" customHeight="1" x14ac:dyDescent="0.3">
      <c r="B140" s="261"/>
      <c r="C140" s="261"/>
      <c r="D140" s="261"/>
      <c r="E140" s="208" t="s">
        <v>152</v>
      </c>
      <c r="F140" s="81">
        <v>59979297</v>
      </c>
      <c r="G140" s="81">
        <v>44000000</v>
      </c>
      <c r="H140" s="81"/>
      <c r="I140" s="81">
        <v>6000000</v>
      </c>
      <c r="J140" s="81">
        <f>16933258+48450517+44126722</f>
        <v>109510497</v>
      </c>
      <c r="K140" s="81">
        <f t="shared" si="3"/>
        <v>468800</v>
      </c>
      <c r="L140" s="271"/>
      <c r="M140" s="294" t="s">
        <v>220</v>
      </c>
      <c r="N140" s="294" t="s">
        <v>226</v>
      </c>
    </row>
    <row r="141" spans="2:14" s="3" customFormat="1" ht="33" customHeight="1" x14ac:dyDescent="0.3">
      <c r="B141" s="261"/>
      <c r="C141" s="261"/>
      <c r="D141" s="261"/>
      <c r="E141" s="79" t="s">
        <v>185</v>
      </c>
      <c r="F141" s="81">
        <v>3698040</v>
      </c>
      <c r="G141" s="81">
        <v>9000000</v>
      </c>
      <c r="H141" s="81"/>
      <c r="I141" s="81">
        <v>1000000</v>
      </c>
      <c r="J141" s="81">
        <f>3360708+9000000</f>
        <v>12360708</v>
      </c>
      <c r="K141" s="81">
        <f t="shared" si="3"/>
        <v>1337332</v>
      </c>
      <c r="L141" s="271"/>
      <c r="M141" s="294" t="s">
        <v>220</v>
      </c>
      <c r="N141" s="294" t="s">
        <v>226</v>
      </c>
    </row>
    <row r="142" spans="2:14" s="3" customFormat="1" ht="33" customHeight="1" x14ac:dyDescent="0.3">
      <c r="B142" s="261"/>
      <c r="C142" s="261"/>
      <c r="D142" s="261"/>
      <c r="E142" s="79" t="s">
        <v>46</v>
      </c>
      <c r="F142" s="81">
        <v>13971274</v>
      </c>
      <c r="G142" s="81">
        <v>40000000</v>
      </c>
      <c r="H142" s="81"/>
      <c r="I142" s="81">
        <v>5000000</v>
      </c>
      <c r="J142" s="81">
        <v>57306748</v>
      </c>
      <c r="K142" s="251">
        <f t="shared" si="3"/>
        <v>1664526</v>
      </c>
      <c r="L142" s="271"/>
      <c r="M142" s="294" t="s">
        <v>220</v>
      </c>
      <c r="N142" s="294" t="s">
        <v>226</v>
      </c>
    </row>
    <row r="143" spans="2:14" s="3" customFormat="1" ht="33" customHeight="1" x14ac:dyDescent="0.3">
      <c r="B143" s="261"/>
      <c r="C143" s="261"/>
      <c r="D143" s="261"/>
      <c r="E143" s="79" t="s">
        <v>13</v>
      </c>
      <c r="F143" s="81">
        <v>30359440</v>
      </c>
      <c r="G143" s="81">
        <v>7000000</v>
      </c>
      <c r="H143" s="81"/>
      <c r="I143" s="81"/>
      <c r="J143" s="81">
        <f>7000000+30359440</f>
        <v>37359440</v>
      </c>
      <c r="K143" s="81">
        <f t="shared" si="3"/>
        <v>0</v>
      </c>
      <c r="L143" s="271"/>
      <c r="M143" s="294" t="s">
        <v>220</v>
      </c>
      <c r="N143" s="294" t="s">
        <v>226</v>
      </c>
    </row>
    <row r="144" spans="2:14" s="3" customFormat="1" ht="33" customHeight="1" x14ac:dyDescent="0.3">
      <c r="B144" s="261"/>
      <c r="C144" s="261"/>
      <c r="D144" s="261"/>
      <c r="E144" s="79" t="s">
        <v>15</v>
      </c>
      <c r="F144" s="81">
        <v>38294702</v>
      </c>
      <c r="G144" s="81">
        <v>26000000</v>
      </c>
      <c r="H144" s="81"/>
      <c r="I144" s="81"/>
      <c r="J144" s="81">
        <f>21921382+26000000+16373320</f>
        <v>64294702</v>
      </c>
      <c r="K144" s="251">
        <f t="shared" si="3"/>
        <v>0</v>
      </c>
      <c r="L144" s="271"/>
      <c r="M144" s="294" t="s">
        <v>220</v>
      </c>
      <c r="N144" s="294" t="s">
        <v>226</v>
      </c>
    </row>
    <row r="145" spans="2:14" s="3" customFormat="1" ht="33" customHeight="1" x14ac:dyDescent="0.3">
      <c r="B145" s="261"/>
      <c r="C145" s="261"/>
      <c r="D145" s="261"/>
      <c r="E145" s="79" t="s">
        <v>43</v>
      </c>
      <c r="F145" s="81">
        <v>37065780</v>
      </c>
      <c r="G145" s="80">
        <v>30000000</v>
      </c>
      <c r="H145" s="80"/>
      <c r="I145" s="81">
        <v>399710272</v>
      </c>
      <c r="J145" s="81">
        <v>48749130</v>
      </c>
      <c r="K145" s="81">
        <f>F145+G145+I145-J145</f>
        <v>418026922</v>
      </c>
      <c r="L145" s="271"/>
      <c r="M145" s="294" t="s">
        <v>220</v>
      </c>
      <c r="N145" s="294" t="s">
        <v>226</v>
      </c>
    </row>
    <row r="146" spans="2:14" s="3" customFormat="1" ht="33" customHeight="1" x14ac:dyDescent="0.3">
      <c r="B146" s="261"/>
      <c r="C146" s="261"/>
      <c r="D146" s="261"/>
      <c r="E146" s="79" t="s">
        <v>68</v>
      </c>
      <c r="F146" s="81">
        <v>83330480</v>
      </c>
      <c r="G146" s="80">
        <v>60000000</v>
      </c>
      <c r="H146" s="80"/>
      <c r="I146" s="81"/>
      <c r="J146" s="81">
        <f>96523860+46806620</f>
        <v>143330480</v>
      </c>
      <c r="K146" s="81">
        <f>F146+I146+G146-J146</f>
        <v>0</v>
      </c>
      <c r="L146" s="271"/>
      <c r="M146" s="294" t="s">
        <v>220</v>
      </c>
      <c r="N146" s="294" t="s">
        <v>226</v>
      </c>
    </row>
    <row r="147" spans="2:14" s="3" customFormat="1" ht="33" customHeight="1" x14ac:dyDescent="0.3">
      <c r="B147" s="261"/>
      <c r="C147" s="261"/>
      <c r="D147" s="261"/>
      <c r="E147" s="208" t="s">
        <v>48</v>
      </c>
      <c r="F147" s="56">
        <v>125497385</v>
      </c>
      <c r="G147" s="80">
        <v>50000000</v>
      </c>
      <c r="H147" s="80"/>
      <c r="I147" s="56"/>
      <c r="J147" s="56">
        <f>46000000+92064085</f>
        <v>138064085</v>
      </c>
      <c r="K147" s="81">
        <f>F147+I147+G147-J147</f>
        <v>37433300</v>
      </c>
      <c r="L147" s="271"/>
      <c r="M147" s="294" t="s">
        <v>220</v>
      </c>
      <c r="N147" s="294" t="s">
        <v>226</v>
      </c>
    </row>
    <row r="148" spans="2:14" s="3" customFormat="1" ht="33" customHeight="1" x14ac:dyDescent="0.3">
      <c r="B148" s="261"/>
      <c r="C148" s="261"/>
      <c r="D148" s="261"/>
      <c r="E148" s="79" t="s">
        <v>49</v>
      </c>
      <c r="F148" s="81">
        <v>88320928</v>
      </c>
      <c r="G148" s="80">
        <v>80000000</v>
      </c>
      <c r="H148" s="80"/>
      <c r="I148" s="81"/>
      <c r="J148" s="81">
        <f>61304579+80000000+26746640</f>
        <v>168051219</v>
      </c>
      <c r="K148" s="81">
        <f>F148+I148+G148-J148</f>
        <v>269709</v>
      </c>
      <c r="L148" s="271"/>
      <c r="M148" s="294" t="s">
        <v>220</v>
      </c>
      <c r="N148" s="294" t="s">
        <v>226</v>
      </c>
    </row>
    <row r="149" spans="2:14" s="3" customFormat="1" ht="33" customHeight="1" x14ac:dyDescent="0.3">
      <c r="B149" s="261"/>
      <c r="C149" s="261"/>
      <c r="D149" s="261"/>
      <c r="E149" s="233" t="s">
        <v>76</v>
      </c>
      <c r="F149" s="81">
        <v>14287260</v>
      </c>
      <c r="G149" s="80">
        <v>4000000</v>
      </c>
      <c r="H149" s="80"/>
      <c r="I149" s="81">
        <f>3000000+160551065+87930580</f>
        <v>251481645</v>
      </c>
      <c r="J149" s="81"/>
      <c r="K149" s="81">
        <f>F149+I149+G149</f>
        <v>269768905</v>
      </c>
      <c r="L149" s="271"/>
      <c r="M149" s="294" t="s">
        <v>220</v>
      </c>
      <c r="N149" s="294" t="s">
        <v>226</v>
      </c>
    </row>
    <row r="150" spans="2:14" s="3" customFormat="1" ht="33" customHeight="1" x14ac:dyDescent="0.3">
      <c r="B150" s="261"/>
      <c r="C150" s="261"/>
      <c r="D150" s="261"/>
      <c r="E150" s="234" t="s">
        <v>25</v>
      </c>
      <c r="F150" s="47">
        <v>140904120</v>
      </c>
      <c r="G150" s="82">
        <v>90000000</v>
      </c>
      <c r="H150" s="82"/>
      <c r="I150" s="47"/>
      <c r="J150" s="47">
        <f>10926808+84158950</f>
        <v>95085758</v>
      </c>
      <c r="K150" s="81">
        <f>F150+I150+G150-J150</f>
        <v>135818362</v>
      </c>
      <c r="L150" s="271"/>
      <c r="M150" s="294" t="s">
        <v>220</v>
      </c>
      <c r="N150" s="294" t="s">
        <v>226</v>
      </c>
    </row>
    <row r="151" spans="2:14" s="3" customFormat="1" ht="33" customHeight="1" x14ac:dyDescent="0.3">
      <c r="B151" s="261"/>
      <c r="C151" s="261"/>
      <c r="D151" s="261"/>
      <c r="E151" s="234" t="s">
        <v>40</v>
      </c>
      <c r="F151" s="47">
        <v>332657213</v>
      </c>
      <c r="G151" s="82">
        <v>90000000</v>
      </c>
      <c r="H151" s="82"/>
      <c r="I151" s="47">
        <v>50000000</v>
      </c>
      <c r="J151" s="47"/>
      <c r="K151" s="81">
        <f>F151+I151+G151</f>
        <v>472657213</v>
      </c>
      <c r="L151" s="271"/>
      <c r="M151" s="294" t="s">
        <v>220</v>
      </c>
      <c r="N151" s="294" t="s">
        <v>226</v>
      </c>
    </row>
    <row r="152" spans="2:14" s="3" customFormat="1" ht="75.75" customHeight="1" x14ac:dyDescent="0.3">
      <c r="B152" s="261"/>
      <c r="C152" s="261"/>
      <c r="D152" s="261"/>
      <c r="E152" s="218" t="s">
        <v>179</v>
      </c>
      <c r="F152" s="56">
        <v>92987882</v>
      </c>
      <c r="G152" s="80">
        <v>80000000</v>
      </c>
      <c r="H152" s="80"/>
      <c r="I152" s="56"/>
      <c r="J152" s="83">
        <v>172987882</v>
      </c>
      <c r="K152" s="251">
        <f>F152+I152+G152-J152</f>
        <v>0</v>
      </c>
      <c r="L152" s="271"/>
      <c r="M152" s="294" t="s">
        <v>220</v>
      </c>
      <c r="N152" s="294" t="s">
        <v>226</v>
      </c>
    </row>
    <row r="153" spans="2:14" s="3" customFormat="1" ht="60" customHeight="1" x14ac:dyDescent="0.3">
      <c r="B153" s="261"/>
      <c r="C153" s="261"/>
      <c r="D153" s="261"/>
      <c r="E153" s="234" t="s">
        <v>180</v>
      </c>
      <c r="F153" s="56">
        <v>172035870</v>
      </c>
      <c r="G153" s="84">
        <v>10970975</v>
      </c>
      <c r="H153" s="84"/>
      <c r="I153" s="56"/>
      <c r="J153" s="56"/>
      <c r="K153" s="81">
        <f>F153+G153</f>
        <v>183006845</v>
      </c>
      <c r="L153" s="271"/>
      <c r="M153" s="294" t="s">
        <v>220</v>
      </c>
      <c r="N153" s="294" t="s">
        <v>226</v>
      </c>
    </row>
    <row r="154" spans="2:14" s="3" customFormat="1" ht="50.25" customHeight="1" x14ac:dyDescent="0.3">
      <c r="B154" s="261"/>
      <c r="C154" s="261"/>
      <c r="D154" s="261"/>
      <c r="E154" s="234" t="s">
        <v>186</v>
      </c>
      <c r="F154" s="56">
        <v>349155279</v>
      </c>
      <c r="G154" s="80">
        <v>130000000</v>
      </c>
      <c r="H154" s="80"/>
      <c r="I154" s="56">
        <v>53612308</v>
      </c>
      <c r="J154" s="56"/>
      <c r="K154" s="81">
        <f>F154+G154+I154</f>
        <v>532767587</v>
      </c>
      <c r="L154" s="271"/>
      <c r="M154" s="294" t="s">
        <v>220</v>
      </c>
      <c r="N154" s="294" t="s">
        <v>226</v>
      </c>
    </row>
    <row r="155" spans="2:14" s="3" customFormat="1" ht="48.75" customHeight="1" x14ac:dyDescent="0.3">
      <c r="B155" s="261"/>
      <c r="C155" s="261"/>
      <c r="D155" s="261"/>
      <c r="E155" s="208" t="s">
        <v>28</v>
      </c>
      <c r="F155" s="56">
        <v>4879178</v>
      </c>
      <c r="G155" s="80">
        <v>20000000</v>
      </c>
      <c r="H155" s="80"/>
      <c r="I155" s="56">
        <f>2000000+46738153</f>
        <v>48738153</v>
      </c>
      <c r="J155" s="56"/>
      <c r="K155" s="81">
        <f>F155+I155+G155</f>
        <v>73617331</v>
      </c>
      <c r="L155" s="271"/>
      <c r="M155" s="294" t="s">
        <v>220</v>
      </c>
      <c r="N155" s="294" t="s">
        <v>226</v>
      </c>
    </row>
    <row r="156" spans="2:14" s="3" customFormat="1" ht="45.75" customHeight="1" x14ac:dyDescent="0.3">
      <c r="B156" s="261"/>
      <c r="C156" s="261"/>
      <c r="D156" s="261"/>
      <c r="E156" s="218" t="s">
        <v>77</v>
      </c>
      <c r="F156" s="47">
        <v>45540684</v>
      </c>
      <c r="G156" s="82">
        <v>10000000</v>
      </c>
      <c r="H156" s="82"/>
      <c r="I156" s="47"/>
      <c r="J156" s="47"/>
      <c r="K156" s="81">
        <f>F156+I156+G156</f>
        <v>55540684</v>
      </c>
      <c r="L156" s="271"/>
      <c r="M156" s="294" t="s">
        <v>220</v>
      </c>
      <c r="N156" s="294" t="s">
        <v>226</v>
      </c>
    </row>
    <row r="157" spans="2:14" s="3" customFormat="1" ht="33" customHeight="1" x14ac:dyDescent="0.3">
      <c r="B157" s="261"/>
      <c r="C157" s="261"/>
      <c r="D157" s="261"/>
      <c r="E157" s="208" t="s">
        <v>30</v>
      </c>
      <c r="F157" s="56">
        <v>22282360</v>
      </c>
      <c r="G157" s="80">
        <v>50000000</v>
      </c>
      <c r="H157" s="80"/>
      <c r="I157" s="56">
        <f>40000000+71897064</f>
        <v>111897064</v>
      </c>
      <c r="J157" s="56">
        <f>44632000+55595700</f>
        <v>100227700</v>
      </c>
      <c r="K157" s="81">
        <f>F157+I157+G157-J157</f>
        <v>83951724</v>
      </c>
      <c r="L157" s="271"/>
      <c r="M157" s="294" t="s">
        <v>220</v>
      </c>
      <c r="N157" s="294" t="s">
        <v>226</v>
      </c>
    </row>
    <row r="158" spans="2:14" s="3" customFormat="1" ht="33" customHeight="1" x14ac:dyDescent="0.3">
      <c r="B158" s="261"/>
      <c r="C158" s="261"/>
      <c r="D158" s="261"/>
      <c r="E158" s="208" t="s">
        <v>206</v>
      </c>
      <c r="F158" s="56"/>
      <c r="G158" s="85"/>
      <c r="H158" s="85"/>
      <c r="I158" s="86">
        <f>755362356+266011490</f>
        <v>1021373846</v>
      </c>
      <c r="J158" s="86"/>
      <c r="K158" s="253">
        <f>I158</f>
        <v>1021373846</v>
      </c>
      <c r="L158" s="271"/>
      <c r="M158" s="294" t="s">
        <v>220</v>
      </c>
      <c r="N158" s="294" t="s">
        <v>226</v>
      </c>
    </row>
    <row r="159" spans="2:14" s="3" customFormat="1" ht="33" customHeight="1" x14ac:dyDescent="0.3">
      <c r="B159" s="261"/>
      <c r="C159" s="261"/>
      <c r="D159" s="261"/>
      <c r="E159" s="208" t="s">
        <v>209</v>
      </c>
      <c r="F159" s="56"/>
      <c r="G159" s="85"/>
      <c r="H159" s="85"/>
      <c r="I159" s="86">
        <v>70000000</v>
      </c>
      <c r="J159" s="86"/>
      <c r="K159" s="253">
        <v>70000000</v>
      </c>
      <c r="L159" s="271"/>
      <c r="M159" s="294" t="s">
        <v>220</v>
      </c>
      <c r="N159" s="294" t="s">
        <v>226</v>
      </c>
    </row>
    <row r="160" spans="2:14" s="3" customFormat="1" ht="51.75" customHeight="1" x14ac:dyDescent="0.3">
      <c r="B160" s="261"/>
      <c r="C160" s="261"/>
      <c r="D160" s="261"/>
      <c r="E160" s="218" t="s">
        <v>213</v>
      </c>
      <c r="F160" s="56"/>
      <c r="G160" s="85"/>
      <c r="H160" s="85"/>
      <c r="I160" s="86"/>
      <c r="J160" s="86"/>
      <c r="K160" s="253">
        <v>57455195</v>
      </c>
      <c r="L160" s="272"/>
      <c r="M160" s="295" t="s">
        <v>220</v>
      </c>
      <c r="N160" s="295" t="s">
        <v>226</v>
      </c>
    </row>
    <row r="161" spans="1:14" ht="20.25" customHeight="1" x14ac:dyDescent="0.3">
      <c r="B161" s="299"/>
      <c r="C161" s="299"/>
      <c r="D161" s="299"/>
      <c r="E161" s="299"/>
      <c r="F161" s="299"/>
      <c r="G161" s="299"/>
      <c r="H161" s="299"/>
      <c r="I161" s="299"/>
      <c r="J161" s="299"/>
      <c r="K161" s="300"/>
      <c r="L161" s="111">
        <f>SUM(L113:L157)</f>
        <v>6952051518</v>
      </c>
      <c r="M161" s="175"/>
      <c r="N161" s="175"/>
    </row>
    <row r="162" spans="1:14" ht="15" customHeight="1" x14ac:dyDescent="0.3"/>
    <row r="163" spans="1:14" ht="15" customHeight="1" x14ac:dyDescent="0.3">
      <c r="B163" s="12" t="s">
        <v>217</v>
      </c>
    </row>
    <row r="164" spans="1:14" ht="15" customHeight="1" x14ac:dyDescent="0.3"/>
    <row r="165" spans="1:14" ht="39" customHeight="1" x14ac:dyDescent="0.3">
      <c r="B165" s="6" t="s">
        <v>138</v>
      </c>
      <c r="C165" s="6" t="s">
        <v>139</v>
      </c>
      <c r="D165" s="6" t="s">
        <v>140</v>
      </c>
      <c r="E165" s="184" t="s">
        <v>5</v>
      </c>
      <c r="F165" s="8" t="s">
        <v>7</v>
      </c>
      <c r="G165" s="8" t="s">
        <v>8</v>
      </c>
      <c r="H165" s="8" t="s">
        <v>193</v>
      </c>
      <c r="I165" s="8" t="s">
        <v>190</v>
      </c>
      <c r="J165" s="8" t="s">
        <v>191</v>
      </c>
      <c r="K165" s="8" t="s">
        <v>95</v>
      </c>
      <c r="L165" s="9" t="s">
        <v>9</v>
      </c>
      <c r="M165" s="9" t="s">
        <v>222</v>
      </c>
      <c r="N165" s="9" t="s">
        <v>221</v>
      </c>
    </row>
    <row r="166" spans="1:14" s="88" customFormat="1" ht="237.75" customHeight="1" x14ac:dyDescent="0.3">
      <c r="A166" s="87"/>
      <c r="B166" s="44" t="s">
        <v>10</v>
      </c>
      <c r="C166" s="73" t="s">
        <v>204</v>
      </c>
      <c r="D166" s="44" t="s">
        <v>208</v>
      </c>
      <c r="E166" s="176" t="s">
        <v>16</v>
      </c>
      <c r="F166" s="73"/>
      <c r="G166" s="73"/>
      <c r="H166" s="90">
        <v>326819840</v>
      </c>
      <c r="I166" s="90"/>
      <c r="J166" s="90"/>
      <c r="K166" s="90">
        <f>H166</f>
        <v>326819840</v>
      </c>
      <c r="L166" s="182">
        <f>K166</f>
        <v>326819840</v>
      </c>
      <c r="M166" s="153" t="s">
        <v>223</v>
      </c>
      <c r="N166" s="153" t="s">
        <v>256</v>
      </c>
    </row>
    <row r="167" spans="1:14" ht="15" customHeight="1" x14ac:dyDescent="0.3">
      <c r="B167" s="258"/>
      <c r="C167" s="89"/>
      <c r="D167" s="89"/>
      <c r="E167" s="237"/>
      <c r="F167" s="113"/>
      <c r="G167" s="113"/>
      <c r="H167" s="113"/>
      <c r="I167" s="113"/>
      <c r="J167" s="301" t="s">
        <v>218</v>
      </c>
      <c r="K167" s="302"/>
      <c r="L167" s="254">
        <f>L166</f>
        <v>326819840</v>
      </c>
      <c r="M167" s="171"/>
      <c r="N167" s="171"/>
    </row>
    <row r="168" spans="1:14" ht="15" customHeight="1" x14ac:dyDescent="0.3"/>
    <row r="169" spans="1:14" ht="15" customHeight="1" x14ac:dyDescent="0.3"/>
    <row r="170" spans="1:14" ht="15" customHeight="1" x14ac:dyDescent="0.3"/>
  </sheetData>
  <sheetProtection algorithmName="SHA-512" hashValue="kC0x2BDhqxKtOI59lEAVnch/5lkffbPLHWjsSd5HXgmuNCvC4DwduqBUN4sVR8zr0h+HK+QUi3J64VcrkDYjzg==" saltValue="5mCMa99cMtQm1+VghMR13A==" spinCount="100000" sheet="1" formatCells="0" formatColumns="0" formatRows="0" insertColumns="0" insertRows="0" insertHyperlinks="0" deleteColumns="0" deleteRows="0" sort="0" autoFilter="0" pivotTables="0"/>
  <autoFilter ref="A15:O15" xr:uid="{F0ED83FE-9B77-4D80-8C80-9591B963D8E8}"/>
  <mergeCells count="95">
    <mergeCell ref="N99:N101"/>
    <mergeCell ref="M103:M105"/>
    <mergeCell ref="N103:N105"/>
    <mergeCell ref="M94:M96"/>
    <mergeCell ref="N94:N96"/>
    <mergeCell ref="M64:M66"/>
    <mergeCell ref="M67:M68"/>
    <mergeCell ref="M51:M53"/>
    <mergeCell ref="N51:N53"/>
    <mergeCell ref="M90:M92"/>
    <mergeCell ref="N90:N92"/>
    <mergeCell ref="M130:M160"/>
    <mergeCell ref="M20:M21"/>
    <mergeCell ref="M22:M44"/>
    <mergeCell ref="N78:N89"/>
    <mergeCell ref="M78:M89"/>
    <mergeCell ref="M71:M76"/>
    <mergeCell ref="N71:N76"/>
    <mergeCell ref="N58:N59"/>
    <mergeCell ref="M58:M59"/>
    <mergeCell ref="N113:N127"/>
    <mergeCell ref="N128:N129"/>
    <mergeCell ref="N130:N160"/>
    <mergeCell ref="N64:N66"/>
    <mergeCell ref="N67:N68"/>
    <mergeCell ref="N20:N21"/>
    <mergeCell ref="N22:N44"/>
    <mergeCell ref="L71:L76"/>
    <mergeCell ref="B71:B76"/>
    <mergeCell ref="D67:D68"/>
    <mergeCell ref="D78:D89"/>
    <mergeCell ref="M128:M129"/>
    <mergeCell ref="M113:M127"/>
    <mergeCell ref="L113:L127"/>
    <mergeCell ref="M99:M101"/>
    <mergeCell ref="L90:L92"/>
    <mergeCell ref="L99:L101"/>
    <mergeCell ref="L94:L96"/>
    <mergeCell ref="L78:L89"/>
    <mergeCell ref="B20:B21"/>
    <mergeCell ref="C20:C21"/>
    <mergeCell ref="D20:D21"/>
    <mergeCell ref="C22:C44"/>
    <mergeCell ref="L67:L68"/>
    <mergeCell ref="B22:B44"/>
    <mergeCell ref="D22:D44"/>
    <mergeCell ref="L64:L66"/>
    <mergeCell ref="D58:D59"/>
    <mergeCell ref="L58:L59"/>
    <mergeCell ref="B64:B66"/>
    <mergeCell ref="L22:L44"/>
    <mergeCell ref="L51:L53"/>
    <mergeCell ref="D51:D53"/>
    <mergeCell ref="D64:D66"/>
    <mergeCell ref="L20:L21"/>
    <mergeCell ref="B51:B53"/>
    <mergeCell ref="D103:D105"/>
    <mergeCell ref="C103:C105"/>
    <mergeCell ref="B103:B105"/>
    <mergeCell ref="D94:D96"/>
    <mergeCell ref="C94:C96"/>
    <mergeCell ref="B94:B96"/>
    <mergeCell ref="C58:C59"/>
    <mergeCell ref="B58:B59"/>
    <mergeCell ref="C64:C66"/>
    <mergeCell ref="D71:D76"/>
    <mergeCell ref="C71:C76"/>
    <mergeCell ref="B99:B101"/>
    <mergeCell ref="C99:C101"/>
    <mergeCell ref="B67:B68"/>
    <mergeCell ref="C67:C68"/>
    <mergeCell ref="B90:B92"/>
    <mergeCell ref="D113:D127"/>
    <mergeCell ref="C113:C127"/>
    <mergeCell ref="L103:L105"/>
    <mergeCell ref="C78:C89"/>
    <mergeCell ref="B78:B89"/>
    <mergeCell ref="B161:K161"/>
    <mergeCell ref="J167:K167"/>
    <mergeCell ref="B107:K107"/>
    <mergeCell ref="L130:L160"/>
    <mergeCell ref="B128:B129"/>
    <mergeCell ref="C128:C129"/>
    <mergeCell ref="L128:L129"/>
    <mergeCell ref="D128:D129"/>
    <mergeCell ref="D130:D160"/>
    <mergeCell ref="C130:C160"/>
    <mergeCell ref="B130:B160"/>
    <mergeCell ref="B113:B127"/>
    <mergeCell ref="D99:D101"/>
    <mergeCell ref="E2:G7"/>
    <mergeCell ref="E8:G10"/>
    <mergeCell ref="D90:D92"/>
    <mergeCell ref="C90:C92"/>
    <mergeCell ref="C51:C5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48EF2F535AEFB4899D6699BBD3833B1" ma:contentTypeVersion="18" ma:contentTypeDescription="Create a new document." ma:contentTypeScope="" ma:versionID="df0a3fe238f215ad519b84399d3b4224">
  <xsd:schema xmlns:xsd="http://www.w3.org/2001/XMLSchema" xmlns:xs="http://www.w3.org/2001/XMLSchema" xmlns:p="http://schemas.microsoft.com/office/2006/metadata/properties" xmlns:ns1="http://schemas.microsoft.com/sharepoint/v3" xmlns:ns3="07fe6e1f-7c80-48a0-830a-4972a4fe3013" xmlns:ns4="c7adefc9-94ab-4c05-8c65-80c1f03b14e0" targetNamespace="http://schemas.microsoft.com/office/2006/metadata/properties" ma:root="true" ma:fieldsID="3bf6061d2117fd8de158feb02f5167fc" ns1:_="" ns3:_="" ns4:_="">
    <xsd:import namespace="http://schemas.microsoft.com/sharepoint/v3"/>
    <xsd:import namespace="07fe6e1f-7c80-48a0-830a-4972a4fe3013"/>
    <xsd:import namespace="c7adefc9-94ab-4c05-8c65-80c1f03b14e0"/>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AutoTags" minOccurs="0"/>
                <xsd:element ref="ns3:MediaServiceOCR" minOccurs="0"/>
                <xsd:element ref="ns3:MediaServiceGenerationTime" minOccurs="0"/>
                <xsd:element ref="ns3:MediaServiceEventHashCode" minOccurs="0"/>
                <xsd:element ref="ns3:_activity" minOccurs="0"/>
                <xsd:element ref="ns4:SharedWithUsers" minOccurs="0"/>
                <xsd:element ref="ns4:SharedWithDetails" minOccurs="0"/>
                <xsd:element ref="ns4:SharingHintHash" minOccurs="0"/>
                <xsd:element ref="ns3:MediaServiceDateTaken" minOccurs="0"/>
                <xsd:element ref="ns3:MediaLengthInSeconds" minOccurs="0"/>
                <xsd:element ref="ns3:MediaServiceLocation" minOccurs="0"/>
                <xsd:element ref="ns3:MediaServiceObjectDetectorVersions" minOccurs="0"/>
                <xsd:element ref="ns3:MediaServiceSystemTag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7fe6e1f-7c80-48a0-830a-4972a4fe30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_activity" ma:index="15" nillable="true" ma:displayName="_activity" ma:hidden="true" ma:internalName="_activity">
      <xsd:simpleType>
        <xsd:restriction base="dms:Note"/>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7adefc9-94ab-4c05-8c65-80c1f03b14e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7fe6e1f-7c80-48a0-830a-4972a4fe3013"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A1F5FC-2CA7-4056-9522-A00A6825F3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7fe6e1f-7c80-48a0-830a-4972a4fe3013"/>
    <ds:schemaRef ds:uri="c7adefc9-94ab-4c05-8c65-80c1f03b14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A9E330-B68F-4953-8D62-731A500F7649}">
  <ds:schemaRef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c7adefc9-94ab-4c05-8c65-80c1f03b14e0"/>
    <ds:schemaRef ds:uri="http://purl.org/dc/elements/1.1/"/>
    <ds:schemaRef ds:uri="http://purl.org/dc/terms/"/>
    <ds:schemaRef ds:uri="07fe6e1f-7c80-48a0-830a-4972a4fe3013"/>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955E6E53-69D1-495C-956B-3DF3B15829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PROYECTOS PRESUPUESTO GENERAL</vt:lpstr>
      <vt:lpstr>PROYECTOS FONDO SECC Y EXT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PLANEACION</dc:creator>
  <cp:keywords/>
  <dc:description/>
  <cp:lastModifiedBy>Paola Andrea Naranjo Penaloza</cp:lastModifiedBy>
  <cp:revision/>
  <dcterms:created xsi:type="dcterms:W3CDTF">2023-10-26T13:50:41Z</dcterms:created>
  <dcterms:modified xsi:type="dcterms:W3CDTF">2025-07-22T23:31:59Z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0x010100948EF2F535AEFB4899D6699BBD3833B1</vt:lpwstr>
  </property>
</Properties>
</file>