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A\Dropbox\1. Plan de Accion\2019\"/>
    </mc:Choice>
  </mc:AlternateContent>
  <xr:revisionPtr revIDLastSave="0" documentId="13_ncr:1_{C8A21A96-FFC8-4E58-B722-FA034CF26134}" xr6:coauthVersionLast="41" xr6:coauthVersionMax="43" xr10:uidLastSave="{00000000-0000-0000-0000-000000000000}"/>
  <bookViews>
    <workbookView xWindow="-120" yWindow="-120" windowWidth="20730" windowHeight="11160" firstSheet="1" activeTab="6" xr2:uid="{00000000-000D-0000-FFFF-FFFF00000000}"/>
  </bookViews>
  <sheets>
    <sheet name="Hoja1" sheetId="9" state="hidden" r:id="rId1"/>
    <sheet name="Frente 1" sheetId="2" r:id="rId2"/>
    <sheet name="Frente 2" sheetId="3" r:id="rId3"/>
    <sheet name="Frente 3" sheetId="5" r:id="rId4"/>
    <sheet name="Frente 4" sheetId="6" r:id="rId5"/>
    <sheet name="Frente 5" sheetId="7" r:id="rId6"/>
    <sheet name="Frente 6" sheetId="8" r:id="rId7"/>
    <sheet name="Hoja4" sheetId="4" state="hidden" r:id="rId8"/>
  </sheets>
  <definedNames>
    <definedName name="_xlnm._FilterDatabase" localSheetId="1" hidden="1">'Frente 1'!$K$2:$K$26</definedName>
    <definedName name="_xlnm._FilterDatabase" localSheetId="2" hidden="1">'Frente 2'!$J$2:$J$32</definedName>
    <definedName name="_xlnm._FilterDatabase" localSheetId="3" hidden="1">'Frente 3'!$K$2:$K$81</definedName>
    <definedName name="_xlnm._FilterDatabase" localSheetId="6" hidden="1">'Frente 6'!$J$2:$K$87</definedName>
    <definedName name="_Toc468444523" localSheetId="2">'Frente 2'!#REF!</definedName>
    <definedName name="_Toc468444524" localSheetId="2">'Frente 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3" l="1"/>
  <c r="J50" i="5" l="1"/>
  <c r="I53" i="8"/>
  <c r="I4" i="8"/>
  <c r="I5" i="8"/>
  <c r="I6" i="8"/>
  <c r="I7" i="8"/>
  <c r="I8" i="8"/>
  <c r="I10" i="8"/>
  <c r="I11" i="8"/>
  <c r="I12" i="8"/>
  <c r="I13" i="8"/>
  <c r="I14" i="8"/>
  <c r="I27" i="8"/>
  <c r="I28" i="8"/>
  <c r="I30" i="8"/>
  <c r="I31" i="8"/>
  <c r="I32" i="8"/>
  <c r="I40" i="8"/>
  <c r="I41" i="8"/>
  <c r="I42" i="8"/>
  <c r="I43" i="8"/>
  <c r="I44" i="8"/>
  <c r="I54" i="8"/>
  <c r="I57" i="8"/>
  <c r="I58" i="8"/>
  <c r="I61" i="8"/>
  <c r="I69" i="8"/>
  <c r="I73" i="8"/>
  <c r="I74" i="8"/>
  <c r="I23" i="7"/>
  <c r="I22" i="7"/>
  <c r="I21" i="7"/>
  <c r="I20" i="7"/>
  <c r="I19" i="7"/>
  <c r="I18" i="7"/>
  <c r="I17" i="7"/>
  <c r="I13" i="7"/>
  <c r="I11" i="7"/>
  <c r="I47" i="5"/>
  <c r="H48" i="5"/>
  <c r="J76" i="5"/>
  <c r="H7" i="3"/>
  <c r="L7" i="3" s="1"/>
  <c r="G7" i="3"/>
  <c r="L5" i="3"/>
  <c r="L6" i="3"/>
  <c r="L9" i="3"/>
  <c r="L10" i="3"/>
  <c r="L6" i="2"/>
  <c r="H75" i="8"/>
  <c r="H22" i="2"/>
  <c r="I19" i="3"/>
  <c r="L19" i="3"/>
  <c r="I18" i="3"/>
  <c r="L18" i="3"/>
  <c r="I22" i="3"/>
  <c r="L22" i="3"/>
  <c r="I24" i="3"/>
  <c r="L24" i="3"/>
  <c r="L25" i="3"/>
  <c r="I30" i="3"/>
  <c r="L30" i="3"/>
  <c r="M11" i="5"/>
  <c r="M12" i="5"/>
  <c r="J49" i="5"/>
  <c r="M45" i="5"/>
  <c r="L12" i="2"/>
  <c r="M54" i="5"/>
  <c r="I61" i="5"/>
  <c r="L36" i="8"/>
  <c r="L56" i="8"/>
  <c r="L31" i="8"/>
  <c r="L32" i="8"/>
  <c r="I39" i="5"/>
  <c r="I40" i="5"/>
  <c r="J40" i="5"/>
  <c r="J39" i="5"/>
  <c r="L6" i="6"/>
  <c r="M50" i="5"/>
  <c r="M51" i="5"/>
  <c r="L17" i="2"/>
  <c r="G71" i="8"/>
  <c r="I71" i="8" s="1"/>
  <c r="L11" i="2"/>
  <c r="L17" i="8"/>
  <c r="L11" i="3"/>
  <c r="L12" i="3"/>
  <c r="L14" i="3"/>
  <c r="L15" i="3"/>
  <c r="L16" i="3"/>
  <c r="L17" i="3"/>
  <c r="L20" i="3"/>
  <c r="L26" i="3"/>
  <c r="G8" i="3"/>
  <c r="M69" i="5"/>
  <c r="M41" i="5"/>
  <c r="M42" i="5"/>
  <c r="J69" i="5"/>
  <c r="L19" i="8"/>
  <c r="L26" i="8"/>
  <c r="L15" i="8"/>
  <c r="L16" i="8"/>
  <c r="L18" i="8"/>
  <c r="L21" i="8"/>
  <c r="L22" i="8"/>
  <c r="L23" i="8"/>
  <c r="L24" i="8"/>
  <c r="L25" i="8"/>
  <c r="L27" i="8"/>
  <c r="L12" i="8"/>
  <c r="L13" i="8"/>
  <c r="L14" i="8"/>
  <c r="L28" i="8"/>
  <c r="L29" i="8"/>
  <c r="L30" i="8"/>
  <c r="L33" i="8"/>
  <c r="L34" i="8"/>
  <c r="L38" i="8"/>
  <c r="L40" i="8"/>
  <c r="L41" i="8"/>
  <c r="L42" i="8"/>
  <c r="L43" i="8"/>
  <c r="L44" i="8"/>
  <c r="L53" i="8"/>
  <c r="L54" i="8"/>
  <c r="L55" i="8"/>
  <c r="L57" i="8"/>
  <c r="L58" i="8"/>
  <c r="L59" i="8"/>
  <c r="L60" i="8"/>
  <c r="L61" i="8"/>
  <c r="L63" i="8"/>
  <c r="L64" i="8"/>
  <c r="L69" i="8"/>
  <c r="L70" i="8"/>
  <c r="L6" i="8"/>
  <c r="L7" i="8"/>
  <c r="L8" i="8"/>
  <c r="L10" i="8"/>
  <c r="L20" i="7"/>
  <c r="H8" i="3"/>
  <c r="L8" i="3" s="1"/>
  <c r="I8" i="3"/>
  <c r="L21" i="7"/>
  <c r="I15" i="3"/>
  <c r="I16" i="3"/>
  <c r="I17" i="3"/>
  <c r="I20" i="3"/>
  <c r="I11" i="3"/>
  <c r="I12" i="3"/>
  <c r="I14" i="3"/>
  <c r="I10" i="3"/>
  <c r="I9" i="3"/>
  <c r="H29" i="3"/>
  <c r="H27" i="6"/>
  <c r="H20" i="6"/>
  <c r="L20" i="6"/>
  <c r="H31" i="3"/>
  <c r="I28" i="3"/>
  <c r="I26" i="3"/>
  <c r="G5" i="7"/>
  <c r="I5" i="7" s="1"/>
  <c r="L62" i="8"/>
  <c r="L13" i="7"/>
  <c r="L17" i="7"/>
  <c r="L23" i="7"/>
  <c r="L18" i="7"/>
  <c r="G12" i="7"/>
  <c r="I8" i="7"/>
  <c r="L6" i="7"/>
  <c r="L7" i="7"/>
  <c r="L8" i="7"/>
  <c r="L9" i="7"/>
  <c r="L10" i="7"/>
  <c r="L11" i="7"/>
  <c r="I6" i="7"/>
  <c r="L4" i="7"/>
  <c r="G3" i="7"/>
  <c r="L3" i="7" s="1"/>
  <c r="I15" i="6"/>
  <c r="L15" i="6"/>
  <c r="M53" i="5"/>
  <c r="J53" i="5"/>
  <c r="J58" i="5"/>
  <c r="M58" i="5"/>
  <c r="J57" i="5"/>
  <c r="M57" i="5"/>
  <c r="H31" i="5"/>
  <c r="J31" i="5"/>
  <c r="J5" i="5"/>
  <c r="I67" i="5"/>
  <c r="H67" i="5"/>
  <c r="J67" i="5"/>
  <c r="J75" i="5"/>
  <c r="J71" i="5"/>
  <c r="J72" i="5"/>
  <c r="J73" i="5"/>
  <c r="M6" i="5"/>
  <c r="M7" i="5"/>
  <c r="M8" i="5"/>
  <c r="M9" i="5"/>
  <c r="M10" i="5"/>
  <c r="M13" i="5"/>
  <c r="M14" i="5"/>
  <c r="M15" i="5"/>
  <c r="M16" i="5"/>
  <c r="M17" i="5"/>
  <c r="M18" i="5"/>
  <c r="M21" i="5"/>
  <c r="M23" i="5"/>
  <c r="M24" i="5"/>
  <c r="M25" i="5"/>
  <c r="M26" i="5"/>
  <c r="M27" i="5"/>
  <c r="M28" i="5"/>
  <c r="M29" i="5"/>
  <c r="M30" i="5"/>
  <c r="M32" i="5"/>
  <c r="M33" i="5"/>
  <c r="M34" i="5"/>
  <c r="M35" i="5"/>
  <c r="M36" i="5"/>
  <c r="M37" i="5"/>
  <c r="M38" i="5"/>
  <c r="M43" i="5"/>
  <c r="M44" i="5"/>
  <c r="M55" i="5"/>
  <c r="M56" i="5"/>
  <c r="M60" i="5"/>
  <c r="M63" i="5"/>
  <c r="M66" i="5"/>
  <c r="M67" i="5"/>
  <c r="M68" i="5"/>
  <c r="M70" i="5"/>
  <c r="M71" i="5"/>
  <c r="M72" i="5"/>
  <c r="M73" i="5"/>
  <c r="M74" i="5"/>
  <c r="M75" i="5"/>
  <c r="M76" i="5"/>
  <c r="M77" i="5"/>
  <c r="M78" i="5"/>
  <c r="M79" i="5"/>
  <c r="L28" i="3"/>
  <c r="L11" i="6"/>
  <c r="L12" i="6"/>
  <c r="L13" i="6"/>
  <c r="L14" i="6"/>
  <c r="L16" i="6"/>
  <c r="L17" i="6"/>
  <c r="L18" i="6"/>
  <c r="L19" i="6"/>
  <c r="L21" i="6"/>
  <c r="L22" i="6"/>
  <c r="L23" i="6"/>
  <c r="L24" i="6"/>
  <c r="L25" i="6"/>
  <c r="L26" i="6"/>
  <c r="L27" i="6"/>
  <c r="L28" i="6"/>
  <c r="L8" i="6"/>
  <c r="L22" i="7"/>
  <c r="L19" i="7"/>
  <c r="J79" i="5"/>
  <c r="I7" i="7"/>
  <c r="I4" i="6"/>
  <c r="I5" i="6"/>
  <c r="I8" i="6"/>
  <c r="I9" i="6"/>
  <c r="I10" i="6"/>
  <c r="I11" i="6"/>
  <c r="I12" i="6"/>
  <c r="I13" i="6"/>
  <c r="I16" i="6"/>
  <c r="I24" i="6"/>
  <c r="I26" i="6"/>
  <c r="I27" i="6"/>
  <c r="I28" i="6"/>
  <c r="I3" i="6"/>
  <c r="I4" i="3"/>
  <c r="I5" i="3"/>
  <c r="I19" i="2"/>
  <c r="I18" i="2"/>
  <c r="I14" i="2"/>
  <c r="I15" i="2"/>
  <c r="I13" i="2"/>
  <c r="I4" i="2"/>
  <c r="I5" i="2"/>
  <c r="I7" i="2"/>
  <c r="I3" i="2"/>
  <c r="J6" i="5"/>
  <c r="J7" i="5"/>
  <c r="J8" i="5"/>
  <c r="J9" i="5"/>
  <c r="J23" i="5"/>
  <c r="J24" i="5"/>
  <c r="J25" i="5"/>
  <c r="J26" i="5"/>
  <c r="J27" i="5"/>
  <c r="J28" i="5"/>
  <c r="J30" i="5"/>
  <c r="J32" i="5"/>
  <c r="J33" i="5"/>
  <c r="J34" i="5"/>
  <c r="J35" i="5"/>
  <c r="J36" i="5"/>
  <c r="J37" i="5"/>
  <c r="J42" i="5"/>
  <c r="J43" i="5"/>
  <c r="J55" i="5"/>
  <c r="J56" i="5"/>
  <c r="M59" i="5"/>
  <c r="J63" i="5"/>
  <c r="J66" i="5"/>
  <c r="J68" i="5"/>
  <c r="J70" i="5"/>
  <c r="J74" i="5"/>
  <c r="J77" i="5"/>
  <c r="J78" i="5"/>
  <c r="J80" i="5"/>
  <c r="T62" i="5"/>
  <c r="T61" i="5"/>
  <c r="T60" i="5"/>
  <c r="T59" i="5"/>
  <c r="I4" i="5"/>
  <c r="M4" i="5" s="1"/>
  <c r="G29" i="3"/>
  <c r="L29" i="3"/>
  <c r="I29" i="3"/>
  <c r="L4" i="8"/>
  <c r="L5" i="8"/>
  <c r="L11" i="8"/>
  <c r="L3" i="8"/>
  <c r="L4" i="6"/>
  <c r="L5" i="6"/>
  <c r="L10" i="6"/>
  <c r="L3" i="6"/>
  <c r="M80" i="5"/>
  <c r="M3" i="5"/>
  <c r="L4" i="3"/>
  <c r="L4" i="2"/>
  <c r="L5" i="2"/>
  <c r="L7" i="2"/>
  <c r="L8" i="2"/>
  <c r="L9" i="2"/>
  <c r="L13" i="2"/>
  <c r="L15" i="2"/>
  <c r="L16" i="2"/>
  <c r="L18" i="2"/>
  <c r="L19" i="2"/>
  <c r="L20" i="2"/>
  <c r="L21" i="2"/>
  <c r="L3" i="2"/>
  <c r="L12" i="7"/>
  <c r="I62" i="5"/>
  <c r="M62" i="5" s="1"/>
  <c r="I52" i="5"/>
  <c r="M52" i="5" s="1"/>
  <c r="I48" i="5"/>
  <c r="M47" i="5" s="1"/>
  <c r="I46" i="5"/>
  <c r="M46" i="5" s="1"/>
  <c r="H4" i="5"/>
  <c r="J4" i="5" s="1"/>
  <c r="H27" i="3"/>
  <c r="L14" i="2"/>
  <c r="H3" i="3"/>
  <c r="I3" i="3" s="1"/>
  <c r="I19" i="6"/>
  <c r="H7" i="6"/>
  <c r="I7" i="6" s="1"/>
  <c r="L10" i="2"/>
  <c r="M21" i="2"/>
  <c r="M5" i="5"/>
  <c r="L31" i="3"/>
  <c r="G27" i="3"/>
  <c r="L27" i="3"/>
  <c r="L9" i="6"/>
  <c r="H65" i="5"/>
  <c r="M65" i="5" s="1"/>
  <c r="J65" i="5"/>
  <c r="H64" i="5"/>
  <c r="M64" i="5"/>
  <c r="H62" i="5"/>
  <c r="H61" i="5"/>
  <c r="M61" i="5"/>
  <c r="H52" i="5"/>
  <c r="M48" i="5"/>
  <c r="H47" i="5"/>
  <c r="H46" i="5"/>
  <c r="M40" i="5"/>
  <c r="M39" i="5"/>
  <c r="L5" i="7"/>
  <c r="J64" i="5"/>
  <c r="M31" i="5"/>
  <c r="L7" i="6" l="1"/>
  <c r="L3" i="3"/>
  <c r="L71" i="8"/>
</calcChain>
</file>

<file path=xl/sharedStrings.xml><?xml version="1.0" encoding="utf-8"?>
<sst xmlns="http://schemas.openxmlformats.org/spreadsheetml/2006/main" count="1021" uniqueCount="556">
  <si>
    <t xml:space="preserve">Decanos de Facultad Universidad de Cundinamarca </t>
  </si>
  <si>
    <t xml:space="preserve">% de Avance </t>
  </si>
  <si>
    <t>% Avance de Compromiso Financiero</t>
  </si>
  <si>
    <t>META</t>
  </si>
  <si>
    <t>Estrategia</t>
  </si>
  <si>
    <t>Objetivo Estratégico</t>
  </si>
  <si>
    <t>Meta</t>
  </si>
  <si>
    <t>Indicador</t>
  </si>
  <si>
    <t>Meta Plan Desarrollo</t>
  </si>
  <si>
    <t>Cumplimiento 2018</t>
  </si>
  <si>
    <t xml:space="preserve">Responsable de Cumplimiento </t>
  </si>
  <si>
    <t xml:space="preserve">Responsable de Reporte </t>
  </si>
  <si>
    <t>Construcción, consolidación, visibilización y socialización del direccionamiento estratégico con la comunidad universitaria.</t>
  </si>
  <si>
    <t>Construir de forma democrática, sensibilizar y presentar los documentos estratégicos</t>
  </si>
  <si>
    <t>E</t>
  </si>
  <si>
    <t xml:space="preserve">Reconstruir el Proyecto Educativo Institucional. </t>
  </si>
  <si>
    <t xml:space="preserve">Un documento aprobado </t>
  </si>
  <si>
    <t>Vicerrectoría Académica</t>
  </si>
  <si>
    <t>Construir el plan estratégico de la Universidad a un horizonte de 10 años</t>
  </si>
  <si>
    <t>Planeación Institucional</t>
  </si>
  <si>
    <t xml:space="preserve">Construcción del plan de desarrollo al 2019. </t>
  </si>
  <si>
    <t>Lineamiento para la reorientación de los proyectos educativos de facultad –Plan de Desarrollo de Facultad –.</t>
  </si>
  <si>
    <t>Número de proyectos educativos aprobados</t>
  </si>
  <si>
    <t xml:space="preserve">Decanos de Facultad </t>
  </si>
  <si>
    <t>Autoevaluación y Acreditación</t>
  </si>
  <si>
    <t>lineamiento para la reorientación de los proyectos educativos de programas –Proyecto Educativo de Programa –.</t>
  </si>
  <si>
    <t>Número de documentos aprobados</t>
  </si>
  <si>
    <t>Desarrollo Académico</t>
  </si>
  <si>
    <t>Rediseño del modelo pedagógico de acuerdo a los lineamientos institucionales.</t>
  </si>
  <si>
    <t>Un documento aprobado </t>
  </si>
  <si>
    <t>T</t>
  </si>
  <si>
    <t xml:space="preserve">revisar, diseñar, rediseñar y/o actualizar politicas, manuales y otros documentos institucionales </t>
  </si>
  <si>
    <t xml:space="preserve">Número de documentos 
Política de Investigación, Internacionalización, Interacción, Bienestar, inclusión, desarrollo fisico, planeación, talento humano, entre otros </t>
  </si>
  <si>
    <t xml:space="preserve">Desarrollo Académico
Planeación Institucional </t>
  </si>
  <si>
    <t>Presentar condiciones iniciales para la acreditación institucional multicampus antes de 2023 y lograr la acreditación institucional antes de 2026.</t>
  </si>
  <si>
    <t>Presentar cada uno de los programas académicos a acreditación de alta calidad de acuerdo al plan de acreditación.</t>
  </si>
  <si>
    <t>Programas académicos de pregrado con acreditación de alta calidad</t>
  </si>
  <si>
    <t>Número de programas presentados ante el cna
(licenciaturas)
(musica - zootecnia - electronica)</t>
  </si>
  <si>
    <t>Mantener la acreditación de la licenciatura en 
Ciencias Sociales </t>
  </si>
  <si>
    <t>Renovación Registros Calificados de programas académicos 2019</t>
  </si>
  <si>
    <t>Número de registros calificados presentados a renovación 
Agropecuarias (4)
Administración (5)</t>
  </si>
  <si>
    <t>Diversificación de la oferta académica en pregrado y posgrado, por sede, seccionales y extensiones. Buscando la vocación y especialización de cada sede mediante las distintas metodologías que hoy existen.</t>
  </si>
  <si>
    <t xml:space="preserve">Realizar el estudio de la oferta y demanda para la renovación y apertura de programas nuevos que sean pertinentes en cada una de las regiones del departamento. </t>
  </si>
  <si>
    <t>Oferta académica nueva posgrado a nivel de doctorado</t>
  </si>
  <si>
    <t>Número de documentos presentados a registro calificado
(Humanidades - Educación IPECAL)
(Educación - RUDECOLOMBIA)</t>
  </si>
  <si>
    <t>Oferta académica nueva posgrado a nivel de maestría</t>
  </si>
  <si>
    <t>Número de documentos presentados a registro calificado.
Salud (1)
Ingenieria (2 - convenio con la UDisitrital)
Agropecuarias (1)
(Educación - convenio IPECAL - 1)
Administración (1 convenio con la UPTC)</t>
  </si>
  <si>
    <t>Oferta académica nueva posgrado a nivel de Especialización</t>
  </si>
  <si>
    <t>Número de documentos presentados a registro calificado.
Salud (1)
Humanidades (1) Psicología
Ingenieria (1 - UPTC)(1 Virtual)
Administración (2 convenio con la UPTC)</t>
  </si>
  <si>
    <t xml:space="preserve">Oferta académica nueva a nivel de pregrado. </t>
  </si>
  <si>
    <t>Número de documentos presentados a registro calificado
ALD Psicolgía Zipaquirá
Ingenieria de Software - Soacha 
ALD Ingenieria Industrial - Chía
Ing. Geomatica - Fusagasugá
Lic. Edu Física Fusagasugá
Ciencias del Deporte - Fusagausgá - Zipaquirá</t>
  </si>
  <si>
    <t>Incremetar la matrícula de estudiantes nuevos en los programas de Posgrado</t>
  </si>
  <si>
    <t>Número de estudiantes nuevos matriculados por semestre a los programas de posgrado de la sede, seccionales y extensiones </t>
  </si>
  <si>
    <t>Dirección de Posgrados 
Directores de Seccionales y Extensiones</t>
  </si>
  <si>
    <t>Admisiones y Registro</t>
  </si>
  <si>
    <t>Autoevaluación continua de los procesos académicos y administrativos, como instrumento de mejora continua</t>
  </si>
  <si>
    <t>Realizar la evaluación permanente de los programas académicos, docentes y personal administrativo</t>
  </si>
  <si>
    <t>Realizar la autoevaluación permanente de los programas académicos de Pregrado</t>
  </si>
  <si>
    <t>Seguimiento al cumplimiento de planes de mejoramiento construidos, revisados y consolidados
Salud (1)
Humanidades (2)
Ingenieria (7)
Agropecuarias (4)
Educación (1)
Administración (7)
Edu. Física (1)</t>
  </si>
  <si>
    <t xml:space="preserve">Realizar la autoevaluación permanente de los programas académicos de Posgrados </t>
  </si>
  <si>
    <t>Seguimiento al cumplimiento de planes de mejoramiento construidos, revisados y consolidados</t>
  </si>
  <si>
    <t xml:space="preserve">Dirección de Posgrados </t>
  </si>
  <si>
    <t>O</t>
  </si>
  <si>
    <t xml:space="preserve">Autoevaluación permanente de los docentes </t>
  </si>
  <si>
    <t>Porcentaje de docentes con resultados de desempeño por encima de 4.0 percepción estudiantes.</t>
  </si>
  <si>
    <t xml:space="preserve">Dirección Talento Humano </t>
  </si>
  <si>
    <t xml:space="preserve">Evaluación permanente del personal administrativo </t>
  </si>
  <si>
    <t>Porcentaje del personal administrativo evaluado con resultados por encima del nivel satisfactorio.</t>
  </si>
  <si>
    <t xml:space="preserve">Metas Estratégicas Nuevas </t>
  </si>
  <si>
    <t xml:space="preserve">Metas de Plan de Acción Anual </t>
  </si>
  <si>
    <t xml:space="preserve">Metas Cumplidos </t>
  </si>
  <si>
    <t xml:space="preserve">Plan Rectoral </t>
  </si>
  <si>
    <t>Metas Pendientes</t>
  </si>
  <si>
    <t>Generar mecanismos para el desarrollo de una cultura en valores democráticos, libertad, solidaridad y civilidad en la comunidad académica.</t>
  </si>
  <si>
    <t>Promover un cambio de comportamiento de la comunidad educativa en el rediseño de nuevas costumbres y la reconfiguración de los valores y principios que sirvan como marco referencial.</t>
  </si>
  <si>
    <t>Fomentar la investigación de semilleristas sobre cultura, democracia y/o posconflicto.</t>
  </si>
  <si>
    <t xml:space="preserve">Número de proyectos de investigación avalados </t>
  </si>
  <si>
    <t>Investigación</t>
  </si>
  <si>
    <t>Fortalecer los canales de comunicación entre la comunidad universitaria y la comunidad en general, permitiendo la divulgación de información a nivel interno y externo.</t>
  </si>
  <si>
    <t xml:space="preserve">Implementar un Canal institucional transmisión vía youtube </t>
  </si>
  <si>
    <t xml:space="preserve">Porcantaje de implementación del canal institucional </t>
  </si>
  <si>
    <t>Comunicaciones</t>
  </si>
  <si>
    <t xml:space="preserve">Implementar una Emisora on line institucional Ucundinamarca S21 </t>
  </si>
  <si>
    <t xml:space="preserve">Porcantaje de implementación </t>
  </si>
  <si>
    <t>Establecer vías para la generación de una cultura académica científica y formadora para la vida.</t>
  </si>
  <si>
    <t xml:space="preserve">Promover la discusión y participación de la comunidad universitaria, y de otras comunidades de interés, sobre las prácticas, símbolos y valores democráticos e institucionales que deben ser parte del marco de referencia de dicha cultura. </t>
  </si>
  <si>
    <t>Realizar los Encuentros Dialógicos y Formativos dirigidos a los estudiantes de la universidad </t>
  </si>
  <si>
    <t>Número de planes de mejoramiento producto de los encuentros dialógicos </t>
  </si>
  <si>
    <t>Decanos de Facultad</t>
  </si>
  <si>
    <t xml:space="preserve">Planeación Institucional </t>
  </si>
  <si>
    <t>Diseñar y consolidar los Campos de Aprendizaje</t>
  </si>
  <si>
    <t>Dos actividades culturales realizadas por las facultad</t>
  </si>
  <si>
    <t>Decanos de Facultad
Virtual</t>
  </si>
  <si>
    <t>Promover la participación y el aprendizaje en la comunidad universitaria, mediante la participación activa en los campos de aprendizaje realizados por la Universidad.</t>
  </si>
  <si>
    <t>Diseñar y consolidar los Campos de Aprendizaje Institucionales</t>
  </si>
  <si>
    <t>Facultad de Ciencias Sociales, Humanidades y Ciencias Políticas</t>
  </si>
  <si>
    <t>Facultad de Ciencias Sociales, Humanidades y Ciencias Políticas
Dirección de Ciencias, Tecnologia e innovación</t>
  </si>
  <si>
    <t>Ciencias Administrativas, Economicas y contables</t>
  </si>
  <si>
    <t>Facultad de Educación</t>
  </si>
  <si>
    <t xml:space="preserve">Diseñar y consolidar los Campos de Aprendizaje Culturales </t>
  </si>
  <si>
    <t xml:space="preserve">Facultad de Ingenieria </t>
  </si>
  <si>
    <t>Facultad de Ciencias Agropecuarias</t>
  </si>
  <si>
    <t>Facultad de Ciencias Sociales</t>
  </si>
  <si>
    <t>Facultad de Ciencias del Deporte y la Educación Física</t>
  </si>
  <si>
    <t>Desarrollo de los Campos de Aprendizaje Disciplinar</t>
  </si>
  <si>
    <t>Gestión de la cooperación para el desarrollo de la cultura académica, científica y formativa.</t>
  </si>
  <si>
    <t>Entablar convenios y/o alianzas interinstitucionales que fortalezcan las relaciones humanas, el sentido de pertenencia y las actividades de sus miembros</t>
  </si>
  <si>
    <t>Establecer convenios académicos con instituciones de educación y entidades del sector público y/o privado nacionales, que propendan por el fortalecimiento cultural, científico, humanista.</t>
  </si>
  <si>
    <t>Número de convenios activos entablados por la Dirección de Interacción Universitaria </t>
  </si>
  <si>
    <t>Dirección de Interacción Universitaria</t>
  </si>
  <si>
    <t xml:space="preserve">Inetracción Social Universitaria </t>
  </si>
  <si>
    <t xml:space="preserve">Número de convenios y/o contratos académcos  entablados por las seccionales y extensiones para la oferta de servicios académicos * </t>
  </si>
  <si>
    <t xml:space="preserve">Directores de Seccionales y Extensiones </t>
  </si>
  <si>
    <t>Medición y seguimiento del impacto generado por los convenios académicos </t>
  </si>
  <si>
    <t>La Universidad fortalecerá la interacción social universitaria propendiendo por el mejoramiento de la calidad de vida de las comunidades</t>
  </si>
  <si>
    <t>Realizar interacción universitaria mediante la capacitación y formación, generando nuevas posibilidades de aprendizajes para satisfacer necesidades puntuales de la comunidad.</t>
  </si>
  <si>
    <t>Realizar programas de proyección  social</t>
  </si>
  <si>
    <t xml:space="preserve">Reporte de número de participantes de programas de proyección social </t>
  </si>
  <si>
    <t>Medición del impacto de los programas de proyección social y académico </t>
  </si>
  <si>
    <t>Realizar programas de educación continua al año. (participantes)</t>
  </si>
  <si>
    <t xml:space="preserve">Reporte de número de participantes de programas de educación continuada </t>
  </si>
  <si>
    <t>Realizar programas de educación continua en modalidad virtual al año. (participantes)</t>
  </si>
  <si>
    <t>Número de participantes de programas  de educación continua en modalidad virtual al año</t>
  </si>
  <si>
    <t>Oficina de Educación Virtual y a Distancia</t>
  </si>
  <si>
    <t xml:space="preserve">Los campos de aprendizaje entran este año de forma estructurada, durante las vigencias 2016, 2017 y 2018 se realizaban como actividades. A partir de esta vigencia poseen estructura y articulación curricular. </t>
  </si>
  <si>
    <t xml:space="preserve">Las metas de Interacción han sido superadas, sin embargo son metas que deben seguir y buscar la forma de estructuraralas con mayores retos para la institución </t>
  </si>
  <si>
    <t xml:space="preserve">Sublineas del Frente Estratégico </t>
  </si>
  <si>
    <t xml:space="preserve">Responsable del Cumplimiento </t>
  </si>
  <si>
    <t>Responsable del Reporte</t>
  </si>
  <si>
    <t>La Universidad se constituirá como un campus multidimensional, abierto, incluyente, colaborativo y trascendente, para propiciar el desarrollo integral de la personalidad y las potencialidades del ser humano.</t>
  </si>
  <si>
    <t>Generar estratégias que propicien el desarrollo inetgral de las dimensiones del ser humano</t>
  </si>
  <si>
    <t>Implementar la política de educación superior inclusiva de la Universidad de Cundinamarca </t>
  </si>
  <si>
    <t xml:space="preserve">Institucional </t>
  </si>
  <si>
    <t>Trazar un plan que permita evaluar y revisar las competencias de los estudiantes de los últimos semestres, con el fin de garantizar unos resultados óptimos en las pruebas de estado “Saber PRO”.</t>
  </si>
  <si>
    <t>Implementar recursos y estrategias para el fortalecimiento de los proyectos nivelatorios de: Inglés, habilidades lecto-escritoras y lógica-matemática dirigidas a estudiantes de 1 semestre, en IPA y IIPA.</t>
  </si>
  <si>
    <t>Número de cursos nivelatorios realizados</t>
  </si>
  <si>
    <t>Educación Virtual y a Distancia</t>
  </si>
  <si>
    <t>Diseñar una ruta para el mejoramiento de resultados SABER PRO</t>
  </si>
  <si>
    <t>Informe de seguimiento a los resultados Saber Pro en competencias genéricas y específicas superior a la media nacional y del grupo de referencia </t>
  </si>
  <si>
    <t>Oficina de Desarrollo Académico</t>
  </si>
  <si>
    <t xml:space="preserve">Mejorar y desarrollar la planta física, con el fin de contar con los espacios adecuados para el aprendizaje y el desarrollo integral del ser humano.  </t>
  </si>
  <si>
    <t>Diseñar e implementar el Plan de Desarrollo Físico.</t>
  </si>
  <si>
    <t>Porcentaje de  implementación del Plan de Desarrollo Físico</t>
  </si>
  <si>
    <t xml:space="preserve">Planeación Institucional 
Bienes y Servicios </t>
  </si>
  <si>
    <t>Construcción Biblioteca y centro de investigación, sede Fusagasugá.</t>
  </si>
  <si>
    <t>Porcentaje de avance de la construcción.</t>
  </si>
  <si>
    <t>Bienes y Servicios</t>
  </si>
  <si>
    <t xml:space="preserve">Construcción de la 1.ª etapa de la sede en la Extensión Zipaquirá. </t>
  </si>
  <si>
    <t>Porcantaje de avance de diseños y estudios previos </t>
  </si>
  <si>
    <t xml:space="preserve">Adquisición del lote para la ampliación de la sede en la extensión Facatativá </t>
  </si>
  <si>
    <t>un lote adquirido</t>
  </si>
  <si>
    <t>Mejorar los espacios académicos, bibliotecas, laboratorios, centros de cómputo, con el fin de potencializar el desarrollo del aprendizaje.</t>
  </si>
  <si>
    <t xml:space="preserve">Seguimiento a la estratégia de uso y consulta de recursos bibliotecarios </t>
  </si>
  <si>
    <t xml:space="preserve">Número de seguimientos realizados </t>
  </si>
  <si>
    <t>Apoyo Academico</t>
  </si>
  <si>
    <t>Estudio de uso de los espacios académicos (laboratorios, centros de computo y demas) (compartido con Bienes y Servicios y Planeación I.)</t>
  </si>
  <si>
    <t>Un documento presentado </t>
  </si>
  <si>
    <t>Fortalecer los espacios académicos (auditorios, aulas, bibliotecas, centros de cómputo, centros de recursos, gimnasios, y laboratorios</t>
  </si>
  <si>
    <t>100% de los mantenimientos de los equipos priorizados de acuerdo al procedimiento” Mantenimiento de Elementos Educativos" y con presupuesto asignado.</t>
  </si>
  <si>
    <t>100% de las adquisiciones de software académico proyectadas</t>
  </si>
  <si>
    <t>100% de radicaciones de ABSr001 de las necesidades adscritas a la Unidad de Apoyo Académico proyectadas en el plan anual de adquisiciones.</t>
  </si>
  <si>
    <t>100% de las adquisiciones proyectadas (Sistema de Gestión Bibliotecaria, EZProxy Generador de Estadística y Dspace)</t>
  </si>
  <si>
    <t>100% de las adquisiciones de los recursos electrónicos (Bases de datos y Bibliotecas Virtuales) proyectados</t>
  </si>
  <si>
    <t>Incrementar en un 3% el uso de la colección impresa: (Estándar Rumbo:50% de la población universitaria</t>
  </si>
  <si>
    <t>Incrementar en un 7% el uso de los recursos electrónicos: (Estándar Rumbo: 60% de la población universitaria)</t>
  </si>
  <si>
    <t>Incrementar en un 2% la pertinencia del material bibliográfico (Estándar Rumbo: 70% del material bibliográfico)</t>
  </si>
  <si>
    <t>Incrementar en un 17% la participación en los programas de formación en competencias informacionales (Estándar 40% de los usuarios formados en competencias informacionales)</t>
  </si>
  <si>
    <t>Incrementar en un 5% el aprovechamiento de los recursos electrónicos suscritos (bases de datos y bibliotecas virtuales)</t>
  </si>
  <si>
    <t>Estudio de uso de los espacios académicos (laboratorios, centros de cómputo y demás) (compartido con Bienes y Servicios y Planeación I.)</t>
  </si>
  <si>
    <t>Establecimiento de la Universidad como centro de investigación y desarrollo agropecuario, social y productivo.</t>
  </si>
  <si>
    <t>Modificar el esquema académico-administrativo de las granjas agropecuarias de la Universidad de Cundinamarca, para convertirlas en centros de investigación.</t>
  </si>
  <si>
    <t xml:space="preserve">Conversión de las granjas de la universidad en centros de investigación. </t>
  </si>
  <si>
    <t xml:space="preserve">un documento aprobado </t>
  </si>
  <si>
    <t>Proyectos desarrollados en los Centros de Investigación Experimental (granjas) de la Universidad.</t>
  </si>
  <si>
    <t xml:space="preserve">Número de proyectos de investigación desarrollados en los centros de estudios agroambientales </t>
  </si>
  <si>
    <t xml:space="preserve">Desarrollar el Centro Académico Deportivo –CAD-, como un impulsor del deporte a nivel regional y nacional.  </t>
  </si>
  <si>
    <t xml:space="preserve">Centro Académico Deportivo de la UCundinamarca –CAD– </t>
  </si>
  <si>
    <t>Club Deportivo Ucundinamarca.</t>
  </si>
  <si>
    <t xml:space="preserve">Realizar programas de educación deportivas </t>
  </si>
  <si>
    <t xml:space="preserve">Número de participantes de escuelas deportivas </t>
  </si>
  <si>
    <t xml:space="preserve">Entablar convenios con instituciones, centros o escuelas deportivas </t>
  </si>
  <si>
    <t xml:space="preserve">Número de convenios activos </t>
  </si>
  <si>
    <t>Mediación tecnológica de los campos de aprendizaje disciplinares de las facultades </t>
  </si>
  <si>
    <t>Número de campos mediados </t>
  </si>
  <si>
    <t>Soporte tecnológico en la construcción de aulas virtuales para los programas de pregrado y posgrado  (revisar con virtualidad)</t>
  </si>
  <si>
    <t>Porcentaje de aulas virtuales consolidadas a partir de los lineamientos pedagógicos institucionales para cada uno de los núcleos temáticos.</t>
  </si>
  <si>
    <t xml:space="preserve">Reforma Curricular </t>
  </si>
  <si>
    <t>Fomentar el desarrollo y la actualización curricular de los programas de la Universidad.</t>
  </si>
  <si>
    <t>Actualizar los currículos de cada uno de los programas académicos, con el objetivo de revisar la pertinencia y coherencia.</t>
  </si>
  <si>
    <t>Redignificar los currículos, para lograr que sean flexibles, sistemáticos y pertinentes, orientarlos a las disciplinas, los valores para la vida, la democracia y la libertad, hacia el em­prendimiento e insertar el enfoque  internacional. (revisar con desarrollo académico)
Salud (1)
Sistemas (2 - Fusa y Faca)
Agropecuarias (4)</t>
  </si>
  <si>
    <t>Número de programas académicos con reignificación calificado</t>
  </si>
  <si>
    <t>Oficina Desarrollo Académico</t>
  </si>
  <si>
    <t xml:space="preserve">Profesor gestor del conocimiento </t>
  </si>
  <si>
    <t>Lograr que la comunidad educativa en especial los profesores sea un estamento actuante, transformador, gestores del conocimiento, formadores para la vida y generadores de escenarios de paz y convivencia.</t>
  </si>
  <si>
    <t>Elevar el nivel educativo de los profesores, propendiendo por la estabilidad laboral e incentivos por méritos</t>
  </si>
  <si>
    <t>Profesores por formación académica en pregrado y posgrado.
Doctorado
Maestria
Especialización</t>
  </si>
  <si>
    <t>Porcentaje de profesores con doctorado.</t>
  </si>
  <si>
    <t>Talento Humano</t>
  </si>
  <si>
    <t>Porcentaje de profesores con maestría.</t>
  </si>
  <si>
    <t>Porcentaje de profesores con especialización. (meta inversa)</t>
  </si>
  <si>
    <t>Realizar la categorización de los docentes</t>
  </si>
  <si>
    <t>Porcentaje de profesores con categorización.</t>
  </si>
  <si>
    <t>Vicerrectoría Académica
(Comité del Profesor)</t>
  </si>
  <si>
    <t>Establecer incentivos por la producción académica, pago de asesorías y dirección de trabajos de grado a docentes</t>
  </si>
  <si>
    <t>Un documento aprobado. 
(Revisar presupuesto y propuesta)</t>
  </si>
  <si>
    <t xml:space="preserve">Convocatoria de profesores de carrera </t>
  </si>
  <si>
    <t>Documento de convocatoria aprobado </t>
  </si>
  <si>
    <t xml:space="preserve">Profesores contratados a 11 meses anualmente </t>
  </si>
  <si>
    <t xml:space="preserve">Número de profesores contratados </t>
  </si>
  <si>
    <t>Desarrollar programas de capacitación que permitan mejorar el desempeño de los profesores gestores de conocimiento y así convertirse en un agente actuante y transformador.</t>
  </si>
  <si>
    <t>Profesores beneficiados con apoyo en posgraduales</t>
  </si>
  <si>
    <t xml:space="preserve">Número de apoyos de doctorado anuales </t>
  </si>
  <si>
    <t>Número de apoyos otorgados en maestría anuales </t>
  </si>
  <si>
    <t>Análisis de los resultados de las políticas de estimulos del personal (desarrollo académico - docentes)</t>
  </si>
  <si>
    <t>Conformar e Implementación de la Escuela de gestión del conocimiento y el aprendizaje</t>
  </si>
  <si>
    <t>Escuela de Alta Gerencia del Aprendizaje en funcionamiento.</t>
  </si>
  <si>
    <t xml:space="preserve">Número de profesores participes de los programas ofrecidos en la escuela y  participes de eventos académicos </t>
  </si>
  <si>
    <t>La Universidad desarrollará acciones dirigidas al fortalecimiento del bienestar de toda la comunidad universitaria con una perspectiva multidimensional.</t>
  </si>
  <si>
    <t xml:space="preserve">Diseñar un campus académico, generando espacios artísticos, culturales, musicales y deportivos; forjadores de paz, convivencia y salud mental. </t>
  </si>
  <si>
    <t>Creación del programa de fomento a los  hábitos y estilos de vida saludable</t>
  </si>
  <si>
    <t>Bienestar Universitario</t>
  </si>
  <si>
    <t xml:space="preserve">Estudiante creador de oportunidades </t>
  </si>
  <si>
    <t>Espacios para el fomento de los habitos y estilos de vida saludable y el aprovechamiento del tiempo libre</t>
  </si>
  <si>
    <t>Número de participantes de la comunidad universitaria en programas artísticos, culturales y músicales.</t>
  </si>
  <si>
    <t>Número de participantes de la comunidad universitaria en actividades, deportivas, recreativas y de aprovechamiento del tiempo libre.</t>
  </si>
  <si>
    <t>Número de participantes de la comunidad universitaria en programas de salud mental.</t>
  </si>
  <si>
    <t>Estudio permanente de deserción de estudiantes</t>
  </si>
  <si>
    <t>Número de estudios realizados</t>
  </si>
  <si>
    <t>Número orientaciones dirigidas a los docentes consejeros
 (2 por programa)</t>
  </si>
  <si>
    <t xml:space="preserve">Número de Informes de impacto de las actividades presentados </t>
  </si>
  <si>
    <t>Promover un proceso de aprendizaje permanente que permita desarrollar las potencialidades humanas para una vida plena donde se afronte la realidad y se aprenda a vivir como un ser social.</t>
  </si>
  <si>
    <t xml:space="preserve">Vinculación de estudiantes en el desarrollo de Monitorias </t>
  </si>
  <si>
    <t xml:space="preserve">Número de estudiantes monitores académicos vinculados </t>
  </si>
  <si>
    <t>Creación del programa de seguimiento a la tasa de permanencia, absorición, repitencia y graduación  </t>
  </si>
  <si>
    <t>Número de programas creados </t>
  </si>
  <si>
    <t>Alertas a la tasa de absorción y tasa de repitencia</t>
  </si>
  <si>
    <t>Número de seguimientos realizados al año</t>
  </si>
  <si>
    <t xml:space="preserve">Tasa de graduación </t>
  </si>
  <si>
    <t xml:space="preserve">Indice de graduación </t>
  </si>
  <si>
    <t xml:space="preserve">Tasa de permanencia </t>
  </si>
  <si>
    <t xml:space="preserve">Indice de permanencia </t>
  </si>
  <si>
    <t xml:space="preserve">Tasa de Absorción </t>
  </si>
  <si>
    <t>Indice de absorción</t>
  </si>
  <si>
    <t xml:space="preserve">Tasa de Repitencia </t>
  </si>
  <si>
    <t>Indice de repitencia</t>
  </si>
  <si>
    <t>Fortalecer el Bienestar Universitario y ampliar la cobertura de programas socioeconómicos que garanticen la permanencia de estudiantes.</t>
  </si>
  <si>
    <t xml:space="preserve">Tasa de deserción de los estudiantes de primer semestre. </t>
  </si>
  <si>
    <t>Porcentaje tasa de deserción primer semestre (meta de medición inversa)</t>
  </si>
  <si>
    <t xml:space="preserve">Disminuir la deserción total de los estudiantes. </t>
  </si>
  <si>
    <t>Tasa total de deserción de estudiantes anual (meta de medición inversa)</t>
  </si>
  <si>
    <t>Programas socioeconómicos entregados a los estudiantes</t>
  </si>
  <si>
    <t xml:space="preserve">Número de estudiantes beneficiados </t>
  </si>
  <si>
    <t>Exoneraciones de matrículas concedidas a estudiantes.</t>
  </si>
  <si>
    <t>Número de exoneraciones de matrícula.</t>
  </si>
  <si>
    <t>La Universidad creará espacios para incentivar la innovación y el emprendimiento en los estudiantes, graduados y empresarios de la región.</t>
  </si>
  <si>
    <t>Crear e implementar el Centro de Innovación, Tecnología y Gestión Organizacional –citgo–, como apoyo al desarrollo en temas de incubación y generación de ideas de negocio, emprendimiento y gestión empresarial.</t>
  </si>
  <si>
    <t>Formalizar el Centro de Innovación, Tecnología y Gestión Organizacional –citgo–.</t>
  </si>
  <si>
    <t>Número de centros.</t>
  </si>
  <si>
    <t xml:space="preserve">Facultad de Ciencias Administrativas, Económicas y Contables </t>
  </si>
  <si>
    <t>Asesorar a emprendedores en ideas de  negocio</t>
  </si>
  <si>
    <t>Número de emprendedores asesorados</t>
  </si>
  <si>
    <t>Asesorar a empresarios ya constituidos en gestión empresarial</t>
  </si>
  <si>
    <t>Número de asesorías</t>
  </si>
  <si>
    <t xml:space="preserve">Graduados integrados y con sentido de pertenencia </t>
  </si>
  <si>
    <t xml:space="preserve">•La Universidad generará programas para fortalecer los vínculos con sus graduados y/o egresados y creará mecanismos para integrarlos de manera activa a la comunidad académica. </t>
  </si>
  <si>
    <t xml:space="preserve">Propiciar y fortalecer el sentido de pertenencia de los graduados, mediante la participación activa en los procesos de la Universidad. </t>
  </si>
  <si>
    <t>Creación del estatuto del graduado</t>
  </si>
  <si>
    <t>Graduados</t>
  </si>
  <si>
    <t xml:space="preserve">Graduados </t>
  </si>
  <si>
    <t xml:space="preserve">Espacios de participación y toma de decisiones académico-administrativas de la universidad </t>
  </si>
  <si>
    <t>Número de  espacios generados 
(conversatorios, congreso, encuentro deportivo, revista, salidas académicas)</t>
  </si>
  <si>
    <t xml:space="preserve">Graduados participes en proyectos de interacción social universitaria </t>
  </si>
  <si>
    <t xml:space="preserve">Número de participantes en actividades de interacción social universitaria </t>
  </si>
  <si>
    <t xml:space="preserve">Interacción Universitaria </t>
  </si>
  <si>
    <t>Un documento que contiene la medición del impacto de los graduados en el medio </t>
  </si>
  <si>
    <t>Realizar un encuentro anual de graduados por nodo de la Universidad de Cundinamarca </t>
  </si>
  <si>
    <t>Número de encuentros realizados 
(programas acreditables)</t>
  </si>
  <si>
    <t>Número de participantes nodo norte (reporte por programa)</t>
  </si>
  <si>
    <t>Directores de Sede, Seccionales y Extensiones</t>
  </si>
  <si>
    <t>Número de participantes nodo centro (reporte por programa)</t>
  </si>
  <si>
    <t>Número de participantes nodo sur (reporte por programa)</t>
  </si>
  <si>
    <t xml:space="preserve">Bases de datos </t>
  </si>
  <si>
    <t xml:space="preserve">Número de graduados inscritos en la base de datos </t>
  </si>
  <si>
    <t>Estratégia para la actualización de las bases de datos </t>
  </si>
  <si>
    <t xml:space="preserve">Convenios estratégicos y/o alianzas que beneficien a los graduados </t>
  </si>
  <si>
    <t xml:space="preserve">Número de convenios firmados </t>
  </si>
  <si>
    <t>Graduados  
Directores de Sede, Seccionales y Extensiones</t>
  </si>
  <si>
    <t>Articulación con investigación para el seguimiento del impacto de graduados   </t>
  </si>
  <si>
    <t xml:space="preserve">Documento de seguimiento del impacto de graduados   </t>
  </si>
  <si>
    <t xml:space="preserve">Investigación </t>
  </si>
  <si>
    <t>Implementar estrategias que permitan la oportunidad y seguimiento laboral.</t>
  </si>
  <si>
    <t>Implementación del Observatorio Laboral</t>
  </si>
  <si>
    <t>Número de seguimientos de la implementación</t>
  </si>
  <si>
    <t>Seguimiento de la Tasa de empleabilidad de los graduados</t>
  </si>
  <si>
    <t>Crear e implementar una bolsa de empleo para graduados y estudiantes.</t>
  </si>
  <si>
    <t>Una bolsa de empleo creada e implementada.</t>
  </si>
  <si>
    <t xml:space="preserve">Reponsable de Cumplimiento </t>
  </si>
  <si>
    <t>Responsable de reporte</t>
  </si>
  <si>
    <t xml:space="preserve"> Propiciar la formación científica y estratégica, la cual permitirá que la Universidad genere productos de alto impacto en la región, siendo referente para la solución de problemas locales, regionales, departamentales, nacionales y mundiales, priorizando los problemas que afectan el agua y la sostenibilidad de recursos no renovables.</t>
  </si>
  <si>
    <t xml:space="preserve">Redefinir las áreas de investigación de acuerdo a las necesidades de la región, con impacto social que traspase las fronteras.  </t>
  </si>
  <si>
    <t>Redefinir las líneas de Investigación translocal por facultad.</t>
  </si>
  <si>
    <t>Número de líneas de investigación translocal definidas por facultad.</t>
  </si>
  <si>
    <t>Crear y fomentar grupos y escenarios de investigación que visibilicen un impacto positivo mediante el desarrollo de ciencia, tecnología e innovación, a corto, mediano y largo plazo en las diferentes coyunturas sociales que aquejan al Departamento y al país.</t>
  </si>
  <si>
    <t>Convocatorias internas.</t>
  </si>
  <si>
    <t xml:space="preserve">Número de convocatorias internas. </t>
  </si>
  <si>
    <t>Convocatorias en alianzas.</t>
  </si>
  <si>
    <t xml:space="preserve">Número de convocatorias en alianzas. </t>
  </si>
  <si>
    <t>Número de proyectos presentados por las alianzas (CONVOCATORIA COLCIENCIIAS)</t>
  </si>
  <si>
    <t>Macro-proyectos aprobados y financiados por la Universidad.</t>
  </si>
  <si>
    <t>Número de macro-proyectos aprobados y financiados.</t>
  </si>
  <si>
    <t xml:space="preserve">Indice de grupos categorizados por COLCIENCIAS </t>
  </si>
  <si>
    <t xml:space="preserve">porcentaje del indice </t>
  </si>
  <si>
    <t>Grupos de investigación registrados ante Colciencias.</t>
  </si>
  <si>
    <t xml:space="preserve">Mejoramiento de la clasificación de Colciencias de los grupos de investigación  </t>
  </si>
  <si>
    <t>Investigadores de la Universidad reconocidos ante Colciencias.</t>
  </si>
  <si>
    <t xml:space="preserve">Investigadores de la Universidad categorizados en Colciencias </t>
  </si>
  <si>
    <t xml:space="preserve">Aumentar los recursos asignados para investigación </t>
  </si>
  <si>
    <t>Porcentaje de aumento de recursos para investigación </t>
  </si>
  <si>
    <t xml:space="preserve">Fortalecer, ampliar y consolidar las redes, semilleros y grupos de investigación, con el fin de producir impacto en el entorno.
</t>
  </si>
  <si>
    <t>Fomentar el desarrollo de la investigación formativa desde el inicio de los programas, incentivando la participación en los semilleros de investigación.</t>
  </si>
  <si>
    <t>Fomento de los semilleros de investigación formalizados.</t>
  </si>
  <si>
    <t>Número  de estudiantes participantes activos en semilleros de investigación (datos acumulados).</t>
  </si>
  <si>
    <t>Eventos de socialización de proyectos de investigación de los semilleros.</t>
  </si>
  <si>
    <t>Número de eventos realizados.</t>
  </si>
  <si>
    <t xml:space="preserve">Generar productos de alto impacto en la región y generar relaciones interinstitucionales y alianzas estratégicas con universidades y centros de investigación, para hacer realidad la investigación translocal.
</t>
  </si>
  <si>
    <t>Generar producción intelectual de alta calidad, con el fin de fortalecer el reconocimiento a nivel nacional e internacional de las publicaciones institucionales.</t>
  </si>
  <si>
    <t xml:space="preserve">Publicación de artículos en revistas indexadas por profesores de la Universidad. </t>
  </si>
  <si>
    <t>Número de artículos publicados en revistas indexadas</t>
  </si>
  <si>
    <t xml:space="preserve">Proceso de indexación de la Revista de la Universidad. </t>
  </si>
  <si>
    <t>Número de revistas indexadas en la Universidad. </t>
  </si>
  <si>
    <t>Publicación de libros producto de investigación</t>
  </si>
  <si>
    <t>Número de libros publicados con sello editorial (datos acumulados)</t>
  </si>
  <si>
    <t>Publicación de capítulos de libros producto de investigación</t>
  </si>
  <si>
    <t>Número de capítulos de libros publicados (Datos acumulados)</t>
  </si>
  <si>
    <t>Artículos publicados en revistas no indexadas.</t>
  </si>
  <si>
    <t>Número de artículos publicados en revistas no indexadas</t>
  </si>
  <si>
    <t>Patentes registradas.</t>
  </si>
  <si>
    <t>Número de patentes registradas (datos acumulados).</t>
  </si>
  <si>
    <t>Ponencias presentadas por los semilleros de investigación.</t>
  </si>
  <si>
    <t>Número de ponencias presentadas por semilleritas (datos acumulados)</t>
  </si>
  <si>
    <t>Obras artísticas registradas.</t>
  </si>
  <si>
    <t>Número de obras artísticas registradas (datos acumulados)</t>
  </si>
  <si>
    <t>Ponencias con publicación  por profesores investigadores en eventos nacionales e internacionales (financiados por la Universidad).</t>
  </si>
  <si>
    <t>Número de ponencias presentadas</t>
  </si>
  <si>
    <t xml:space="preserve">Número de ponencias publicadas en eventos </t>
  </si>
  <si>
    <t>Creación e implementación del  “sello editorial UCundinamarca”</t>
  </si>
  <si>
    <t>Porcentaje de creación e implementación.</t>
  </si>
  <si>
    <t xml:space="preserve">Publicaciones realizada por medio del sello editorial </t>
  </si>
  <si>
    <t xml:space="preserve">Número de publicaciones </t>
  </si>
  <si>
    <t>Promover la apropiación por parte de la sociedad, de los resultados obtenidos en las investigaciones, mediante la articulación de las políticas de investigación con las de proyección social de la Universidad.</t>
  </si>
  <si>
    <t>Realizar un encuentro anual de investigadores entre universidades.</t>
  </si>
  <si>
    <t xml:space="preserve">Realizar alianzas y/o convenios con centros de investigación y otras entidades </t>
  </si>
  <si>
    <t>Número de alianzas y/o convenios suscritos</t>
  </si>
  <si>
    <t>Promover la actualización continua de los investigadores en metodologías y herramientas para la investigación.</t>
  </si>
  <si>
    <t>Capacitaciones dirigidas a investigadores en temas de ciencia, tecnología e innovación </t>
  </si>
  <si>
    <t>Responsable</t>
  </si>
  <si>
    <t>Promover la Universidad como destino y experiencia educativa, fomentando entre otras: las pasantías y los campos de verano para extranjeros.</t>
  </si>
  <si>
    <t>Incorporar nuestro claustro universitario al mundo, para dialogar con él, intercambiar saberes, ex­periencias y conocimientos.</t>
  </si>
  <si>
    <t>Encuentros con participación internacional en la Universidad de Cundinamarca.</t>
  </si>
  <si>
    <t xml:space="preserve">Número de encuentros </t>
  </si>
  <si>
    <t>Internacionalización</t>
  </si>
  <si>
    <t>Número de docentes extranjeros invitados</t>
  </si>
  <si>
    <t>Gestionar la Internacionalización, coadyuvando a la movilidad académica de profesores, estudiantes e investigadores, para fortalecer los procesos de enseñanza-aprendizaje y romper las fronteras del saber.</t>
  </si>
  <si>
    <t xml:space="preserve">Movilidad Académica de docente entrante y saliente </t>
  </si>
  <si>
    <t>Número de docentes nacionales participantes en el intercambio</t>
  </si>
  <si>
    <t>Número de docentes internacionales participantes en el intercambio</t>
  </si>
  <si>
    <t xml:space="preserve">Movilidad Académica de estudiantes entrante y saliente </t>
  </si>
  <si>
    <t>Número de estudiantes nacionales participantes en el intercambio</t>
  </si>
  <si>
    <t>Número de estudiantes internacionales participantes en el intercambio</t>
  </si>
  <si>
    <t>Número de estudiantes nacionales e internacional participantes en pasantía</t>
  </si>
  <si>
    <t xml:space="preserve">Movilidad Académica de  administrativos de planta nacional entrante y saliente </t>
  </si>
  <si>
    <t>Número de administrativos de planta nacional participantes en el intercambio</t>
  </si>
  <si>
    <t>Realizar campos de verano con enfoque internacional</t>
  </si>
  <si>
    <t>Internacionalización científica, mediante el establecimiento de alianzas para la conformación de redes de conocimiento.</t>
  </si>
  <si>
    <t>Promover convenios internacionales con universidades acreditadas en sus países de origen.</t>
  </si>
  <si>
    <t xml:space="preserve">Convenios internacionales </t>
  </si>
  <si>
    <t>Número de convenios firmados y activos</t>
  </si>
  <si>
    <t xml:space="preserve">Articulación con interacción universitaria, en el programa de voluntariado </t>
  </si>
  <si>
    <t>Número de voluntarios movilizados</t>
  </si>
  <si>
    <t>Promover e incentivar el bilingüismo en toda la comunidad universitaria</t>
  </si>
  <si>
    <t>Propiciar la enseñanza de otros idiomas, así como la creación de un instituto de lenguas extranjeras.</t>
  </si>
  <si>
    <t>Promover e incentivar el multilingüismo en la comunidad académica.</t>
  </si>
  <si>
    <t xml:space="preserve">Un centro de idiomas creado. </t>
  </si>
  <si>
    <t>Facultad de Ciencoas Sociales, Humanidades y Ciencias Políticas</t>
  </si>
  <si>
    <t>Proyectos conjuntos de investigación internacional</t>
  </si>
  <si>
    <t>Número de seguimientos a la articulación con ciencia, tecnología e innovación en cuanto a investigación conjunta </t>
  </si>
  <si>
    <t xml:space="preserve">Internacionalización </t>
  </si>
  <si>
    <t>Fomentar e incentivar la cultura de investigación, en trabajo conjunto con grupos reconocidos a nivel internacional.</t>
  </si>
  <si>
    <t xml:space="preserve">Seguimiento a los ejecicios realizados para internacionalización de currículo </t>
  </si>
  <si>
    <t>Número de proyectos de investigación internacional</t>
  </si>
  <si>
    <t xml:space="preserve">Facultad de Ciencias  Agropecuarias </t>
  </si>
  <si>
    <t>Reporte de número de publicaciones internacionales  conjuntas 
(Agropecuarias 2)
(Humanidades (1)</t>
  </si>
  <si>
    <t xml:space="preserve">Reconocimientos nacionales e internacionales recibidos por parte de la comunidad académica en la disciplina </t>
  </si>
  <si>
    <t>Número de reconocimientos</t>
  </si>
  <si>
    <t>Adoptar las buenas prácticas de la gestión universitaria.</t>
  </si>
  <si>
    <t>Diseñar, consolidar e institucionalizar un gobierno digital universitario.</t>
  </si>
  <si>
    <t>Trámites de procesos académicos y administrativos realizados en línea</t>
  </si>
  <si>
    <t>Número de procesos académicos en línea 
(variación en 4 años)</t>
  </si>
  <si>
    <t xml:space="preserve">Sistemas y Tecnologia </t>
  </si>
  <si>
    <t xml:space="preserve">Rediseño y fortalecimiento de la intranet, como un medio interno accesible a todos los funcionarios, trabajadores oficiales y contratistas, con un medio de comunicación interna  </t>
  </si>
  <si>
    <t>Porcentaje de funcionamiento de la intranet</t>
  </si>
  <si>
    <t xml:space="preserve">Modernización de la infraestructura tecnológica de las sedes de la universidad </t>
  </si>
  <si>
    <t>Instalación y puesta en marcha de los sistema de Video Conferencia y Carteleras Informativas Digitales en tiempo real al 100 % para las Seccionales, Extensiones,  Oficina Bogotá y Sede Principal de la Universidad de  Cundinamarca.</t>
  </si>
  <si>
    <t>Porcentaje de implementación del Portal Cautivo al interior del campus y fortalecimiento de la cobertura WiFi en el campus Fusagasugá.</t>
  </si>
  <si>
    <t>Porcentaje de implementacion de un sistema de monitoreo de servicios críticos, backup de información administrativa, adquisición de stock de respaldo para la infraestructura tecnológica alojada en datacenter y actualización de las licencias de motor de base de datos.</t>
  </si>
  <si>
    <t>Sostenimiento del Licenciamiento Corporativo y actualizacion, soporte de la plataforma academico administrativa (Academusoft y Gestasoft) de la Universidad de Cundinamarca al 100%</t>
  </si>
  <si>
    <t>Implementación de la Red Social Corporativa YAMMER u otra al 100%</t>
  </si>
  <si>
    <t>Porcentaje de actualización y fortalecimiento de los recursos informáticos de la Universidad de Cundinamarca.</t>
  </si>
  <si>
    <t>Avance de implementación del Modelo de Planeación
(Planeación)</t>
  </si>
  <si>
    <t>Número de buenas prácticas documentadas </t>
  </si>
  <si>
    <t>Diseño e implementacion del Sistema de Información Estadístico </t>
  </si>
  <si>
    <t>Reportes y estudios emitidos por el sistema estadístico</t>
  </si>
  <si>
    <t>Reportes y estudios financieros, administrativos y académicos realizados</t>
  </si>
  <si>
    <t>Reporte de caracterización de la población universitaria </t>
  </si>
  <si>
    <t>(Gestión Financiera y presupuestal)</t>
  </si>
  <si>
    <t>Dirección Financiera</t>
  </si>
  <si>
    <t>Tesorero
Responsables de Estampillas</t>
  </si>
  <si>
    <t xml:space="preserve">Porcentaje de cumplimiento a la ejecución presupuestal pasiva </t>
  </si>
  <si>
    <t xml:space="preserve">Responsables de Rubro </t>
  </si>
  <si>
    <t xml:space="preserve">Porcentaje de cumplimiento a la ejecución presupuestal pasiva de la Seccional Girardot </t>
  </si>
  <si>
    <t>Director de Seccional Girardot</t>
  </si>
  <si>
    <t>Cumplimiento de gestión de recursos por Ley Tributaria No. 1819 de 2016 por concepto de transferencias de Cooperativas (expresado en millones)</t>
  </si>
  <si>
    <t>Directores de Seccionales y Extensiones</t>
  </si>
  <si>
    <t>Número de estudios de administracion financiera desglosados por sede, seccionales, extensiones y programa académico</t>
  </si>
  <si>
    <t xml:space="preserve">Seguimiento a los indicadores financieros de la universidad </t>
  </si>
  <si>
    <t>Contabilidad 
Presupuesto 
Tesoreria</t>
  </si>
  <si>
    <t>Almacen
Directores de Seccionales y Extensiones</t>
  </si>
  <si>
    <t xml:space="preserve">Dirección de Bienes y Servicios </t>
  </si>
  <si>
    <t>Recursos Físicos
Directores de Seccionales y Extensiones</t>
  </si>
  <si>
    <t>Porcentaje de contratos tramitados por el SECOP</t>
  </si>
  <si>
    <t>Compras</t>
  </si>
  <si>
    <t>Porcentaje de cumplimiento al PAA</t>
  </si>
  <si>
    <t>Cumplimiento del mantenimientos preventivo y correctivo de infraestructura</t>
  </si>
  <si>
    <t>Recursos Físicos</t>
  </si>
  <si>
    <t xml:space="preserve">Cumplimiento del Plan de Mantenimiento preventivo y correctivo de equipo automotor </t>
  </si>
  <si>
    <t xml:space="preserve">Cumplimiento de las actividades de Mantenimiento preventivo y correctivo de infraestructura en seccionales y extensiones </t>
  </si>
  <si>
    <t xml:space="preserve">Cumplimiento de las actividades de Mantenimiento preventivo y correctivo de equipo automotor en seccionales y extensiones  </t>
  </si>
  <si>
    <t>Número de tramites racionalizados (SUIT) 
Aplazamiento del semestre 
Reingreso a un programa académico
Transferencia de estudiantes de pregrado
Grados de pregrado y posgrado</t>
  </si>
  <si>
    <t xml:space="preserve">Número de estratégias del componente rendición de cuentas </t>
  </si>
  <si>
    <t xml:space="preserve">Número de incentivos otorgados </t>
  </si>
  <si>
    <t xml:space="preserve">Número de estratégias del componente atención al ciudadano </t>
  </si>
  <si>
    <t>Atenciónm al Ciudadano</t>
  </si>
  <si>
    <t>Evaluación de satisfacción del usuario</t>
  </si>
  <si>
    <t>Número de mecánismos del componente transparencia implementados </t>
  </si>
  <si>
    <t>Número de análisis de caracterización del ususario </t>
  </si>
  <si>
    <t xml:space="preserve">Número de documentos archivisticos realizados </t>
  </si>
  <si>
    <t xml:space="preserve">Archivo Documental </t>
  </si>
  <si>
    <t xml:space="preserve">Porcentaje de digitalización de documentos </t>
  </si>
  <si>
    <t>(Comunicaciones)</t>
  </si>
  <si>
    <t>Porcantaje de avance en el cumplimiento del plan de impresos y comunicaciones</t>
  </si>
  <si>
    <t xml:space="preserve">Porcentaje de cumplimiento del plan de medios </t>
  </si>
  <si>
    <t>Implementación del programa de protócolo de actividades </t>
  </si>
  <si>
    <t>Estrategia para lograr un resutado por encima de los 4 puntos sobre 5 en la evaluación de la percepción de la imagen institucional</t>
  </si>
  <si>
    <t>Evaluación de los medios de ocmunicación utilizados y su impacto en la comunidad (100% de los medios evaluados)</t>
  </si>
  <si>
    <t>Jurídica</t>
  </si>
  <si>
    <t>Brindar asesoría jurídica  a través de la emisión de conceptos (Cumplimiento en los tiempos de respuesta de ley)</t>
  </si>
  <si>
    <t>Realizar sensibilizaciones dirigidas a la comunidad universitaria (Número de sensibilizaciones realizadas)</t>
  </si>
  <si>
    <t>Establecer protocolos y lineamientos jurídicos sobre procesos y procedimientos de la universidad  (Numero de protocolos establecidos)</t>
  </si>
  <si>
    <t>Tiempos de respuesta de revisión de documentos en proceso de creación, actualización (Cumplimiento en los tiempos de respuesta de ley)</t>
  </si>
  <si>
    <t>Actualización de Estatutos (revisión, actualización, consolidación y presentación de los estatutos de graduado y disciplinario) (Número de documentos actualizados  )</t>
  </si>
  <si>
    <t>Porcentaje de éxito en la representación judicial y extrajudicial de la Universidad. (Porcentaje de casos éxitos )</t>
  </si>
  <si>
    <t>Identificación de líneas estratégicas potenciadoras del talento humano para la obtención de objetivos y metas institucionales en armonía con el desarrollo personal.</t>
  </si>
  <si>
    <t>Diseñar, establecer y desarrollar un modelo de gestión de talento humano que responda a los fines que persigue la Universidad de Cundinamarca</t>
  </si>
  <si>
    <t>Talento Humano 
(Desarrollar y gestionar estrategicamente el talento humano)</t>
  </si>
  <si>
    <t>creación del programa de inducción y cualificación para miembros de maximos organos de gobierno</t>
  </si>
  <si>
    <t xml:space="preserve">creación del programa de inducción y cualificación para el personal vinculado a la universidad </t>
  </si>
  <si>
    <t>Inducciones y reinducciones especficas realizadas al año:
Planeación, Compras, Financiera</t>
  </si>
  <si>
    <t>Planeación, Compras, Financiera</t>
  </si>
  <si>
    <t xml:space="preserve">Inducciones y reinducciones especficas realizadas al año en seccionales y extensiones </t>
  </si>
  <si>
    <t xml:space="preserve">Número de actividades realizadas del Plan de Incentivos y Bienestar Laboral </t>
  </si>
  <si>
    <t xml:space="preserve">Porcentaje de cumplimiento al Plan Institucional de Capacitación </t>
  </si>
  <si>
    <t>estudios y analisis del personal de acuerdo a vinculación</t>
  </si>
  <si>
    <t>propuesta para el beneficio de apoyo posgradual (compartido con planeación)</t>
  </si>
  <si>
    <t xml:space="preserve">Talento Humano
Planeación Institucional </t>
  </si>
  <si>
    <t xml:space="preserve"> La planeación, la evaluación, el seguimiento y el control deben ser permanentes, logrando certificar ante entes externos los procesos administrativos y académicos.
</t>
  </si>
  <si>
    <t xml:space="preserve">Alcanzar procesos certificados, que permitan la construcción y la constante transformación de la Universidad. </t>
  </si>
  <si>
    <t xml:space="preserve">Implementación del sistema integrado de gestión </t>
  </si>
  <si>
    <t xml:space="preserve">porcentaje de implementación </t>
  </si>
  <si>
    <t>Oficina de Calidad</t>
  </si>
  <si>
    <t>Promover la capacitación del personal en temas de gestión de la calidad, gestión seguridad y salud en el trabajo, gestión ambiental, gestión de seguridad de la información </t>
  </si>
  <si>
    <t xml:space="preserve">Mantenimiento de la certificación del Sistema de Gestión de la Calidad. </t>
  </si>
  <si>
    <t>Mantenimiento de la Certificación SGC</t>
  </si>
  <si>
    <t>Elaboración de la política de administracion del riesgo</t>
  </si>
  <si>
    <t xml:space="preserve"> Reportes de administración del Riesgo</t>
  </si>
  <si>
    <t xml:space="preserve">Implementación del sistema de gestión ambiental </t>
  </si>
  <si>
    <t xml:space="preserve">Número de documentos formalizados </t>
  </si>
  <si>
    <t xml:space="preserve">Número de actividades de implementación, socialización y capacitación realizadas en seccionales y extensiones </t>
  </si>
  <si>
    <t>Implementación del Sistema de Seguridad y Salud en el Trabajo</t>
  </si>
  <si>
    <t xml:space="preserve">Porcentaje de implementación del decreto 1072 </t>
  </si>
  <si>
    <t>Seguridad y Salud en el Trabajo</t>
  </si>
  <si>
    <t>Porcentaje de cumplimiento al plan de trabajo del Sistema de Seguridad y Salud en el Trabajo</t>
  </si>
  <si>
    <t xml:space="preserve">Procurar la desconcentración de los procesos administrativos y la sostenibilidad
financiera será una prioridad. </t>
  </si>
  <si>
    <t>Fortalecer los recursos propios a través de la celebración de convenios interinstitucionales</t>
  </si>
  <si>
    <t xml:space="preserve">Establecer relaciones interinstitucionales con otras entidades del sector público. </t>
  </si>
  <si>
    <t>Proyectos Especiales</t>
  </si>
  <si>
    <t>Suscribir alianzas estratégicas mediante convenios de cooperación y/o asociación.</t>
  </si>
  <si>
    <t xml:space="preserve">Número de alianzas estratégicas mediante
convenios empresariales. </t>
  </si>
  <si>
    <t>ESTRATEGICO</t>
  </si>
  <si>
    <t>CALIDAD</t>
  </si>
  <si>
    <t>EFICACIA DE PROCESOS</t>
  </si>
  <si>
    <t>MEN</t>
  </si>
  <si>
    <t>PRODUCTO O RESULTADO</t>
  </si>
  <si>
    <t>SUE</t>
  </si>
  <si>
    <t xml:space="preserve">GESTIÓN </t>
  </si>
  <si>
    <t>SPADIES</t>
  </si>
  <si>
    <t>DIRECCIONAMIENTO ESTRATÉGICO</t>
  </si>
  <si>
    <t xml:space="preserve">Actividades culturales realizadas por cada una de las seccionales y extensiones </t>
  </si>
  <si>
    <t>Informe de seguimiento de educación continuada al año</t>
  </si>
  <si>
    <t>un encuentro anual de investigadores entre universidades.</t>
  </si>
  <si>
    <t xml:space="preserve">Número de investigadores participantes de capacitaciones </t>
  </si>
  <si>
    <t>un campo de verano realizado</t>
  </si>
  <si>
    <t>Número de acciones realizadas</t>
  </si>
  <si>
    <t xml:space="preserve">Porcentaje de cumplimiento al recaudo presupuestal </t>
  </si>
  <si>
    <t xml:space="preserve">Número de convenios interinstitucionales entablados </t>
  </si>
  <si>
    <t>Implementación del sistema de gestión de seguridad de la información</t>
  </si>
  <si>
    <t>Porcentaje de implementación de la política de Tratamiento de Riesgos de Seguridad de la Información</t>
  </si>
  <si>
    <t>Porcentaje de iimplementación de las actividades de Privacidad de la Información</t>
  </si>
  <si>
    <t>Porcentaje de implementación de la Política de Gobierno Digital</t>
  </si>
  <si>
    <t>Número de análisis trimestrales realizados a los mecánismos de control fiscal </t>
  </si>
  <si>
    <t xml:space="preserve">Número de estratégias encaminadas a la Reducicción en uun 8% del número de resmas de papel utilizadas por cada oficina </t>
  </si>
  <si>
    <t xml:space="preserve">Número de estratégias encaminadas a la Reducción en un 10% del consumo de agua por sede </t>
  </si>
  <si>
    <t>Número de estratégias encaminadas a la Reducción en un 10% del consumo de kw/hora de energía por sede</t>
  </si>
  <si>
    <t>Número de estratégias encaminadas a la Disminución del pagos totales por concepto de alquiler de espacos físicos </t>
  </si>
  <si>
    <t xml:space="preserve">medicion del indice de ausentismo laboral </t>
  </si>
  <si>
    <t>Porcentaje de campos de aprendizaje institucionales dinamizados tecnológicamente / No. total de campos de aprendizaje institucionales diseñados por las facultades</t>
  </si>
  <si>
    <t>Porcentaje de diseño e implementación del campo de aprendizaje cultural propuesto por la Oficina de Educación Virtual y a Distancia</t>
  </si>
  <si>
    <t>Porcentaje de profesores (líderes) acompañados en el proceso de construcción de los CADIs desde la dinamización tecnológica / Número total de profesores (líderes) estimados para el diseño de estos campos.</t>
  </si>
  <si>
    <t>Fortalecer la virtualidad como apoyo a los procesos de aprendizaje, con el fin de atender la demanda educativa.</t>
  </si>
  <si>
    <t>Número de profesores capacitados a través del circuito de formación en el ámbito de competencia digital /No. total de profesores participantes en el circuito de formación estimados por el comité de la Escuela de formación docente.</t>
  </si>
  <si>
    <t xml:space="preserve">Convenios internacionales con redes de conocimiento </t>
  </si>
  <si>
    <t>Número de convenios con redes de conocimiento firmados y activos</t>
  </si>
  <si>
    <t xml:space="preserve">Internacionalización de curriculo </t>
  </si>
  <si>
    <t xml:space="preserve">Número de programas con doble titulación </t>
  </si>
  <si>
    <t xml:space="preserve">Número de programas con enfoque internacionalización "PROGRAMAS CON AULA ESPEJO" </t>
  </si>
  <si>
    <t>Gestión, preservación y mantenimiento de los recursos fisicos muebles e inmuebles de la universidad</t>
  </si>
  <si>
    <t xml:space="preserve">Gestión de la contratación de la universidad </t>
  </si>
  <si>
    <t xml:space="preserve">Implementación y desarrollo del Plan de Austeridad </t>
  </si>
  <si>
    <t xml:space="preserve">Directores de Seccionales y extensiones 
Posgrados </t>
  </si>
  <si>
    <t>Número de Actividades culturales  realizadas por las seccionales y extensiones  (travesia por Cundinamarca, Día de la Familia Udecina, muestra artistica, Catedra de rectores)
Posgrados (Congreso ambiental, expedición Quinini)</t>
  </si>
  <si>
    <t>campo de aprendizaje Ciudadanía S21 
Comunciación y pensamiento critico
Lengua extranjera</t>
  </si>
  <si>
    <t>campo de aprendizaje Ciencia, Tecnología e Innovación </t>
  </si>
  <si>
    <t>campo de aprendizaje Emprendimiento e Innovación </t>
  </si>
  <si>
    <t>campo de aprendizaje Pensamiento matemático </t>
  </si>
  <si>
    <t>campo de aprendizaje Serenata por Cundinamarca </t>
  </si>
  <si>
    <t>campo de aprendizaje Arcilla</t>
  </si>
  <si>
    <t>campo de aprendizaje  Cibercultura Ucundinamarca generación siglo 21</t>
  </si>
  <si>
    <t>Campo de aprendizaje Cultura y Territorio</t>
  </si>
  <si>
    <t>campo de aprendizaje  Zona de orientación comunitaria </t>
  </si>
  <si>
    <t>campo de aprendizaje Actividad física para la vida </t>
  </si>
  <si>
    <t xml:space="preserve">campo de aprendizaje Paz-ciencia </t>
  </si>
  <si>
    <t>campo de aprendizaje La ingenieria como agente trasnformador de la generación siglo 21 </t>
  </si>
  <si>
    <t xml:space="preserve">Ambiental </t>
  </si>
  <si>
    <t xml:space="preserve">Calidad </t>
  </si>
  <si>
    <t>Seguridad de la Información</t>
  </si>
  <si>
    <t>Fromulación y seguimiento al Plan Anticorrupción y Atención al Ciudadano</t>
  </si>
  <si>
    <t>Gestión Documental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</si>
</sst>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quot;$&quot;* #,##0.00_-;\-&quot;$&quot;* #,##0.00_-;_-&quot;$&quot;* &quot;-&quot;??_-;_-@_-"/>
    <numFmt numFmtId="166" formatCode="0.0%"/>
    <numFmt numFmtId="167" formatCode="0.0"/>
  </numFmts>
  <fonts count="31" x14ac:knownFonts="1">
    <font>
      <sz val="11"/>
      <color theme="1"/>
      <name val="Calibri"/>
      <family val="2"/>
      <scheme val="minor"/>
    </font>
    <font>
      <sz val="11"/>
      <color theme="1"/>
      <name val="Calibri"/>
      <family val="2"/>
      <scheme val="minor"/>
    </font>
    <font>
      <b/>
      <sz val="10"/>
      <color theme="1"/>
      <name val="Arial Narrow"/>
      <family val="2"/>
    </font>
    <font>
      <sz val="10"/>
      <color rgb="FF000000"/>
      <name val="Arial Narrow"/>
      <family val="2"/>
    </font>
    <font>
      <sz val="10"/>
      <color theme="1"/>
      <name val="Arial Narrow"/>
      <family val="2"/>
    </font>
    <font>
      <sz val="10"/>
      <color theme="0"/>
      <name val="Arial Narrow"/>
      <family val="2"/>
    </font>
    <font>
      <b/>
      <sz val="10"/>
      <color theme="0"/>
      <name val="Arial Narrow"/>
      <family val="2"/>
    </font>
    <font>
      <b/>
      <sz val="10"/>
      <color rgb="FFFFFFFF"/>
      <name val="Arial Narrow"/>
      <family val="2"/>
    </font>
    <font>
      <b/>
      <sz val="11"/>
      <color theme="0"/>
      <name val="Calibri"/>
      <family val="2"/>
      <scheme val="minor"/>
    </font>
    <font>
      <sz val="11"/>
      <color theme="1"/>
      <name val="Segoe UI"/>
      <family val="2"/>
    </font>
    <font>
      <b/>
      <sz val="14"/>
      <color theme="0"/>
      <name val="Calibri"/>
      <family val="2"/>
      <scheme val="minor"/>
    </font>
    <font>
      <b/>
      <sz val="16"/>
      <color rgb="FF003E3D"/>
      <name val="Calibri"/>
      <family val="2"/>
      <scheme val="minor"/>
    </font>
    <font>
      <b/>
      <sz val="20"/>
      <color rgb="FF003E3D"/>
      <name val="Calibri"/>
      <family val="2"/>
      <scheme val="minor"/>
    </font>
    <font>
      <b/>
      <sz val="20"/>
      <name val="Calibri"/>
      <family val="2"/>
      <scheme val="minor"/>
    </font>
    <font>
      <b/>
      <sz val="10"/>
      <color rgb="FF000000"/>
      <name val="Arial Narrow"/>
      <family val="2"/>
    </font>
    <font>
      <b/>
      <sz val="11"/>
      <color theme="1"/>
      <name val="Calibri"/>
      <family val="2"/>
      <scheme val="minor"/>
    </font>
    <font>
      <sz val="10"/>
      <color theme="1"/>
      <name val="Segoe UI"/>
      <family val="2"/>
    </font>
    <font>
      <b/>
      <sz val="11"/>
      <color rgb="FFFF0000"/>
      <name val="Arial Narrow"/>
      <family val="2"/>
    </font>
    <font>
      <b/>
      <sz val="12"/>
      <color theme="1"/>
      <name val="Arial Narrow"/>
      <family val="2"/>
    </font>
    <font>
      <b/>
      <sz val="11"/>
      <color theme="1"/>
      <name val="Arial Narrow"/>
      <family val="2"/>
    </font>
    <font>
      <sz val="11"/>
      <color theme="1"/>
      <name val="Arial Narrow"/>
      <family val="2"/>
    </font>
    <font>
      <b/>
      <sz val="12"/>
      <color rgb="FFFF0000"/>
      <name val="Arial Narrow"/>
      <family val="2"/>
    </font>
    <font>
      <b/>
      <sz val="18"/>
      <color rgb="FFFFFFFF"/>
      <name val="Calibri"/>
      <family val="2"/>
    </font>
    <font>
      <sz val="18"/>
      <color rgb="FF000000"/>
      <name val="Calibri"/>
      <family val="2"/>
    </font>
    <font>
      <sz val="12"/>
      <color theme="1"/>
      <name val="Arial Narrow"/>
      <family val="2"/>
    </font>
    <font>
      <b/>
      <sz val="10"/>
      <color rgb="FFFF0000"/>
      <name val="Arial Narrow"/>
      <family val="2"/>
    </font>
    <font>
      <sz val="11"/>
      <color rgb="FFFF0000"/>
      <name val="Calibri"/>
      <family val="2"/>
      <scheme val="minor"/>
    </font>
    <font>
      <sz val="10"/>
      <color rgb="FFFF0000"/>
      <name val="Arial Narrow"/>
      <family val="2"/>
    </font>
    <font>
      <b/>
      <sz val="10"/>
      <color rgb="FF0F3D38"/>
      <name val="Arial Narrow"/>
      <family val="2"/>
    </font>
    <font>
      <b/>
      <sz val="11"/>
      <color rgb="FF0F3D38"/>
      <name val="Arial Narrow"/>
      <family val="2"/>
    </font>
    <font>
      <sz val="10"/>
      <color rgb="FF0F3D38"/>
      <name val="Arial Narrow"/>
      <family val="2"/>
    </font>
  </fonts>
  <fills count="14">
    <fill>
      <patternFill patternType="none"/>
    </fill>
    <fill>
      <patternFill patternType="gray125"/>
    </fill>
    <fill>
      <patternFill patternType="solid">
        <fgColor rgb="FFEDE395"/>
        <bgColor indexed="64"/>
      </patternFill>
    </fill>
    <fill>
      <patternFill patternType="solid">
        <fgColor rgb="FF0F3D38"/>
        <bgColor indexed="64"/>
      </patternFill>
    </fill>
    <fill>
      <patternFill patternType="solid">
        <fgColor theme="0" tint="-4.9989318521683403E-2"/>
        <bgColor indexed="64"/>
      </patternFill>
    </fill>
    <fill>
      <patternFill patternType="solid">
        <fgColor rgb="FF003E3D"/>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8" tint="0.79998168889431442"/>
        <bgColor indexed="64"/>
      </patternFill>
    </fill>
  </fills>
  <borders count="18">
    <border>
      <left/>
      <right/>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s>
  <cellStyleXfs count="3">
    <xf numFmtId="0" fontId="0" fillId="0" borderId="0"/>
    <xf numFmtId="9" fontId="1" fillId="0" borderId="0" applyFont="0" applyFill="0" applyBorder="0" applyAlignment="0" applyProtection="0"/>
    <xf numFmtId="165" fontId="1" fillId="0" borderId="0" applyFont="0" applyFill="0" applyBorder="0" applyAlignment="0" applyProtection="0"/>
  </cellStyleXfs>
  <cellXfs count="214">
    <xf numFmtId="0" fontId="0" fillId="0" borderId="0" xfId="0"/>
    <xf numFmtId="0" fontId="6"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0" borderId="0" xfId="0" applyFont="1"/>
    <xf numFmtId="0" fontId="2" fillId="0" borderId="0" xfId="0" applyFont="1"/>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8" fillId="0" borderId="0" xfId="0" applyFont="1" applyAlignment="1">
      <alignment horizontal="center" vertical="center"/>
    </xf>
    <xf numFmtId="0" fontId="0" fillId="4" borderId="0" xfId="0" applyFill="1"/>
    <xf numFmtId="0" fontId="10" fillId="5" borderId="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1" fillId="4" borderId="7" xfId="0" applyFont="1" applyFill="1" applyBorder="1"/>
    <xf numFmtId="166" fontId="12" fillId="4" borderId="7" xfId="1" applyNumberFormat="1" applyFont="1" applyFill="1" applyBorder="1"/>
    <xf numFmtId="165" fontId="12" fillId="4" borderId="3" xfId="2" applyFont="1" applyFill="1" applyBorder="1"/>
    <xf numFmtId="166" fontId="12" fillId="4" borderId="3" xfId="1" applyNumberFormat="1" applyFont="1" applyFill="1" applyBorder="1"/>
    <xf numFmtId="0" fontId="11" fillId="4" borderId="4" xfId="0" applyFont="1" applyFill="1" applyBorder="1"/>
    <xf numFmtId="166" fontId="12" fillId="4" borderId="4" xfId="1" applyNumberFormat="1" applyFont="1" applyFill="1" applyBorder="1"/>
    <xf numFmtId="0" fontId="11" fillId="4" borderId="5" xfId="0" applyFont="1" applyFill="1" applyBorder="1"/>
    <xf numFmtId="166" fontId="12" fillId="4" borderId="5" xfId="1" applyNumberFormat="1" applyFont="1" applyFill="1" applyBorder="1"/>
    <xf numFmtId="164" fontId="13" fillId="4" borderId="3" xfId="0" applyNumberFormat="1" applyFont="1" applyFill="1" applyBorder="1"/>
    <xf numFmtId="0" fontId="10" fillId="5" borderId="7" xfId="0" applyFont="1" applyFill="1" applyBorder="1" applyAlignment="1">
      <alignment horizontal="center" vertical="center" wrapText="1"/>
    </xf>
    <xf numFmtId="0" fontId="2" fillId="0" borderId="0" xfId="0" applyFont="1" applyAlignment="1">
      <alignment horizontal="center" vertical="center"/>
    </xf>
    <xf numFmtId="0" fontId="15" fillId="0" borderId="0" xfId="0" applyFont="1"/>
    <xf numFmtId="0" fontId="7" fillId="3" borderId="10" xfId="0" applyFont="1" applyFill="1" applyBorder="1" applyAlignment="1">
      <alignment horizontal="center" vertical="center" wrapText="1"/>
    </xf>
    <xf numFmtId="0" fontId="4" fillId="2" borderId="3" xfId="0" applyFont="1" applyFill="1" applyBorder="1"/>
    <xf numFmtId="9" fontId="4" fillId="0" borderId="0" xfId="1" applyFont="1" applyAlignment="1">
      <alignment horizontal="center" vertical="center"/>
    </xf>
    <xf numFmtId="9" fontId="5" fillId="0" borderId="0" xfId="1" applyFont="1" applyAlignment="1">
      <alignment horizontal="center" vertical="center"/>
    </xf>
    <xf numFmtId="9" fontId="0" fillId="0" borderId="0" xfId="1" applyFont="1" applyAlignment="1">
      <alignment horizontal="center" vertical="center"/>
    </xf>
    <xf numFmtId="9" fontId="4" fillId="0" borderId="0" xfId="0" applyNumberFormat="1" applyFont="1"/>
    <xf numFmtId="9" fontId="5" fillId="6" borderId="0" xfId="0" applyNumberFormat="1" applyFont="1" applyFill="1"/>
    <xf numFmtId="0" fontId="4" fillId="2" borderId="3" xfId="0" applyFont="1" applyFill="1" applyBorder="1" applyAlignment="1">
      <alignment horizontal="center"/>
    </xf>
    <xf numFmtId="9" fontId="5" fillId="0" borderId="0" xfId="0" applyNumberFormat="1" applyFont="1"/>
    <xf numFmtId="166" fontId="18" fillId="8" borderId="3" xfId="1" applyNumberFormat="1" applyFont="1" applyFill="1" applyBorder="1" applyAlignment="1">
      <alignment horizontal="center" vertical="center" wrapText="1"/>
    </xf>
    <xf numFmtId="166" fontId="0" fillId="0" borderId="0" xfId="0" applyNumberFormat="1"/>
    <xf numFmtId="0" fontId="4" fillId="0" borderId="0" xfId="0" applyFont="1" applyAlignment="1">
      <alignment horizontal="center"/>
    </xf>
    <xf numFmtId="16" fontId="0" fillId="0" borderId="0" xfId="0" applyNumberFormat="1"/>
    <xf numFmtId="2" fontId="4" fillId="0" borderId="0" xfId="0" applyNumberFormat="1" applyFont="1"/>
    <xf numFmtId="0" fontId="4" fillId="7" borderId="0" xfId="0" applyFont="1" applyFill="1"/>
    <xf numFmtId="166" fontId="18" fillId="9" borderId="3" xfId="1" applyNumberFormat="1" applyFont="1" applyFill="1" applyBorder="1" applyAlignment="1">
      <alignment horizontal="center" vertical="center" wrapText="1"/>
    </xf>
    <xf numFmtId="165" fontId="0" fillId="0" borderId="0" xfId="2" applyFont="1"/>
    <xf numFmtId="9" fontId="6" fillId="3" borderId="3" xfId="0" applyNumberFormat="1" applyFont="1" applyFill="1" applyBorder="1" applyAlignment="1">
      <alignment horizontal="center" vertical="center" wrapText="1"/>
    </xf>
    <xf numFmtId="9" fontId="15" fillId="0" borderId="0" xfId="0" applyNumberFormat="1" applyFont="1" applyAlignment="1">
      <alignment horizontal="center"/>
    </xf>
    <xf numFmtId="9" fontId="15" fillId="0" borderId="0" xfId="0" applyNumberFormat="1" applyFont="1"/>
    <xf numFmtId="166" fontId="18" fillId="10" borderId="3" xfId="1" applyNumberFormat="1" applyFont="1" applyFill="1" applyBorder="1" applyAlignment="1">
      <alignment horizontal="center" vertical="center" wrapText="1"/>
    </xf>
    <xf numFmtId="0" fontId="7" fillId="3" borderId="0" xfId="0" applyFont="1" applyFill="1" applyAlignment="1">
      <alignment horizontal="center" vertical="center"/>
    </xf>
    <xf numFmtId="0" fontId="4" fillId="0" borderId="0" xfId="0" applyFont="1" applyAlignment="1">
      <alignment horizontal="center" vertical="center" wrapText="1"/>
    </xf>
    <xf numFmtId="9" fontId="4" fillId="6" borderId="0" xfId="0" applyNumberFormat="1" applyFont="1" applyFill="1"/>
    <xf numFmtId="0" fontId="4" fillId="6" borderId="0" xfId="0" applyFont="1" applyFill="1"/>
    <xf numFmtId="166" fontId="18" fillId="2" borderId="3" xfId="1" applyNumberFormat="1" applyFont="1" applyFill="1" applyBorder="1" applyAlignment="1">
      <alignment horizontal="center" vertical="center" wrapText="1"/>
    </xf>
    <xf numFmtId="166" fontId="21" fillId="11" borderId="3" xfId="1" applyNumberFormat="1" applyFont="1" applyFill="1" applyBorder="1" applyAlignment="1">
      <alignment horizontal="center" vertical="center" wrapText="1"/>
    </xf>
    <xf numFmtId="166" fontId="18" fillId="11" borderId="3" xfId="1" applyNumberFormat="1" applyFont="1" applyFill="1" applyBorder="1" applyAlignment="1">
      <alignment horizontal="center" vertical="center" wrapText="1"/>
    </xf>
    <xf numFmtId="166" fontId="18" fillId="12" borderId="3" xfId="1" applyNumberFormat="1" applyFont="1" applyFill="1" applyBorder="1" applyAlignment="1">
      <alignment horizontal="center" vertical="center" wrapText="1"/>
    </xf>
    <xf numFmtId="166" fontId="21" fillId="12" borderId="3" xfId="1" applyNumberFormat="1" applyFont="1" applyFill="1" applyBorder="1" applyAlignment="1">
      <alignment horizontal="center" vertical="center" wrapText="1"/>
    </xf>
    <xf numFmtId="0" fontId="4" fillId="12" borderId="0" xfId="0" applyFont="1" applyFill="1"/>
    <xf numFmtId="0" fontId="4" fillId="10" borderId="0" xfId="0" applyFont="1" applyFill="1"/>
    <xf numFmtId="0" fontId="4" fillId="2" borderId="0" xfId="0" applyFont="1" applyFill="1"/>
    <xf numFmtId="0" fontId="4" fillId="11" borderId="0" xfId="0" applyFont="1" applyFill="1"/>
    <xf numFmtId="166" fontId="18" fillId="2" borderId="8" xfId="1" applyNumberFormat="1" applyFont="1" applyFill="1" applyBorder="1" applyAlignment="1">
      <alignment horizontal="center" vertical="center" wrapText="1"/>
    </xf>
    <xf numFmtId="166" fontId="18" fillId="9" borderId="8" xfId="1" applyNumberFormat="1" applyFont="1" applyFill="1" applyBorder="1" applyAlignment="1">
      <alignment horizontal="center" vertical="center" wrapText="1"/>
    </xf>
    <xf numFmtId="166" fontId="18" fillId="11" borderId="8" xfId="1" applyNumberFormat="1" applyFont="1" applyFill="1" applyBorder="1" applyAlignment="1">
      <alignment horizontal="center" vertical="center" wrapText="1"/>
    </xf>
    <xf numFmtId="166" fontId="18" fillId="12" borderId="8" xfId="1" applyNumberFormat="1" applyFont="1" applyFill="1" applyBorder="1" applyAlignment="1">
      <alignment horizontal="center" vertical="center" wrapText="1"/>
    </xf>
    <xf numFmtId="166" fontId="18" fillId="10" borderId="8" xfId="1" applyNumberFormat="1" applyFont="1" applyFill="1" applyBorder="1" applyAlignment="1">
      <alignment horizontal="center" vertical="center" wrapText="1"/>
    </xf>
    <xf numFmtId="9" fontId="4" fillId="0" borderId="0" xfId="1" applyFont="1"/>
    <xf numFmtId="9" fontId="0" fillId="0" borderId="0" xfId="1" applyFont="1"/>
    <xf numFmtId="9" fontId="22" fillId="0" borderId="15" xfId="0" applyNumberFormat="1" applyFont="1" applyBorder="1" applyAlignment="1">
      <alignment horizontal="center" vertical="center" wrapText="1" readingOrder="1"/>
    </xf>
    <xf numFmtId="9" fontId="23" fillId="0" borderId="16" xfId="0" applyNumberFormat="1" applyFont="1" applyBorder="1" applyAlignment="1">
      <alignment horizontal="center" vertical="center" wrapText="1" readingOrder="1"/>
    </xf>
    <xf numFmtId="9" fontId="23" fillId="0" borderId="17" xfId="0" applyNumberFormat="1" applyFont="1" applyBorder="1" applyAlignment="1">
      <alignment horizontal="center" vertical="center" wrapText="1" readingOrder="1"/>
    </xf>
    <xf numFmtId="9" fontId="0" fillId="0" borderId="0" xfId="0" applyNumberFormat="1"/>
    <xf numFmtId="2" fontId="15" fillId="0" borderId="0" xfId="0" applyNumberFormat="1" applyFont="1" applyAlignment="1">
      <alignment horizontal="center"/>
    </xf>
    <xf numFmtId="0" fontId="5" fillId="0" borderId="0" xfId="0" applyFont="1" applyAlignment="1">
      <alignment horizontal="center" vertical="center"/>
    </xf>
    <xf numFmtId="0" fontId="6" fillId="0" borderId="0" xfId="0" applyFont="1"/>
    <xf numFmtId="0" fontId="5" fillId="0" borderId="0" xfId="0" applyFont="1"/>
    <xf numFmtId="166" fontId="18" fillId="13" borderId="8" xfId="1" applyNumberFormat="1"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0" borderId="0" xfId="0" applyFont="1" applyAlignment="1">
      <alignment horizontal="center" vertical="center"/>
    </xf>
    <xf numFmtId="0" fontId="7" fillId="3" borderId="0" xfId="0" applyFont="1" applyFill="1" applyAlignment="1">
      <alignment horizontal="center" vertical="center" wrapText="1"/>
    </xf>
    <xf numFmtId="165" fontId="4" fillId="0" borderId="0" xfId="2" applyFont="1"/>
    <xf numFmtId="0" fontId="7" fillId="3" borderId="4" xfId="0" applyFont="1" applyFill="1" applyBorder="1" applyAlignment="1">
      <alignment horizontal="center" vertical="center" textRotation="255" wrapText="1"/>
    </xf>
    <xf numFmtId="0" fontId="0" fillId="0" borderId="0" xfId="0" applyAlignment="1">
      <alignment textRotation="255"/>
    </xf>
    <xf numFmtId="0" fontId="4" fillId="2" borderId="3" xfId="0" applyFont="1" applyFill="1" applyBorder="1" applyAlignment="1">
      <alignment horizontal="center" vertical="center" textRotation="90" wrapText="1"/>
    </xf>
    <xf numFmtId="0" fontId="4" fillId="2" borderId="6" xfId="0" applyFont="1" applyFill="1" applyBorder="1" applyAlignment="1">
      <alignment horizontal="center" vertical="center" textRotation="90"/>
    </xf>
    <xf numFmtId="0" fontId="4" fillId="2" borderId="4" xfId="0" applyFont="1" applyFill="1" applyBorder="1" applyAlignment="1">
      <alignment horizontal="center" vertical="center" textRotation="90"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5" fillId="0" borderId="0" xfId="0" applyFont="1" applyAlignment="1">
      <alignment horizontal="center" vertical="center" wrapText="1"/>
    </xf>
    <xf numFmtId="0" fontId="4" fillId="2" borderId="4" xfId="0" applyFont="1" applyFill="1" applyBorder="1" applyAlignment="1">
      <alignment horizontal="center" vertical="center" textRotation="90"/>
    </xf>
    <xf numFmtId="0" fontId="4" fillId="2" borderId="6" xfId="0" applyFont="1" applyFill="1" applyBorder="1" applyAlignment="1">
      <alignment horizontal="center" vertical="center" textRotation="90"/>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255"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2"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textRotation="90" wrapText="1"/>
    </xf>
    <xf numFmtId="0" fontId="4"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textRotation="90" wrapText="1"/>
    </xf>
    <xf numFmtId="0" fontId="19"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2" fillId="0" borderId="3" xfId="0" applyFont="1" applyBorder="1" applyAlignment="1">
      <alignment horizontal="center" vertical="center"/>
    </xf>
    <xf numFmtId="9" fontId="2" fillId="0" borderId="3" xfId="0" applyNumberFormat="1" applyFont="1" applyBorder="1" applyAlignment="1">
      <alignment horizontal="center" vertical="center" wrapText="1"/>
    </xf>
    <xf numFmtId="9" fontId="20" fillId="0" borderId="3" xfId="0" applyNumberFormat="1"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9" fontId="29" fillId="0" borderId="3" xfId="1" applyFont="1" applyBorder="1" applyAlignment="1">
      <alignment horizontal="center" vertical="center" wrapText="1"/>
    </xf>
    <xf numFmtId="0" fontId="30" fillId="0" borderId="0" xfId="0" applyFont="1"/>
    <xf numFmtId="0" fontId="28" fillId="0" borderId="0" xfId="0" applyFont="1"/>
    <xf numFmtId="0" fontId="4" fillId="0" borderId="6" xfId="0" applyFont="1" applyBorder="1" applyAlignment="1">
      <alignment horizontal="center" textRotation="90" wrapText="1"/>
    </xf>
    <xf numFmtId="0" fontId="4" fillId="0" borderId="5" xfId="0" applyFont="1" applyBorder="1" applyAlignment="1">
      <alignment horizontal="center" vertical="center" textRotation="255" wrapText="1"/>
    </xf>
    <xf numFmtId="0" fontId="4"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1" xfId="0" applyFont="1" applyBorder="1" applyAlignment="1">
      <alignment horizontal="center" vertical="center" wrapText="1"/>
    </xf>
    <xf numFmtId="9" fontId="2" fillId="0" borderId="11"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textRotation="90" wrapText="1"/>
    </xf>
    <xf numFmtId="0" fontId="4" fillId="0" borderId="4" xfId="0" applyFont="1" applyBorder="1" applyAlignment="1">
      <alignment horizontal="center" vertical="center" textRotation="255" wrapText="1"/>
    </xf>
    <xf numFmtId="0" fontId="2"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vertical="center" textRotation="90" wrapText="1"/>
    </xf>
    <xf numFmtId="0" fontId="4" fillId="0" borderId="6" xfId="0" applyFont="1" applyBorder="1" applyAlignment="1">
      <alignment horizontal="center" vertical="center" wrapText="1"/>
    </xf>
    <xf numFmtId="0" fontId="2" fillId="0" borderId="6" xfId="0" applyFont="1" applyBorder="1" applyAlignment="1">
      <alignment horizontal="center" vertical="center" wrapText="1"/>
    </xf>
    <xf numFmtId="1" fontId="2" fillId="0" borderId="4"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1" fontId="2" fillId="0" borderId="11" xfId="0" applyNumberFormat="1" applyFont="1" applyBorder="1" applyAlignment="1">
      <alignment horizontal="center" vertical="center" wrapText="1"/>
    </xf>
    <xf numFmtId="0" fontId="2" fillId="0" borderId="11" xfId="0" applyFont="1" applyBorder="1" applyAlignment="1">
      <alignment horizontal="center" vertical="center" wrapText="1"/>
    </xf>
    <xf numFmtId="9" fontId="2" fillId="0" borderId="4" xfId="1" applyFont="1" applyBorder="1" applyAlignment="1">
      <alignment horizontal="center" vertical="center" wrapText="1"/>
    </xf>
    <xf numFmtId="0" fontId="4" fillId="0" borderId="4" xfId="0" applyFont="1" applyBorder="1" applyAlignment="1">
      <alignment horizontal="center" vertical="center" textRotation="90" wrapText="1"/>
    </xf>
    <xf numFmtId="0" fontId="25" fillId="0" borderId="4" xfId="0" applyFont="1" applyBorder="1" applyAlignment="1">
      <alignment horizontal="center" vertical="center" wrapText="1"/>
    </xf>
    <xf numFmtId="0" fontId="4" fillId="0" borderId="8" xfId="0" applyFont="1" applyBorder="1" applyAlignment="1">
      <alignment horizontal="center" vertical="center" wrapText="1"/>
    </xf>
    <xf numFmtId="0" fontId="25" fillId="0" borderId="3" xfId="0" applyFont="1" applyBorder="1" applyAlignment="1">
      <alignment horizontal="center" vertical="center" wrapText="1"/>
    </xf>
    <xf numFmtId="9" fontId="2" fillId="0" borderId="5" xfId="0" applyNumberFormat="1" applyFont="1" applyBorder="1" applyAlignment="1">
      <alignment horizontal="center" vertical="center" wrapText="1"/>
    </xf>
    <xf numFmtId="9" fontId="25" fillId="0" borderId="3" xfId="0" applyNumberFormat="1" applyFont="1" applyBorder="1" applyAlignment="1">
      <alignment horizontal="center" vertical="center"/>
    </xf>
    <xf numFmtId="9" fontId="2" fillId="0" borderId="3" xfId="1" applyFont="1" applyBorder="1" applyAlignment="1">
      <alignment horizontal="center" vertical="center" wrapText="1"/>
    </xf>
    <xf numFmtId="9" fontId="2" fillId="0" borderId="7" xfId="1"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5" fillId="0" borderId="3" xfId="0" applyFont="1" applyBorder="1" applyAlignment="1">
      <alignment horizontal="center" vertical="center"/>
    </xf>
    <xf numFmtId="0" fontId="2" fillId="0" borderId="7" xfId="0" applyFont="1" applyBorder="1" applyAlignment="1">
      <alignment horizontal="center" vertical="center" wrapText="1"/>
    </xf>
    <xf numFmtId="0" fontId="4" fillId="0" borderId="13" xfId="0" applyFont="1" applyBorder="1" applyAlignment="1">
      <alignment horizontal="center" vertical="center"/>
    </xf>
    <xf numFmtId="3" fontId="25" fillId="0" borderId="3" xfId="0" applyNumberFormat="1" applyFont="1" applyBorder="1" applyAlignment="1">
      <alignment horizontal="center" vertical="center" wrapText="1"/>
    </xf>
    <xf numFmtId="1" fontId="25"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3" fillId="0" borderId="8" xfId="0" applyFont="1" applyBorder="1" applyAlignment="1">
      <alignment horizontal="center" vertical="center" wrapText="1"/>
    </xf>
    <xf numFmtId="9" fontId="25" fillId="0" borderId="3" xfId="1" applyFont="1" applyBorder="1" applyAlignment="1">
      <alignment horizontal="center" vertical="center" wrapText="1"/>
    </xf>
    <xf numFmtId="1" fontId="25" fillId="0" borderId="3" xfId="0" applyNumberFormat="1" applyFont="1" applyBorder="1" applyAlignment="1">
      <alignment horizontal="center" vertical="center"/>
    </xf>
    <xf numFmtId="10" fontId="25" fillId="0" borderId="3" xfId="0" applyNumberFormat="1" applyFont="1" applyBorder="1" applyAlignment="1">
      <alignment horizontal="center" vertical="center"/>
    </xf>
    <xf numFmtId="0" fontId="4" fillId="0" borderId="12" xfId="0" applyFont="1" applyBorder="1" applyAlignment="1">
      <alignment horizontal="center" vertical="center" wrapText="1"/>
    </xf>
    <xf numFmtId="9" fontId="25" fillId="0" borderId="3" xfId="1" applyFont="1" applyBorder="1" applyAlignment="1">
      <alignment horizontal="center" vertical="center"/>
    </xf>
    <xf numFmtId="166" fontId="25" fillId="0" borderId="3" xfId="0" applyNumberFormat="1" applyFont="1" applyBorder="1" applyAlignment="1">
      <alignment horizontal="center" vertical="center"/>
    </xf>
    <xf numFmtId="0" fontId="4" fillId="0" borderId="6" xfId="0" applyFont="1" applyBorder="1" applyAlignment="1">
      <alignment horizontal="center" vertical="center"/>
    </xf>
    <xf numFmtId="0" fontId="24" fillId="0" borderId="4" xfId="0" applyFont="1" applyBorder="1" applyAlignment="1">
      <alignment horizontal="center" vertical="center" textRotation="90" wrapText="1"/>
    </xf>
    <xf numFmtId="0" fontId="24" fillId="0" borderId="6" xfId="0" applyFont="1" applyBorder="1" applyAlignment="1">
      <alignment horizontal="center" vertical="center" textRotation="90" wrapText="1"/>
    </xf>
    <xf numFmtId="4" fontId="2" fillId="0" borderId="3" xfId="0" applyNumberFormat="1" applyFont="1" applyBorder="1" applyAlignment="1">
      <alignment horizontal="center" vertical="center" wrapText="1"/>
    </xf>
    <xf numFmtId="4" fontId="25" fillId="0" borderId="3" xfId="0" applyNumberFormat="1" applyFont="1" applyBorder="1" applyAlignment="1">
      <alignment horizontal="center" vertical="center"/>
    </xf>
    <xf numFmtId="0" fontId="4" fillId="0" borderId="7" xfId="0" applyFont="1" applyBorder="1" applyAlignment="1">
      <alignment horizontal="center" vertical="center" textRotation="255" wrapText="1"/>
    </xf>
    <xf numFmtId="1" fontId="2" fillId="0" borderId="3" xfId="1" applyNumberFormat="1" applyFont="1" applyBorder="1" applyAlignment="1">
      <alignment horizontal="center" vertical="center" wrapText="1"/>
    </xf>
    <xf numFmtId="0" fontId="4" fillId="0" borderId="3" xfId="0" applyFont="1" applyBorder="1" applyAlignment="1">
      <alignment horizontal="center" vertical="center"/>
    </xf>
    <xf numFmtId="0" fontId="25" fillId="0" borderId="7" xfId="0" applyFont="1" applyBorder="1" applyAlignment="1">
      <alignment horizontal="center" vertical="center" wrapText="1"/>
    </xf>
    <xf numFmtId="0" fontId="24" fillId="0" borderId="5" xfId="0" applyFont="1" applyBorder="1" applyAlignment="1">
      <alignment horizontal="center" vertical="center" textRotation="90" wrapText="1"/>
    </xf>
    <xf numFmtId="3" fontId="4" fillId="0" borderId="4"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0" fontId="4" fillId="0" borderId="14"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16" fillId="0" borderId="4" xfId="0" applyFont="1" applyBorder="1" applyAlignment="1">
      <alignment horizontal="center" vertical="center" textRotation="90" wrapText="1"/>
    </xf>
    <xf numFmtId="0" fontId="16" fillId="0" borderId="3" xfId="0" applyFont="1" applyBorder="1" applyAlignment="1">
      <alignment horizontal="center" vertical="center" textRotation="255" wrapText="1"/>
    </xf>
    <xf numFmtId="0" fontId="16" fillId="0" borderId="6" xfId="0" applyFont="1" applyBorder="1" applyAlignment="1">
      <alignment horizontal="center" vertical="center" textRotation="90" wrapText="1"/>
    </xf>
    <xf numFmtId="0" fontId="15" fillId="0" borderId="3" xfId="0" applyFont="1" applyBorder="1" applyAlignment="1">
      <alignment horizontal="center" vertical="center"/>
    </xf>
    <xf numFmtId="9" fontId="15" fillId="0" borderId="3" xfId="0" applyNumberFormat="1" applyFont="1" applyBorder="1" applyAlignment="1">
      <alignment horizontal="center" vertical="center"/>
    </xf>
    <xf numFmtId="0" fontId="16" fillId="0" borderId="5" xfId="0" applyFont="1" applyBorder="1" applyAlignment="1">
      <alignment horizontal="center" vertical="center" textRotation="90" wrapText="1"/>
    </xf>
    <xf numFmtId="0" fontId="2" fillId="0" borderId="7" xfId="1" applyNumberFormat="1" applyFont="1" applyBorder="1" applyAlignment="1">
      <alignment horizontal="center" vertical="center" wrapText="1"/>
    </xf>
    <xf numFmtId="0" fontId="0" fillId="0" borderId="10" xfId="0" applyBorder="1" applyAlignment="1">
      <alignment horizontal="center" vertical="center" textRotation="90" wrapText="1"/>
    </xf>
    <xf numFmtId="0" fontId="0" fillId="0" borderId="3" xfId="0" applyBorder="1" applyAlignment="1">
      <alignment horizontal="center" vertical="center" textRotation="255" wrapText="1"/>
    </xf>
    <xf numFmtId="0" fontId="0" fillId="0" borderId="3" xfId="0" applyBorder="1" applyAlignment="1">
      <alignment horizontal="center" vertical="center"/>
    </xf>
    <xf numFmtId="0" fontId="0" fillId="0" borderId="9" xfId="0" applyBorder="1" applyAlignment="1">
      <alignment horizontal="center" vertical="center" textRotation="90" wrapText="1"/>
    </xf>
    <xf numFmtId="0" fontId="9" fillId="0" borderId="3" xfId="0" applyFont="1" applyBorder="1" applyAlignment="1">
      <alignment horizontal="justify" vertical="center" textRotation="90"/>
    </xf>
    <xf numFmtId="0" fontId="9" fillId="0" borderId="3" xfId="0" applyFont="1" applyBorder="1" applyAlignment="1">
      <alignment horizontal="center" vertical="center" textRotation="255"/>
    </xf>
    <xf numFmtId="9"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9" fontId="14" fillId="0" borderId="3" xfId="1" applyFont="1" applyBorder="1" applyAlignment="1">
      <alignment horizontal="center" vertical="center" wrapText="1"/>
    </xf>
    <xf numFmtId="0" fontId="27" fillId="0" borderId="3" xfId="0" applyFont="1" applyBorder="1" applyAlignment="1">
      <alignment horizontal="left" vertical="center" wrapText="1"/>
    </xf>
    <xf numFmtId="9" fontId="4" fillId="0" borderId="4" xfId="0" applyNumberFormat="1" applyFont="1" applyBorder="1" applyAlignment="1">
      <alignment horizontal="center" vertical="center" wrapText="1"/>
    </xf>
    <xf numFmtId="0" fontId="3" fillId="0" borderId="6" xfId="0" applyFont="1" applyBorder="1" applyAlignment="1">
      <alignment horizontal="center" vertical="center" wrapText="1"/>
    </xf>
    <xf numFmtId="9" fontId="4" fillId="0" borderId="6"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167" fontId="2"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1" applyNumberFormat="1" applyFont="1" applyBorder="1" applyAlignment="1">
      <alignment horizontal="center" vertical="center" wrapText="1"/>
    </xf>
    <xf numFmtId="0" fontId="4" fillId="0" borderId="3" xfId="0" applyFont="1" applyBorder="1" applyAlignment="1">
      <alignment vertical="center" wrapText="1"/>
    </xf>
    <xf numFmtId="9" fontId="4" fillId="0" borderId="3" xfId="0" applyNumberFormat="1" applyFont="1" applyBorder="1" applyAlignment="1">
      <alignment horizontal="center"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colors>
    <mruColors>
      <color rgb="FF0F3D38"/>
      <color rgb="FFEDE395"/>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3884084</xdr:colOff>
      <xdr:row>0</xdr:row>
      <xdr:rowOff>137582</xdr:rowOff>
    </xdr:from>
    <xdr:to>
      <xdr:col>3</xdr:col>
      <xdr:colOff>1799167</xdr:colOff>
      <xdr:row>4</xdr:row>
      <xdr:rowOff>105833</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582584" y="137582"/>
          <a:ext cx="4811183" cy="704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800" b="1">
              <a:solidFill>
                <a:srgbClr val="003E3D"/>
              </a:solidFill>
            </a:rPr>
            <a:t>Seguimiento</a:t>
          </a:r>
          <a:r>
            <a:rPr lang="es-CO" sz="1800" b="1" baseline="0">
              <a:solidFill>
                <a:srgbClr val="003E3D"/>
              </a:solidFill>
            </a:rPr>
            <a:t> Plan de Acción </a:t>
          </a:r>
        </a:p>
        <a:p>
          <a:pPr algn="ctr"/>
          <a:r>
            <a:rPr lang="es-CO" sz="1800" b="1" baseline="0">
              <a:solidFill>
                <a:srgbClr val="003E3D"/>
              </a:solidFill>
            </a:rPr>
            <a:t>Vigencia 2017</a:t>
          </a:r>
          <a:endParaRPr lang="es-CO" sz="2000" b="1">
            <a:solidFill>
              <a:srgbClr val="003E3D"/>
            </a:solidFill>
          </a:endParaRPr>
        </a:p>
      </xdr:txBody>
    </xdr:sp>
    <xdr:clientData/>
  </xdr:twoCellAnchor>
  <xdr:twoCellAnchor editAs="oneCell">
    <xdr:from>
      <xdr:col>1</xdr:col>
      <xdr:colOff>10583</xdr:colOff>
      <xdr:row>0</xdr:row>
      <xdr:rowOff>84668</xdr:rowOff>
    </xdr:from>
    <xdr:to>
      <xdr:col>1</xdr:col>
      <xdr:colOff>3092451</xdr:colOff>
      <xdr:row>4</xdr:row>
      <xdr:rowOff>170981</xdr:rowOff>
    </xdr:to>
    <xdr:pic>
      <xdr:nvPicPr>
        <xdr:cNvPr id="3" name="Imagen 2" descr="UCundinamarca">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759" r="10000" b="10219"/>
        <a:stretch/>
      </xdr:blipFill>
      <xdr:spPr bwMode="auto">
        <a:xfrm>
          <a:off x="709083" y="84668"/>
          <a:ext cx="3081868" cy="822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opLeftCell="A3" zoomScale="80" zoomScaleNormal="80" workbookViewId="0">
      <selection activeCell="C8" sqref="C8"/>
    </sheetView>
  </sheetViews>
  <sheetFormatPr baseColWidth="10" defaultColWidth="11.42578125" defaultRowHeight="15" x14ac:dyDescent="0.25"/>
  <cols>
    <col min="2" max="2" width="48.5703125" customWidth="1"/>
    <col min="3" max="4" width="25.42578125" customWidth="1"/>
    <col min="5" max="5" width="31.5703125" customWidth="1"/>
    <col min="6" max="6" width="20.5703125" customWidth="1"/>
  </cols>
  <sheetData>
    <row r="1" spans="1:7" x14ac:dyDescent="0.25">
      <c r="A1" s="13"/>
      <c r="B1" s="13"/>
      <c r="C1" s="13"/>
      <c r="D1" s="13"/>
      <c r="E1" s="13"/>
      <c r="F1" s="13"/>
      <c r="G1" s="13"/>
    </row>
    <row r="2" spans="1:7" x14ac:dyDescent="0.25">
      <c r="A2" s="13"/>
      <c r="B2" s="13"/>
      <c r="C2" s="13"/>
      <c r="D2" s="13"/>
      <c r="E2" s="13"/>
      <c r="F2" s="13"/>
      <c r="G2" s="13"/>
    </row>
    <row r="3" spans="1:7" x14ac:dyDescent="0.25">
      <c r="A3" s="13"/>
      <c r="B3" s="13"/>
      <c r="C3" s="13"/>
      <c r="D3" s="13"/>
      <c r="E3" s="13"/>
      <c r="F3" s="13"/>
      <c r="G3" s="13"/>
    </row>
    <row r="4" spans="1:7" x14ac:dyDescent="0.25">
      <c r="A4" s="13"/>
      <c r="B4" s="13"/>
      <c r="C4" s="13"/>
      <c r="D4" s="13"/>
      <c r="E4" s="13"/>
      <c r="F4" s="13"/>
      <c r="G4" s="13"/>
    </row>
    <row r="5" spans="1:7" x14ac:dyDescent="0.25">
      <c r="A5" s="13"/>
      <c r="B5" s="13"/>
      <c r="C5" s="13"/>
      <c r="D5" s="13"/>
      <c r="E5" s="13"/>
      <c r="F5" s="13"/>
      <c r="G5" s="13"/>
    </row>
    <row r="6" spans="1:7" ht="56.25" x14ac:dyDescent="0.25">
      <c r="A6" s="13"/>
      <c r="B6" s="26" t="s">
        <v>0</v>
      </c>
      <c r="C6" s="26" t="s">
        <v>1</v>
      </c>
      <c r="D6" s="14" t="s">
        <v>2</v>
      </c>
      <c r="E6" s="15" t="s">
        <v>3</v>
      </c>
      <c r="F6" s="16"/>
      <c r="G6" s="13"/>
    </row>
    <row r="7" spans="1:7" ht="26.25" x14ac:dyDescent="0.4">
      <c r="A7" s="13"/>
      <c r="B7" s="17"/>
      <c r="C7" s="18"/>
      <c r="D7" s="19"/>
      <c r="E7" s="19"/>
      <c r="F7" s="20"/>
      <c r="G7" s="13"/>
    </row>
    <row r="8" spans="1:7" ht="26.25" x14ac:dyDescent="0.4">
      <c r="A8" s="13"/>
      <c r="B8" s="17"/>
      <c r="C8" s="18"/>
      <c r="D8" s="19"/>
      <c r="E8" s="19"/>
      <c r="F8" s="20"/>
      <c r="G8" s="13"/>
    </row>
    <row r="9" spans="1:7" ht="26.25" x14ac:dyDescent="0.4">
      <c r="A9" s="13"/>
      <c r="B9" s="17"/>
      <c r="C9" s="18"/>
      <c r="D9" s="19"/>
      <c r="E9" s="19"/>
      <c r="F9" s="20"/>
      <c r="G9" s="13"/>
    </row>
    <row r="10" spans="1:7" ht="26.25" x14ac:dyDescent="0.4">
      <c r="A10" s="13"/>
      <c r="B10" s="21"/>
      <c r="C10" s="22"/>
      <c r="D10" s="19"/>
      <c r="E10" s="19"/>
      <c r="F10" s="20"/>
      <c r="G10" s="13"/>
    </row>
    <row r="11" spans="1:7" ht="26.25" x14ac:dyDescent="0.4">
      <c r="A11" s="13"/>
      <c r="B11" s="23"/>
      <c r="C11" s="24"/>
      <c r="D11" s="19"/>
      <c r="E11" s="19"/>
      <c r="F11" s="20"/>
      <c r="G11" s="13"/>
    </row>
    <row r="12" spans="1:7" ht="26.25" x14ac:dyDescent="0.4">
      <c r="A12" s="13"/>
      <c r="B12" s="17"/>
      <c r="C12" s="18"/>
      <c r="D12" s="19"/>
      <c r="E12" s="19"/>
      <c r="F12" s="20"/>
      <c r="G12" s="13"/>
    </row>
    <row r="13" spans="1:7" ht="26.25" x14ac:dyDescent="0.4">
      <c r="A13" s="13"/>
      <c r="B13" s="17"/>
      <c r="C13" s="18"/>
      <c r="D13" s="19"/>
      <c r="E13" s="19"/>
      <c r="F13" s="20"/>
      <c r="G13" s="13"/>
    </row>
    <row r="14" spans="1:7" ht="26.25" x14ac:dyDescent="0.4">
      <c r="A14" s="13"/>
      <c r="B14" s="17"/>
      <c r="C14" s="18"/>
      <c r="D14" s="19"/>
      <c r="E14" s="19"/>
      <c r="F14" s="20"/>
      <c r="G14" s="13"/>
    </row>
    <row r="15" spans="1:7" ht="26.25" x14ac:dyDescent="0.4">
      <c r="A15" s="13"/>
      <c r="B15" s="17"/>
      <c r="C15" s="20"/>
      <c r="D15" s="19"/>
      <c r="E15" s="25"/>
      <c r="F15" s="20"/>
      <c r="G15" s="1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31"/>
  <sheetViews>
    <sheetView topLeftCell="A10" zoomScale="80" zoomScaleNormal="80" workbookViewId="0">
      <selection activeCell="F13" sqref="F13"/>
    </sheetView>
  </sheetViews>
  <sheetFormatPr baseColWidth="10" defaultColWidth="11.42578125" defaultRowHeight="12.75" x14ac:dyDescent="0.2"/>
  <cols>
    <col min="1" max="1" width="1.7109375" style="3" customWidth="1"/>
    <col min="2" max="3" width="17.140625" style="3" customWidth="1"/>
    <col min="4" max="4" width="5.140625" style="3" customWidth="1"/>
    <col min="5" max="5" width="34.42578125" style="40" customWidth="1"/>
    <col min="6" max="6" width="48" style="40" customWidth="1"/>
    <col min="7" max="8" width="10.42578125" style="4" hidden="1" customWidth="1"/>
    <col min="9" max="9" width="10.42578125" style="123" customWidth="1"/>
    <col min="10" max="10" width="27.28515625" style="4" customWidth="1"/>
    <col min="11" max="11" width="27.28515625" style="3" customWidth="1"/>
    <col min="12" max="12" width="10.85546875" style="31" hidden="1" customWidth="1"/>
    <col min="13" max="13" width="11.42578125" style="3" hidden="1" customWidth="1"/>
    <col min="14" max="16384" width="11.42578125" style="3"/>
  </cols>
  <sheetData>
    <row r="2" spans="2:13" ht="38.450000000000003" customHeight="1" x14ac:dyDescent="0.2">
      <c r="B2" s="2" t="s">
        <v>4</v>
      </c>
      <c r="C2" s="2" t="s">
        <v>5</v>
      </c>
      <c r="D2" s="7"/>
      <c r="E2" s="7" t="s">
        <v>6</v>
      </c>
      <c r="F2" s="7" t="s">
        <v>7</v>
      </c>
      <c r="G2" s="1" t="s">
        <v>8</v>
      </c>
      <c r="H2" s="2" t="s">
        <v>9</v>
      </c>
      <c r="I2" s="1">
        <v>2019</v>
      </c>
      <c r="J2" s="2" t="s">
        <v>10</v>
      </c>
      <c r="K2" s="2" t="s">
        <v>11</v>
      </c>
      <c r="L2" s="32">
        <v>1</v>
      </c>
    </row>
    <row r="3" spans="2:13" s="53" customFormat="1" ht="31.5" hidden="1" customHeight="1" x14ac:dyDescent="0.2">
      <c r="B3" s="93" t="s">
        <v>12</v>
      </c>
      <c r="C3" s="93" t="s">
        <v>13</v>
      </c>
      <c r="D3" s="94" t="s">
        <v>14</v>
      </c>
      <c r="E3" s="95" t="s">
        <v>15</v>
      </c>
      <c r="F3" s="96" t="s">
        <v>16</v>
      </c>
      <c r="G3" s="97">
        <v>1</v>
      </c>
      <c r="H3" s="98">
        <v>1</v>
      </c>
      <c r="I3" s="119">
        <f>+G3-H3</f>
        <v>0</v>
      </c>
      <c r="J3" s="99"/>
      <c r="K3" s="100" t="s">
        <v>17</v>
      </c>
      <c r="L3" s="49">
        <f>IF((H3/G3)&lt;100%,(H3/G3),100%)</f>
        <v>1</v>
      </c>
      <c r="M3" s="52"/>
    </row>
    <row r="4" spans="2:13" s="53" customFormat="1" ht="31.5" hidden="1" customHeight="1" x14ac:dyDescent="0.2">
      <c r="B4" s="101"/>
      <c r="C4" s="101"/>
      <c r="D4" s="94" t="s">
        <v>14</v>
      </c>
      <c r="E4" s="95" t="s">
        <v>18</v>
      </c>
      <c r="F4" s="96" t="s">
        <v>16</v>
      </c>
      <c r="G4" s="97">
        <v>1</v>
      </c>
      <c r="H4" s="98">
        <v>1</v>
      </c>
      <c r="I4" s="119">
        <f t="shared" ref="I4:I15" si="0">+G4-H4</f>
        <v>0</v>
      </c>
      <c r="J4" s="99"/>
      <c r="K4" s="102" t="s">
        <v>19</v>
      </c>
      <c r="L4" s="49">
        <f t="shared" ref="L4:L21" si="1">IF((H4/G4)&lt;100%,(H4/G4),100%)</f>
        <v>1</v>
      </c>
    </row>
    <row r="5" spans="2:13" s="53" customFormat="1" ht="31.5" hidden="1" customHeight="1" x14ac:dyDescent="0.2">
      <c r="B5" s="101"/>
      <c r="C5" s="101"/>
      <c r="D5" s="94" t="s">
        <v>14</v>
      </c>
      <c r="E5" s="103" t="s">
        <v>20</v>
      </c>
      <c r="F5" s="96" t="s">
        <v>16</v>
      </c>
      <c r="G5" s="97">
        <v>1</v>
      </c>
      <c r="H5" s="98">
        <v>1</v>
      </c>
      <c r="I5" s="119">
        <f t="shared" si="0"/>
        <v>0</v>
      </c>
      <c r="J5" s="99"/>
      <c r="K5" s="102"/>
      <c r="L5" s="49">
        <f t="shared" si="1"/>
        <v>1</v>
      </c>
    </row>
    <row r="6" spans="2:13" ht="46.5" customHeight="1" x14ac:dyDescent="0.2">
      <c r="B6" s="101"/>
      <c r="C6" s="101"/>
      <c r="D6" s="94" t="s">
        <v>14</v>
      </c>
      <c r="E6" s="100" t="s">
        <v>21</v>
      </c>
      <c r="F6" s="104" t="s">
        <v>22</v>
      </c>
      <c r="G6" s="97">
        <v>7</v>
      </c>
      <c r="H6" s="98">
        <v>0</v>
      </c>
      <c r="I6" s="119">
        <v>7</v>
      </c>
      <c r="J6" s="100" t="s">
        <v>23</v>
      </c>
      <c r="K6" s="100" t="s">
        <v>24</v>
      </c>
      <c r="L6" s="56">
        <f>IF((H6/G6)&lt;100%,(H6/G6),100%)</f>
        <v>0</v>
      </c>
    </row>
    <row r="7" spans="2:13" ht="40.5" hidden="1" customHeight="1" x14ac:dyDescent="0.2">
      <c r="B7" s="101"/>
      <c r="C7" s="101"/>
      <c r="D7" s="94" t="s">
        <v>14</v>
      </c>
      <c r="E7" s="105" t="s">
        <v>25</v>
      </c>
      <c r="F7" s="106" t="s">
        <v>26</v>
      </c>
      <c r="G7" s="97">
        <v>32</v>
      </c>
      <c r="H7" s="98">
        <v>32</v>
      </c>
      <c r="I7" s="119">
        <f t="shared" si="0"/>
        <v>0</v>
      </c>
      <c r="J7" s="100"/>
      <c r="K7" s="100" t="s">
        <v>27</v>
      </c>
      <c r="L7" s="49">
        <f t="shared" si="1"/>
        <v>1</v>
      </c>
      <c r="M7" s="31"/>
    </row>
    <row r="8" spans="2:13" ht="36.75" customHeight="1" x14ac:dyDescent="0.2">
      <c r="B8" s="101"/>
      <c r="C8" s="101"/>
      <c r="D8" s="94" t="s">
        <v>14</v>
      </c>
      <c r="E8" s="105" t="s">
        <v>28</v>
      </c>
      <c r="F8" s="104" t="s">
        <v>29</v>
      </c>
      <c r="G8" s="97">
        <v>1</v>
      </c>
      <c r="H8" s="98">
        <v>1</v>
      </c>
      <c r="I8" s="119">
        <v>1</v>
      </c>
      <c r="J8" s="100" t="s">
        <v>27</v>
      </c>
      <c r="K8" s="100" t="s">
        <v>17</v>
      </c>
      <c r="L8" s="49">
        <f t="shared" si="1"/>
        <v>1</v>
      </c>
    </row>
    <row r="9" spans="2:13" ht="67.5" hidden="1" customHeight="1" x14ac:dyDescent="0.2">
      <c r="B9" s="101"/>
      <c r="C9" s="101"/>
      <c r="D9" s="94" t="s">
        <v>30</v>
      </c>
      <c r="E9" s="105" t="s">
        <v>31</v>
      </c>
      <c r="F9" s="106" t="s">
        <v>32</v>
      </c>
      <c r="G9" s="97">
        <v>20</v>
      </c>
      <c r="H9" s="98">
        <v>25</v>
      </c>
      <c r="I9" s="119">
        <v>20</v>
      </c>
      <c r="J9" s="100"/>
      <c r="K9" s="100" t="s">
        <v>33</v>
      </c>
      <c r="L9" s="49">
        <f t="shared" si="1"/>
        <v>1</v>
      </c>
    </row>
    <row r="10" spans="2:13" ht="46.5" customHeight="1" x14ac:dyDescent="0.2">
      <c r="B10" s="93" t="s">
        <v>34</v>
      </c>
      <c r="C10" s="93" t="s">
        <v>35</v>
      </c>
      <c r="D10" s="94" t="s">
        <v>14</v>
      </c>
      <c r="E10" s="107" t="s">
        <v>36</v>
      </c>
      <c r="F10" s="104" t="s">
        <v>37</v>
      </c>
      <c r="G10" s="97">
        <v>8</v>
      </c>
      <c r="H10" s="98">
        <v>4</v>
      </c>
      <c r="I10" s="119">
        <v>6</v>
      </c>
      <c r="J10" s="100" t="s">
        <v>23</v>
      </c>
      <c r="K10" s="107" t="s">
        <v>24</v>
      </c>
      <c r="L10" s="55">
        <f t="shared" si="1"/>
        <v>0.5</v>
      </c>
    </row>
    <row r="11" spans="2:13" ht="36.75" customHeight="1" x14ac:dyDescent="0.2">
      <c r="B11" s="101"/>
      <c r="C11" s="101"/>
      <c r="D11" s="94" t="s">
        <v>14</v>
      </c>
      <c r="E11" s="113"/>
      <c r="F11" s="104" t="s">
        <v>38</v>
      </c>
      <c r="G11" s="97">
        <v>1</v>
      </c>
      <c r="H11" s="98">
        <v>0</v>
      </c>
      <c r="I11" s="119">
        <v>1</v>
      </c>
      <c r="J11" s="100" t="s">
        <v>23</v>
      </c>
      <c r="K11" s="109"/>
      <c r="L11" s="55">
        <f t="shared" si="1"/>
        <v>0</v>
      </c>
    </row>
    <row r="12" spans="2:13" ht="48" customHeight="1" x14ac:dyDescent="0.2">
      <c r="B12" s="110"/>
      <c r="C12" s="110"/>
      <c r="D12" s="94" t="s">
        <v>30</v>
      </c>
      <c r="E12" s="105" t="s">
        <v>39</v>
      </c>
      <c r="F12" s="104" t="s">
        <v>40</v>
      </c>
      <c r="G12" s="97">
        <v>12</v>
      </c>
      <c r="H12" s="111"/>
      <c r="I12" s="120">
        <v>12</v>
      </c>
      <c r="J12" s="100" t="s">
        <v>23</v>
      </c>
      <c r="K12" s="109"/>
      <c r="L12" s="55">
        <f t="shared" si="1"/>
        <v>0</v>
      </c>
    </row>
    <row r="13" spans="2:13" ht="71.25" customHeight="1" x14ac:dyDescent="0.2">
      <c r="B13" s="93" t="s">
        <v>41</v>
      </c>
      <c r="C13" s="93" t="s">
        <v>42</v>
      </c>
      <c r="D13" s="94" t="s">
        <v>14</v>
      </c>
      <c r="E13" s="100" t="s">
        <v>43</v>
      </c>
      <c r="F13" s="104" t="s">
        <v>44</v>
      </c>
      <c r="G13" s="97">
        <v>2</v>
      </c>
      <c r="H13" s="111">
        <v>0</v>
      </c>
      <c r="I13" s="119">
        <f t="shared" si="0"/>
        <v>2</v>
      </c>
      <c r="J13" s="100" t="s">
        <v>23</v>
      </c>
      <c r="K13" s="109"/>
      <c r="L13" s="55">
        <f t="shared" si="1"/>
        <v>0</v>
      </c>
    </row>
    <row r="14" spans="2:13" ht="96" customHeight="1" x14ac:dyDescent="0.2">
      <c r="B14" s="101"/>
      <c r="C14" s="101"/>
      <c r="D14" s="94" t="s">
        <v>14</v>
      </c>
      <c r="E14" s="100" t="s">
        <v>45</v>
      </c>
      <c r="F14" s="104" t="s">
        <v>46</v>
      </c>
      <c r="G14" s="97">
        <v>5</v>
      </c>
      <c r="H14" s="111">
        <v>0</v>
      </c>
      <c r="I14" s="119">
        <f t="shared" si="0"/>
        <v>5</v>
      </c>
      <c r="J14" s="100" t="s">
        <v>23</v>
      </c>
      <c r="K14" s="109"/>
      <c r="L14" s="55">
        <f t="shared" si="1"/>
        <v>0</v>
      </c>
    </row>
    <row r="15" spans="2:13" ht="87.75" customHeight="1" x14ac:dyDescent="0.2">
      <c r="B15" s="101"/>
      <c r="C15" s="101"/>
      <c r="D15" s="94" t="s">
        <v>30</v>
      </c>
      <c r="E15" s="100" t="s">
        <v>47</v>
      </c>
      <c r="F15" s="104" t="s">
        <v>48</v>
      </c>
      <c r="G15" s="97">
        <v>5</v>
      </c>
      <c r="H15" s="111">
        <v>0</v>
      </c>
      <c r="I15" s="119">
        <f t="shared" si="0"/>
        <v>5</v>
      </c>
      <c r="J15" s="100" t="s">
        <v>23</v>
      </c>
      <c r="K15" s="109"/>
      <c r="L15" s="55">
        <f t="shared" si="1"/>
        <v>0</v>
      </c>
    </row>
    <row r="16" spans="2:13" ht="98.25" customHeight="1" x14ac:dyDescent="0.2">
      <c r="B16" s="101"/>
      <c r="C16" s="101"/>
      <c r="D16" s="94" t="s">
        <v>30</v>
      </c>
      <c r="E16" s="105" t="s">
        <v>49</v>
      </c>
      <c r="F16" s="112" t="s">
        <v>50</v>
      </c>
      <c r="G16" s="97">
        <v>5</v>
      </c>
      <c r="H16" s="111">
        <v>0</v>
      </c>
      <c r="I16" s="119">
        <v>5</v>
      </c>
      <c r="J16" s="100" t="s">
        <v>23</v>
      </c>
      <c r="K16" s="113"/>
      <c r="L16" s="55">
        <f t="shared" si="1"/>
        <v>0</v>
      </c>
    </row>
    <row r="17" spans="2:13" ht="55.5" customHeight="1" x14ac:dyDescent="0.2">
      <c r="B17" s="114"/>
      <c r="C17" s="114"/>
      <c r="D17" s="94" t="s">
        <v>30</v>
      </c>
      <c r="E17" s="105" t="s">
        <v>51</v>
      </c>
      <c r="F17" s="112" t="s">
        <v>52</v>
      </c>
      <c r="G17" s="97">
        <v>1</v>
      </c>
      <c r="H17" s="111">
        <v>0</v>
      </c>
      <c r="I17" s="119">
        <v>200</v>
      </c>
      <c r="J17" s="100" t="s">
        <v>53</v>
      </c>
      <c r="K17" s="105" t="s">
        <v>54</v>
      </c>
      <c r="L17" s="58">
        <f>IF((H17/G17)&lt;100%,(H17/G17),100%)</f>
        <v>0</v>
      </c>
    </row>
    <row r="18" spans="2:13" ht="124.5" customHeight="1" x14ac:dyDescent="0.2">
      <c r="B18" s="115" t="s">
        <v>55</v>
      </c>
      <c r="C18" s="115" t="s">
        <v>56</v>
      </c>
      <c r="D18" s="94" t="s">
        <v>14</v>
      </c>
      <c r="E18" s="100" t="s">
        <v>57</v>
      </c>
      <c r="F18" s="100" t="s">
        <v>58</v>
      </c>
      <c r="G18" s="116">
        <v>32</v>
      </c>
      <c r="H18" s="111">
        <v>0</v>
      </c>
      <c r="I18" s="120">
        <f>+G18-H18</f>
        <v>32</v>
      </c>
      <c r="J18" s="100" t="s">
        <v>23</v>
      </c>
      <c r="K18" s="107" t="s">
        <v>24</v>
      </c>
      <c r="L18" s="54">
        <f t="shared" si="1"/>
        <v>0</v>
      </c>
    </row>
    <row r="19" spans="2:13" ht="39.75" customHeight="1" x14ac:dyDescent="0.2">
      <c r="B19" s="115"/>
      <c r="C19" s="115"/>
      <c r="D19" s="94" t="s">
        <v>30</v>
      </c>
      <c r="E19" s="100" t="s">
        <v>59</v>
      </c>
      <c r="F19" s="100" t="s">
        <v>60</v>
      </c>
      <c r="G19" s="97">
        <v>7</v>
      </c>
      <c r="H19" s="98">
        <v>0</v>
      </c>
      <c r="I19" s="120">
        <f t="shared" ref="I19" si="2">+G19-H19</f>
        <v>7</v>
      </c>
      <c r="J19" s="100" t="s">
        <v>61</v>
      </c>
      <c r="K19" s="113"/>
      <c r="L19" s="54">
        <f>IF((H19/G19)&lt;100%,(H19/G19),100%)</f>
        <v>0</v>
      </c>
    </row>
    <row r="20" spans="2:13" ht="40.5" customHeight="1" x14ac:dyDescent="0.2">
      <c r="B20" s="115"/>
      <c r="C20" s="115"/>
      <c r="D20" s="94" t="s">
        <v>62</v>
      </c>
      <c r="E20" s="105" t="s">
        <v>63</v>
      </c>
      <c r="F20" s="100" t="s">
        <v>64</v>
      </c>
      <c r="G20" s="117">
        <v>0.8</v>
      </c>
      <c r="H20" s="118">
        <v>0.8</v>
      </c>
      <c r="I20" s="121">
        <v>0.8</v>
      </c>
      <c r="J20" s="100" t="s">
        <v>23</v>
      </c>
      <c r="K20" s="107" t="s">
        <v>65</v>
      </c>
      <c r="L20" s="54">
        <f t="shared" si="1"/>
        <v>1</v>
      </c>
    </row>
    <row r="21" spans="2:13" ht="47.25" customHeight="1" x14ac:dyDescent="0.2">
      <c r="B21" s="115"/>
      <c r="C21" s="115"/>
      <c r="D21" s="94" t="s">
        <v>62</v>
      </c>
      <c r="E21" s="100" t="s">
        <v>66</v>
      </c>
      <c r="F21" s="100" t="s">
        <v>67</v>
      </c>
      <c r="G21" s="117">
        <v>0.76</v>
      </c>
      <c r="H21" s="118">
        <v>0.75</v>
      </c>
      <c r="I21" s="121">
        <v>0.76</v>
      </c>
      <c r="J21" s="100" t="s">
        <v>23</v>
      </c>
      <c r="K21" s="113"/>
      <c r="L21" s="54">
        <f t="shared" si="1"/>
        <v>0.98684210526315785</v>
      </c>
      <c r="M21" s="68">
        <f>AVERAGE(L6:L21)</f>
        <v>0.34292763157894735</v>
      </c>
    </row>
    <row r="22" spans="2:13" ht="13.5" thickBot="1" x14ac:dyDescent="0.25">
      <c r="H22" s="3">
        <f>1+2+7+4+1+7+1</f>
        <v>23</v>
      </c>
      <c r="I22" s="122"/>
      <c r="J22" s="3"/>
      <c r="K22" s="5"/>
    </row>
    <row r="23" spans="2:13" hidden="1" x14ac:dyDescent="0.2">
      <c r="K23" s="6"/>
    </row>
    <row r="24" spans="2:13" hidden="1" x14ac:dyDescent="0.2">
      <c r="B24" s="59"/>
      <c r="C24" s="3" t="s">
        <v>68</v>
      </c>
      <c r="K24" s="6"/>
    </row>
    <row r="25" spans="2:13" ht="13.5" hidden="1" thickBot="1" x14ac:dyDescent="0.25">
      <c r="B25" s="61"/>
      <c r="C25" s="3" t="s">
        <v>69</v>
      </c>
      <c r="K25" s="5"/>
    </row>
    <row r="26" spans="2:13" ht="13.5" hidden="1" thickBot="1" x14ac:dyDescent="0.25">
      <c r="B26" s="60"/>
      <c r="C26" s="3" t="s">
        <v>70</v>
      </c>
      <c r="D26" s="3" t="s">
        <v>71</v>
      </c>
      <c r="K26" s="5"/>
    </row>
    <row r="27" spans="2:13" hidden="1" x14ac:dyDescent="0.2">
      <c r="B27" s="62"/>
      <c r="C27" s="3" t="s">
        <v>72</v>
      </c>
      <c r="D27" s="3" t="s">
        <v>71</v>
      </c>
    </row>
    <row r="28" spans="2:13" hidden="1" x14ac:dyDescent="0.2"/>
    <row r="29" spans="2:13" hidden="1" x14ac:dyDescent="0.2"/>
    <row r="30" spans="2:13" hidden="1" x14ac:dyDescent="0.2"/>
    <row r="31" spans="2:13" hidden="1" x14ac:dyDescent="0.2"/>
  </sheetData>
  <sheetProtection selectLockedCells="1" selectUnlockedCells="1"/>
  <mergeCells count="13">
    <mergeCell ref="C3:C9"/>
    <mergeCell ref="B3:B9"/>
    <mergeCell ref="K4:K5"/>
    <mergeCell ref="B18:B21"/>
    <mergeCell ref="C18:C21"/>
    <mergeCell ref="C13:C16"/>
    <mergeCell ref="B13:B16"/>
    <mergeCell ref="C10:C12"/>
    <mergeCell ref="B10:B12"/>
    <mergeCell ref="K10:K16"/>
    <mergeCell ref="K18:K19"/>
    <mergeCell ref="K20:K21"/>
    <mergeCell ref="E10:E11"/>
  </mergeCells>
  <pageMargins left="0.70866141732283472" right="0.70866141732283472" top="0.74803149606299213" bottom="0.74803149606299213" header="0.31496062992125984" footer="0.31496062992125984"/>
  <pageSetup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S38"/>
  <sheetViews>
    <sheetView topLeftCell="A25" zoomScale="80" zoomScaleNormal="80" workbookViewId="0">
      <selection activeCell="F25" sqref="F25"/>
    </sheetView>
  </sheetViews>
  <sheetFormatPr baseColWidth="10" defaultColWidth="10.85546875" defaultRowHeight="12.75" x14ac:dyDescent="0.2"/>
  <cols>
    <col min="1" max="1" width="2.42578125" style="3" customWidth="1"/>
    <col min="2" max="3" width="17.140625" style="3" customWidth="1"/>
    <col min="4" max="4" width="8" style="3" customWidth="1"/>
    <col min="5" max="6" width="32.85546875" style="8" customWidth="1"/>
    <col min="7" max="7" width="10.28515625" style="27" hidden="1" customWidth="1"/>
    <col min="8" max="8" width="10.28515625" style="4" hidden="1" customWidth="1"/>
    <col min="9" max="9" width="10.28515625" style="4" customWidth="1"/>
    <col min="10" max="11" width="29.7109375" style="3" customWidth="1"/>
    <col min="12" max="12" width="7.28515625" style="3" hidden="1" customWidth="1"/>
    <col min="13" max="13" width="10.85546875" style="3" customWidth="1"/>
    <col min="14" max="18" width="10.85546875" style="3"/>
    <col min="19" max="19" width="24.140625" style="82" customWidth="1"/>
    <col min="20" max="16384" width="10.85546875" style="3"/>
  </cols>
  <sheetData>
    <row r="2" spans="2:19" ht="32.25" customHeight="1" x14ac:dyDescent="0.2">
      <c r="B2" s="2" t="s">
        <v>4</v>
      </c>
      <c r="C2" s="2" t="s">
        <v>5</v>
      </c>
      <c r="D2" s="2"/>
      <c r="E2" s="2" t="s">
        <v>6</v>
      </c>
      <c r="F2" s="7" t="s">
        <v>7</v>
      </c>
      <c r="G2" s="1" t="s">
        <v>8</v>
      </c>
      <c r="H2" s="2" t="s">
        <v>9</v>
      </c>
      <c r="I2" s="2">
        <v>2019</v>
      </c>
      <c r="J2" s="2" t="s">
        <v>10</v>
      </c>
      <c r="K2" s="2" t="s">
        <v>11</v>
      </c>
      <c r="L2" s="35">
        <v>1</v>
      </c>
    </row>
    <row r="3" spans="2:19" ht="46.5" hidden="1" customHeight="1" x14ac:dyDescent="0.2">
      <c r="B3" s="101" t="s">
        <v>73</v>
      </c>
      <c r="C3" s="124" t="s">
        <v>74</v>
      </c>
      <c r="D3" s="125" t="s">
        <v>30</v>
      </c>
      <c r="E3" s="108" t="s">
        <v>75</v>
      </c>
      <c r="F3" s="126" t="s">
        <v>76</v>
      </c>
      <c r="G3" s="127">
        <v>3</v>
      </c>
      <c r="H3" s="97">
        <f>7+1</f>
        <v>8</v>
      </c>
      <c r="I3" s="128">
        <f>+G3-H3</f>
        <v>-5</v>
      </c>
      <c r="J3" s="108" t="s">
        <v>77</v>
      </c>
      <c r="K3" s="108"/>
      <c r="L3" s="49">
        <f t="shared" ref="L3:L31" si="0">IF((H3/G3)&lt;100%,(H3/G3),100%)</f>
        <v>1</v>
      </c>
    </row>
    <row r="4" spans="2:19" ht="40.5" customHeight="1" x14ac:dyDescent="0.2">
      <c r="B4" s="101"/>
      <c r="C4" s="93" t="s">
        <v>78</v>
      </c>
      <c r="D4" s="94" t="s">
        <v>62</v>
      </c>
      <c r="E4" s="100" t="s">
        <v>79</v>
      </c>
      <c r="F4" s="129" t="s">
        <v>80</v>
      </c>
      <c r="G4" s="130">
        <v>1</v>
      </c>
      <c r="H4" s="131">
        <v>0.7</v>
      </c>
      <c r="I4" s="131">
        <f>+G4-H4</f>
        <v>0.30000000000000004</v>
      </c>
      <c r="J4" s="132" t="s">
        <v>81</v>
      </c>
      <c r="K4" s="132" t="s">
        <v>81</v>
      </c>
      <c r="L4" s="54">
        <f>IF((H5/G5)&lt;100%,(H5/G5),100%)</f>
        <v>1</v>
      </c>
      <c r="S4" s="82">
        <v>16466487</v>
      </c>
    </row>
    <row r="5" spans="2:19" ht="40.5" hidden="1" customHeight="1" x14ac:dyDescent="0.2">
      <c r="B5" s="101"/>
      <c r="C5" s="101"/>
      <c r="D5" s="94" t="s">
        <v>62</v>
      </c>
      <c r="E5" s="100" t="s">
        <v>82</v>
      </c>
      <c r="F5" s="129" t="s">
        <v>83</v>
      </c>
      <c r="G5" s="130">
        <v>1</v>
      </c>
      <c r="H5" s="131">
        <v>1</v>
      </c>
      <c r="I5" s="131">
        <f>+G5-H5</f>
        <v>0</v>
      </c>
      <c r="J5" s="133" t="s">
        <v>81</v>
      </c>
      <c r="K5" s="133"/>
      <c r="L5" s="54">
        <f>IF((G5/H5)&lt;100%,(G6/H6),100%)</f>
        <v>1</v>
      </c>
    </row>
    <row r="6" spans="2:19" ht="45.75" customHeight="1" x14ac:dyDescent="0.2">
      <c r="B6" s="93" t="s">
        <v>84</v>
      </c>
      <c r="C6" s="93" t="s">
        <v>85</v>
      </c>
      <c r="D6" s="135" t="s">
        <v>30</v>
      </c>
      <c r="E6" s="105" t="s">
        <v>86</v>
      </c>
      <c r="F6" s="105" t="s">
        <v>87</v>
      </c>
      <c r="G6" s="136">
        <v>64</v>
      </c>
      <c r="H6" s="97">
        <v>34</v>
      </c>
      <c r="I6" s="136">
        <v>34</v>
      </c>
      <c r="J6" s="137" t="s">
        <v>88</v>
      </c>
      <c r="K6" s="105" t="s">
        <v>89</v>
      </c>
      <c r="L6" s="55">
        <f>IF((H6/G6)&lt;100%,(H6/G6),100%)</f>
        <v>0.53125</v>
      </c>
    </row>
    <row r="7" spans="2:19" ht="105" customHeight="1" x14ac:dyDescent="0.2">
      <c r="B7" s="101"/>
      <c r="C7" s="115"/>
      <c r="D7" s="94" t="s">
        <v>30</v>
      </c>
      <c r="E7" s="105" t="s">
        <v>506</v>
      </c>
      <c r="F7" s="100" t="s">
        <v>538</v>
      </c>
      <c r="G7" s="136">
        <f>1*7*4</f>
        <v>28</v>
      </c>
      <c r="H7" s="97">
        <f>1*7*3</f>
        <v>21</v>
      </c>
      <c r="I7" s="136">
        <f>4*7+2</f>
        <v>30</v>
      </c>
      <c r="J7" s="100" t="s">
        <v>537</v>
      </c>
      <c r="K7" s="100" t="s">
        <v>537</v>
      </c>
      <c r="L7" s="54">
        <f t="shared" si="0"/>
        <v>0.75</v>
      </c>
    </row>
    <row r="8" spans="2:19" ht="33.75" hidden="1" customHeight="1" x14ac:dyDescent="0.2">
      <c r="B8" s="101"/>
      <c r="C8" s="110"/>
      <c r="D8" s="125" t="s">
        <v>14</v>
      </c>
      <c r="E8" s="105" t="s">
        <v>90</v>
      </c>
      <c r="F8" s="139" t="s">
        <v>91</v>
      </c>
      <c r="G8" s="136">
        <f>2*7*4</f>
        <v>56</v>
      </c>
      <c r="H8" s="97">
        <f>4*7*3</f>
        <v>84</v>
      </c>
      <c r="I8" s="140">
        <f>+G8-H8</f>
        <v>-28</v>
      </c>
      <c r="J8" s="139" t="s">
        <v>92</v>
      </c>
      <c r="K8" s="139"/>
      <c r="L8" s="49">
        <f t="shared" si="0"/>
        <v>1</v>
      </c>
    </row>
    <row r="9" spans="2:19" ht="68.25" customHeight="1" x14ac:dyDescent="0.2">
      <c r="B9" s="101"/>
      <c r="C9" s="93" t="s">
        <v>93</v>
      </c>
      <c r="D9" s="94" t="s">
        <v>14</v>
      </c>
      <c r="E9" s="107" t="s">
        <v>94</v>
      </c>
      <c r="F9" s="105" t="s">
        <v>539</v>
      </c>
      <c r="G9" s="141">
        <v>3</v>
      </c>
      <c r="H9" s="142">
        <v>0</v>
      </c>
      <c r="I9" s="141">
        <f>+G9-H9</f>
        <v>3</v>
      </c>
      <c r="J9" s="105" t="s">
        <v>95</v>
      </c>
      <c r="K9" s="107" t="s">
        <v>27</v>
      </c>
      <c r="L9" s="58">
        <f t="shared" si="0"/>
        <v>0</v>
      </c>
    </row>
    <row r="10" spans="2:19" ht="51" customHeight="1" x14ac:dyDescent="0.2">
      <c r="B10" s="101"/>
      <c r="C10" s="101"/>
      <c r="D10" s="94" t="s">
        <v>14</v>
      </c>
      <c r="E10" s="109"/>
      <c r="F10" s="129" t="s">
        <v>540</v>
      </c>
      <c r="G10" s="143">
        <v>1</v>
      </c>
      <c r="H10" s="142">
        <v>0</v>
      </c>
      <c r="I10" s="141">
        <f>+G10-H10</f>
        <v>1</v>
      </c>
      <c r="J10" s="105" t="s">
        <v>96</v>
      </c>
      <c r="K10" s="109"/>
      <c r="L10" s="58">
        <f t="shared" si="0"/>
        <v>0</v>
      </c>
    </row>
    <row r="11" spans="2:19" ht="41.25" customHeight="1" x14ac:dyDescent="0.2">
      <c r="B11" s="101"/>
      <c r="C11" s="101"/>
      <c r="D11" s="94" t="s">
        <v>14</v>
      </c>
      <c r="E11" s="109"/>
      <c r="F11" s="129" t="s">
        <v>541</v>
      </c>
      <c r="G11" s="144">
        <v>3</v>
      </c>
      <c r="H11" s="142">
        <v>0</v>
      </c>
      <c r="I11" s="141">
        <f t="shared" ref="I11:I22" si="1">+G11-H11</f>
        <v>3</v>
      </c>
      <c r="J11" s="105" t="s">
        <v>97</v>
      </c>
      <c r="K11" s="109"/>
      <c r="L11" s="58">
        <f t="shared" si="0"/>
        <v>0</v>
      </c>
    </row>
    <row r="12" spans="2:19" ht="41.25" customHeight="1" x14ac:dyDescent="0.2">
      <c r="B12" s="101"/>
      <c r="C12" s="101"/>
      <c r="D12" s="94" t="s">
        <v>14</v>
      </c>
      <c r="E12" s="109"/>
      <c r="F12" s="129" t="s">
        <v>542</v>
      </c>
      <c r="G12" s="144">
        <v>1</v>
      </c>
      <c r="H12" s="142">
        <v>0</v>
      </c>
      <c r="I12" s="141">
        <f t="shared" si="1"/>
        <v>1</v>
      </c>
      <c r="J12" s="105" t="s">
        <v>98</v>
      </c>
      <c r="K12" s="109"/>
      <c r="L12" s="58">
        <f t="shared" si="0"/>
        <v>0</v>
      </c>
    </row>
    <row r="13" spans="2:19" ht="71.25" customHeight="1" x14ac:dyDescent="0.2">
      <c r="B13" s="101"/>
      <c r="C13" s="101"/>
      <c r="D13" s="94"/>
      <c r="E13" s="113"/>
      <c r="F13" s="129" t="s">
        <v>524</v>
      </c>
      <c r="G13" s="144"/>
      <c r="H13" s="142"/>
      <c r="I13" s="145">
        <v>0.25</v>
      </c>
      <c r="J13" s="105" t="s">
        <v>123</v>
      </c>
      <c r="K13" s="109"/>
      <c r="L13" s="58"/>
    </row>
    <row r="14" spans="2:19" ht="43.5" customHeight="1" x14ac:dyDescent="0.2">
      <c r="B14" s="101"/>
      <c r="C14" s="101"/>
      <c r="D14" s="94" t="s">
        <v>14</v>
      </c>
      <c r="E14" s="107" t="s">
        <v>99</v>
      </c>
      <c r="F14" s="129" t="s">
        <v>543</v>
      </c>
      <c r="G14" s="144">
        <v>1</v>
      </c>
      <c r="H14" s="142">
        <v>0</v>
      </c>
      <c r="I14" s="141">
        <f t="shared" si="1"/>
        <v>1</v>
      </c>
      <c r="J14" s="105" t="s">
        <v>95</v>
      </c>
      <c r="K14" s="109"/>
      <c r="L14" s="58">
        <f t="shared" si="0"/>
        <v>0</v>
      </c>
    </row>
    <row r="15" spans="2:19" ht="46.5" customHeight="1" x14ac:dyDescent="0.2">
      <c r="B15" s="101"/>
      <c r="C15" s="101"/>
      <c r="D15" s="94" t="s">
        <v>14</v>
      </c>
      <c r="E15" s="109"/>
      <c r="F15" s="129" t="s">
        <v>544</v>
      </c>
      <c r="G15" s="144">
        <v>1</v>
      </c>
      <c r="H15" s="142">
        <v>0</v>
      </c>
      <c r="I15" s="141">
        <f t="shared" si="1"/>
        <v>1</v>
      </c>
      <c r="J15" s="105" t="s">
        <v>97</v>
      </c>
      <c r="K15" s="109"/>
      <c r="L15" s="58">
        <f t="shared" si="0"/>
        <v>0</v>
      </c>
    </row>
    <row r="16" spans="2:19" ht="57" customHeight="1" x14ac:dyDescent="0.2">
      <c r="B16" s="101"/>
      <c r="C16" s="101"/>
      <c r="D16" s="94" t="s">
        <v>14</v>
      </c>
      <c r="E16" s="109"/>
      <c r="F16" s="129" t="s">
        <v>545</v>
      </c>
      <c r="G16" s="144">
        <v>1</v>
      </c>
      <c r="H16" s="142">
        <v>0</v>
      </c>
      <c r="I16" s="141">
        <f t="shared" si="1"/>
        <v>1</v>
      </c>
      <c r="J16" s="137" t="s">
        <v>100</v>
      </c>
      <c r="K16" s="109"/>
      <c r="L16" s="58">
        <f t="shared" si="0"/>
        <v>0</v>
      </c>
    </row>
    <row r="17" spans="2:13" ht="46.5" customHeight="1" x14ac:dyDescent="0.2">
      <c r="B17" s="101"/>
      <c r="C17" s="101"/>
      <c r="D17" s="94" t="s">
        <v>14</v>
      </c>
      <c r="E17" s="109"/>
      <c r="F17" s="129" t="s">
        <v>546</v>
      </c>
      <c r="G17" s="144">
        <v>3</v>
      </c>
      <c r="H17" s="142">
        <v>0</v>
      </c>
      <c r="I17" s="141">
        <f t="shared" si="1"/>
        <v>3</v>
      </c>
      <c r="J17" s="105" t="s">
        <v>101</v>
      </c>
      <c r="K17" s="109"/>
      <c r="L17" s="58">
        <f t="shared" si="0"/>
        <v>0</v>
      </c>
    </row>
    <row r="18" spans="2:13" ht="46.5" customHeight="1" x14ac:dyDescent="0.2">
      <c r="B18" s="101"/>
      <c r="C18" s="101"/>
      <c r="D18" s="94"/>
      <c r="E18" s="109"/>
      <c r="F18" s="129" t="s">
        <v>547</v>
      </c>
      <c r="G18" s="144">
        <v>1</v>
      </c>
      <c r="H18" s="142">
        <v>0</v>
      </c>
      <c r="I18" s="141">
        <f t="shared" si="1"/>
        <v>1</v>
      </c>
      <c r="J18" s="137" t="s">
        <v>102</v>
      </c>
      <c r="K18" s="109"/>
      <c r="L18" s="58">
        <f t="shared" si="0"/>
        <v>0</v>
      </c>
    </row>
    <row r="19" spans="2:13" ht="46.5" customHeight="1" x14ac:dyDescent="0.2">
      <c r="B19" s="101"/>
      <c r="C19" s="101"/>
      <c r="D19" s="94"/>
      <c r="E19" s="109"/>
      <c r="F19" s="129" t="s">
        <v>548</v>
      </c>
      <c r="G19" s="144">
        <v>1</v>
      </c>
      <c r="H19" s="142">
        <v>0</v>
      </c>
      <c r="I19" s="141">
        <f t="shared" si="1"/>
        <v>1</v>
      </c>
      <c r="J19" s="105" t="s">
        <v>103</v>
      </c>
      <c r="K19" s="109"/>
      <c r="L19" s="58">
        <f t="shared" si="0"/>
        <v>0</v>
      </c>
    </row>
    <row r="20" spans="2:13" ht="51" customHeight="1" x14ac:dyDescent="0.2">
      <c r="B20" s="101"/>
      <c r="C20" s="101"/>
      <c r="D20" s="94" t="s">
        <v>14</v>
      </c>
      <c r="E20" s="109"/>
      <c r="F20" s="129" t="s">
        <v>549</v>
      </c>
      <c r="G20" s="144">
        <v>1</v>
      </c>
      <c r="H20" s="142">
        <v>0</v>
      </c>
      <c r="I20" s="141">
        <f t="shared" si="1"/>
        <v>1</v>
      </c>
      <c r="J20" s="105" t="s">
        <v>98</v>
      </c>
      <c r="K20" s="109"/>
      <c r="L20" s="58">
        <f t="shared" si="0"/>
        <v>0</v>
      </c>
    </row>
    <row r="21" spans="2:13" ht="57.75" customHeight="1" x14ac:dyDescent="0.2">
      <c r="B21" s="101"/>
      <c r="C21" s="101"/>
      <c r="D21" s="94"/>
      <c r="E21" s="113"/>
      <c r="F21" s="129" t="s">
        <v>525</v>
      </c>
      <c r="G21" s="144"/>
      <c r="H21" s="142"/>
      <c r="I21" s="145">
        <v>0.8</v>
      </c>
      <c r="J21" s="105" t="s">
        <v>123</v>
      </c>
      <c r="K21" s="109"/>
      <c r="L21" s="58"/>
    </row>
    <row r="22" spans="2:13" ht="63" customHeight="1" x14ac:dyDescent="0.2">
      <c r="B22" s="101"/>
      <c r="C22" s="110"/>
      <c r="D22" s="94" t="s">
        <v>14</v>
      </c>
      <c r="E22" s="107" t="s">
        <v>104</v>
      </c>
      <c r="F22" s="129" t="s">
        <v>550</v>
      </c>
      <c r="G22" s="144">
        <v>4</v>
      </c>
      <c r="H22" s="142">
        <v>0</v>
      </c>
      <c r="I22" s="141">
        <f t="shared" si="1"/>
        <v>4</v>
      </c>
      <c r="J22" s="137" t="s">
        <v>100</v>
      </c>
      <c r="K22" s="113"/>
      <c r="L22" s="58">
        <f t="shared" si="0"/>
        <v>0</v>
      </c>
    </row>
    <row r="23" spans="2:13" ht="85.5" customHeight="1" x14ac:dyDescent="0.2">
      <c r="B23" s="110"/>
      <c r="C23" s="114"/>
      <c r="D23" s="135"/>
      <c r="E23" s="113"/>
      <c r="F23" s="129" t="s">
        <v>526</v>
      </c>
      <c r="G23" s="144"/>
      <c r="H23" s="142"/>
      <c r="I23" s="145">
        <v>0.5</v>
      </c>
      <c r="J23" s="105" t="s">
        <v>123</v>
      </c>
      <c r="K23" s="139"/>
      <c r="L23" s="58"/>
    </row>
    <row r="24" spans="2:13" ht="66.75" customHeight="1" x14ac:dyDescent="0.2">
      <c r="B24" s="93" t="s">
        <v>105</v>
      </c>
      <c r="C24" s="93" t="s">
        <v>106</v>
      </c>
      <c r="D24" s="135" t="s">
        <v>30</v>
      </c>
      <c r="E24" s="107" t="s">
        <v>107</v>
      </c>
      <c r="F24" s="129" t="s">
        <v>108</v>
      </c>
      <c r="G24" s="127">
        <v>105</v>
      </c>
      <c r="H24" s="97">
        <v>158</v>
      </c>
      <c r="I24" s="136">
        <f t="shared" ref="I24:I30" si="2">+G24-H24</f>
        <v>-53</v>
      </c>
      <c r="J24" s="105" t="s">
        <v>109</v>
      </c>
      <c r="K24" s="107" t="s">
        <v>110</v>
      </c>
      <c r="L24" s="49">
        <f t="shared" si="0"/>
        <v>1</v>
      </c>
    </row>
    <row r="25" spans="2:13" ht="50.25" customHeight="1" x14ac:dyDescent="0.2">
      <c r="B25" s="115"/>
      <c r="C25" s="115"/>
      <c r="D25" s="135" t="s">
        <v>30</v>
      </c>
      <c r="E25" s="109"/>
      <c r="F25" s="100" t="s">
        <v>111</v>
      </c>
      <c r="G25" s="127">
        <v>1</v>
      </c>
      <c r="H25" s="97"/>
      <c r="I25" s="97">
        <v>7</v>
      </c>
      <c r="J25" s="100" t="s">
        <v>112</v>
      </c>
      <c r="K25" s="109"/>
      <c r="L25" s="54">
        <f t="shared" si="0"/>
        <v>0</v>
      </c>
    </row>
    <row r="26" spans="2:13" ht="37.5" customHeight="1" x14ac:dyDescent="0.2">
      <c r="B26" s="110"/>
      <c r="C26" s="110"/>
      <c r="D26" s="135" t="s">
        <v>14</v>
      </c>
      <c r="E26" s="113"/>
      <c r="F26" s="108" t="s">
        <v>113</v>
      </c>
      <c r="G26" s="127">
        <v>1</v>
      </c>
      <c r="H26" s="97"/>
      <c r="I26" s="140">
        <f t="shared" si="2"/>
        <v>1</v>
      </c>
      <c r="J26" s="139" t="s">
        <v>109</v>
      </c>
      <c r="K26" s="109"/>
      <c r="L26" s="57">
        <f t="shared" si="0"/>
        <v>0</v>
      </c>
    </row>
    <row r="27" spans="2:13" ht="29.45" customHeight="1" x14ac:dyDescent="0.2">
      <c r="B27" s="115" t="s">
        <v>114</v>
      </c>
      <c r="C27" s="115" t="s">
        <v>115</v>
      </c>
      <c r="D27" s="94" t="s">
        <v>30</v>
      </c>
      <c r="E27" s="107" t="s">
        <v>116</v>
      </c>
      <c r="F27" s="100" t="s">
        <v>117</v>
      </c>
      <c r="G27" s="97">
        <f>3500+4000+4500+5000</f>
        <v>17000</v>
      </c>
      <c r="H27" s="97">
        <f>6753+7600+9277+13675+28564</f>
        <v>65869</v>
      </c>
      <c r="I27" s="136">
        <v>5000</v>
      </c>
      <c r="J27" s="107" t="s">
        <v>109</v>
      </c>
      <c r="K27" s="109"/>
      <c r="L27" s="49">
        <f t="shared" si="0"/>
        <v>1</v>
      </c>
    </row>
    <row r="28" spans="2:13" ht="29.45" customHeight="1" x14ac:dyDescent="0.2">
      <c r="B28" s="115"/>
      <c r="C28" s="115"/>
      <c r="D28" s="94" t="s">
        <v>14</v>
      </c>
      <c r="E28" s="113"/>
      <c r="F28" s="100" t="s">
        <v>118</v>
      </c>
      <c r="G28" s="97">
        <v>1</v>
      </c>
      <c r="H28" s="97">
        <v>0</v>
      </c>
      <c r="I28" s="136">
        <f t="shared" si="2"/>
        <v>1</v>
      </c>
      <c r="J28" s="109"/>
      <c r="K28" s="109"/>
      <c r="L28" s="57">
        <f t="shared" si="0"/>
        <v>0</v>
      </c>
    </row>
    <row r="29" spans="2:13" ht="31.5" customHeight="1" x14ac:dyDescent="0.2">
      <c r="B29" s="115"/>
      <c r="C29" s="115"/>
      <c r="D29" s="94" t="s">
        <v>30</v>
      </c>
      <c r="E29" s="107" t="s">
        <v>119</v>
      </c>
      <c r="F29" s="100" t="s">
        <v>120</v>
      </c>
      <c r="G29" s="97">
        <f>2500+3000+3500+4000</f>
        <v>13000</v>
      </c>
      <c r="H29" s="97">
        <f>1944+2738+416+1287+3240</f>
        <v>9625</v>
      </c>
      <c r="I29" s="136">
        <f>+G29-H29</f>
        <v>3375</v>
      </c>
      <c r="J29" s="109"/>
      <c r="K29" s="109"/>
      <c r="L29" s="56">
        <f t="shared" si="0"/>
        <v>0.74038461538461542</v>
      </c>
    </row>
    <row r="30" spans="2:13" ht="31.5" customHeight="1" x14ac:dyDescent="0.2">
      <c r="B30" s="115"/>
      <c r="C30" s="115"/>
      <c r="D30" s="94" t="s">
        <v>14</v>
      </c>
      <c r="E30" s="113"/>
      <c r="F30" s="100" t="s">
        <v>507</v>
      </c>
      <c r="G30" s="97">
        <v>1</v>
      </c>
      <c r="H30" s="97">
        <v>0</v>
      </c>
      <c r="I30" s="136">
        <f t="shared" si="2"/>
        <v>1</v>
      </c>
      <c r="J30" s="113"/>
      <c r="K30" s="109"/>
      <c r="L30" s="57">
        <f t="shared" si="0"/>
        <v>0</v>
      </c>
    </row>
    <row r="31" spans="2:13" ht="48" customHeight="1" x14ac:dyDescent="0.2">
      <c r="B31" s="115"/>
      <c r="C31" s="115"/>
      <c r="D31" s="94" t="s">
        <v>14</v>
      </c>
      <c r="E31" s="100" t="s">
        <v>121</v>
      </c>
      <c r="F31" s="100" t="s">
        <v>122</v>
      </c>
      <c r="G31" s="97">
        <v>200</v>
      </c>
      <c r="H31" s="97">
        <f>36+27</f>
        <v>63</v>
      </c>
      <c r="I31" s="97">
        <v>100</v>
      </c>
      <c r="J31" s="100" t="s">
        <v>123</v>
      </c>
      <c r="K31" s="113"/>
      <c r="L31" s="54">
        <f t="shared" si="0"/>
        <v>0.315</v>
      </c>
      <c r="M31" s="68"/>
    </row>
    <row r="32" spans="2:13" x14ac:dyDescent="0.2">
      <c r="L32" s="34"/>
    </row>
    <row r="33" spans="2:12" ht="12.95" hidden="1" customHeight="1" x14ac:dyDescent="0.2">
      <c r="B33" s="59"/>
      <c r="C33" s="3" t="s">
        <v>68</v>
      </c>
      <c r="E33" s="90" t="s">
        <v>124</v>
      </c>
      <c r="F33" s="90"/>
      <c r="G33" s="90"/>
      <c r="H33" s="90"/>
      <c r="I33" s="90"/>
      <c r="J33" s="90"/>
      <c r="K33" s="90"/>
      <c r="L33" s="90"/>
    </row>
    <row r="34" spans="2:12" hidden="1" x14ac:dyDescent="0.2">
      <c r="B34" s="61"/>
      <c r="C34" s="3" t="s">
        <v>69</v>
      </c>
      <c r="E34" s="75"/>
      <c r="F34" s="75" t="s">
        <v>125</v>
      </c>
      <c r="G34" s="9"/>
      <c r="H34" s="76"/>
      <c r="I34" s="76"/>
      <c r="J34" s="77"/>
      <c r="K34" s="77"/>
      <c r="L34" s="77"/>
    </row>
    <row r="35" spans="2:12" hidden="1" x14ac:dyDescent="0.2">
      <c r="B35" s="60"/>
      <c r="C35" s="3" t="s">
        <v>70</v>
      </c>
      <c r="D35" s="3" t="s">
        <v>71</v>
      </c>
    </row>
    <row r="36" spans="2:12" hidden="1" x14ac:dyDescent="0.2">
      <c r="B36" s="62"/>
      <c r="C36" s="3" t="s">
        <v>72</v>
      </c>
      <c r="D36" s="3" t="s">
        <v>71</v>
      </c>
    </row>
    <row r="37" spans="2:12" hidden="1" x14ac:dyDescent="0.2"/>
    <row r="38" spans="2:12" hidden="1" x14ac:dyDescent="0.2"/>
  </sheetData>
  <sheetProtection selectLockedCells="1" selectUnlockedCells="1"/>
  <autoFilter ref="J2:J32" xr:uid="{00000000-0009-0000-0000-000002000000}"/>
  <mergeCells count="19">
    <mergeCell ref="B6:B23"/>
    <mergeCell ref="E29:E30"/>
    <mergeCell ref="E27:E28"/>
    <mergeCell ref="E24:E26"/>
    <mergeCell ref="E33:L33"/>
    <mergeCell ref="C24:C26"/>
    <mergeCell ref="B24:B26"/>
    <mergeCell ref="C6:C8"/>
    <mergeCell ref="C4:C5"/>
    <mergeCell ref="B27:B31"/>
    <mergeCell ref="B3:B5"/>
    <mergeCell ref="C27:C31"/>
    <mergeCell ref="C9:C22"/>
    <mergeCell ref="K9:K22"/>
    <mergeCell ref="K24:K31"/>
    <mergeCell ref="J27:J30"/>
    <mergeCell ref="E22:E23"/>
    <mergeCell ref="E9:E13"/>
    <mergeCell ref="E14:E21"/>
  </mergeCells>
  <pageMargins left="0.70866141732283472" right="0.70866141732283472" top="0.74803149606299213" bottom="0.74803149606299213" header="0.31496062992125984" footer="0.31496062992125984"/>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T87"/>
  <sheetViews>
    <sheetView topLeftCell="A70" zoomScale="80" zoomScaleNormal="80" workbookViewId="0">
      <selection activeCell="G73" sqref="G73"/>
    </sheetView>
  </sheetViews>
  <sheetFormatPr baseColWidth="10" defaultColWidth="10.85546875" defaultRowHeight="12.75" x14ac:dyDescent="0.2"/>
  <cols>
    <col min="1" max="1" width="1.28515625" style="3" customWidth="1"/>
    <col min="2" max="2" width="15.42578125" style="3" hidden="1" customWidth="1"/>
    <col min="3" max="4" width="14.85546875" style="3" customWidth="1"/>
    <col min="5" max="5" width="8.28515625" style="3" customWidth="1"/>
    <col min="6" max="6" width="48.42578125" style="8" customWidth="1"/>
    <col min="7" max="7" width="53.28515625" style="8" customWidth="1"/>
    <col min="8" max="8" width="12.42578125" style="27" hidden="1" customWidth="1"/>
    <col min="9" max="9" width="16.42578125" style="80" hidden="1" customWidth="1"/>
    <col min="10" max="10" width="18.5703125" style="9" customWidth="1"/>
    <col min="11" max="11" width="27.7109375" style="51" customWidth="1"/>
    <col min="12" max="12" width="27.7109375" style="8" customWidth="1"/>
    <col min="13" max="13" width="12.5703125" style="3" hidden="1" customWidth="1"/>
    <col min="14" max="18" width="10.85546875" style="3"/>
    <col min="19" max="20" width="0" style="3" hidden="1" customWidth="1"/>
    <col min="21" max="16384" width="10.85546875" style="3"/>
  </cols>
  <sheetData>
    <row r="2" spans="2:13" ht="30" customHeight="1" x14ac:dyDescent="0.2">
      <c r="B2" s="7" t="s">
        <v>126</v>
      </c>
      <c r="C2" s="7" t="s">
        <v>4</v>
      </c>
      <c r="D2" s="7" t="s">
        <v>5</v>
      </c>
      <c r="E2" s="7"/>
      <c r="F2" s="7" t="s">
        <v>6</v>
      </c>
      <c r="G2" s="29" t="s">
        <v>7</v>
      </c>
      <c r="H2" s="1" t="s">
        <v>8</v>
      </c>
      <c r="I2" s="79" t="s">
        <v>9</v>
      </c>
      <c r="J2" s="7">
        <v>2019</v>
      </c>
      <c r="K2" s="7" t="s">
        <v>127</v>
      </c>
      <c r="L2" s="50" t="s">
        <v>128</v>
      </c>
      <c r="M2" s="37">
        <v>1</v>
      </c>
    </row>
    <row r="3" spans="2:13" ht="57.75" customHeight="1" x14ac:dyDescent="0.2">
      <c r="B3" s="30"/>
      <c r="C3" s="101" t="s">
        <v>129</v>
      </c>
      <c r="D3" s="146" t="s">
        <v>130</v>
      </c>
      <c r="E3" s="94" t="s">
        <v>30</v>
      </c>
      <c r="F3" s="129" t="s">
        <v>131</v>
      </c>
      <c r="G3" s="104" t="s">
        <v>511</v>
      </c>
      <c r="H3" s="97">
        <v>15</v>
      </c>
      <c r="I3" s="147"/>
      <c r="J3" s="97">
        <v>15</v>
      </c>
      <c r="K3" s="100" t="s">
        <v>132</v>
      </c>
      <c r="L3" s="133"/>
      <c r="M3" s="54">
        <f t="shared" ref="M3:M80" si="0">IF((I3/H3)&lt;100%,(I3/H3),100%)</f>
        <v>0</v>
      </c>
    </row>
    <row r="4" spans="2:13" ht="87" hidden="1" customHeight="1" x14ac:dyDescent="0.2">
      <c r="B4" s="36"/>
      <c r="C4" s="101"/>
      <c r="D4" s="93" t="s">
        <v>133</v>
      </c>
      <c r="E4" s="94" t="s">
        <v>30</v>
      </c>
      <c r="F4" s="148" t="s">
        <v>134</v>
      </c>
      <c r="G4" s="104" t="s">
        <v>135</v>
      </c>
      <c r="H4" s="97">
        <f>1+2+2+2+1+1+1+2+2+1</f>
        <v>15</v>
      </c>
      <c r="I4" s="149">
        <f>1+2+5+3+1+4+3</f>
        <v>19</v>
      </c>
      <c r="J4" s="97">
        <f t="shared" ref="J4:J80" si="1">+H4-I4</f>
        <v>-4</v>
      </c>
      <c r="K4" s="100" t="s">
        <v>136</v>
      </c>
      <c r="L4" s="100" t="s">
        <v>136</v>
      </c>
      <c r="M4" s="49">
        <f t="shared" si="0"/>
        <v>1</v>
      </c>
    </row>
    <row r="5" spans="2:13" ht="49.5" customHeight="1" x14ac:dyDescent="0.2">
      <c r="B5" s="36"/>
      <c r="C5" s="101"/>
      <c r="D5" s="101"/>
      <c r="E5" s="94" t="s">
        <v>30</v>
      </c>
      <c r="F5" s="105" t="s">
        <v>137</v>
      </c>
      <c r="G5" s="104" t="s">
        <v>138</v>
      </c>
      <c r="H5" s="97">
        <v>2</v>
      </c>
      <c r="I5" s="149">
        <v>1</v>
      </c>
      <c r="J5" s="97">
        <f>+H5-I5</f>
        <v>1</v>
      </c>
      <c r="K5" s="139" t="s">
        <v>139</v>
      </c>
      <c r="L5" s="139" t="s">
        <v>139</v>
      </c>
      <c r="M5" s="56">
        <f t="shared" si="0"/>
        <v>0.5</v>
      </c>
    </row>
    <row r="6" spans="2:13" ht="45.95" customHeight="1" x14ac:dyDescent="0.2">
      <c r="B6" s="36"/>
      <c r="C6" s="101"/>
      <c r="D6" s="115" t="s">
        <v>140</v>
      </c>
      <c r="E6" s="94" t="s">
        <v>30</v>
      </c>
      <c r="F6" s="148" t="s">
        <v>141</v>
      </c>
      <c r="G6" s="112" t="s">
        <v>142</v>
      </c>
      <c r="H6" s="150">
        <v>1</v>
      </c>
      <c r="I6" s="151">
        <v>0.5</v>
      </c>
      <c r="J6" s="152">
        <f t="shared" si="1"/>
        <v>0.5</v>
      </c>
      <c r="K6" s="100" t="s">
        <v>143</v>
      </c>
      <c r="L6" s="133" t="s">
        <v>89</v>
      </c>
      <c r="M6" s="56">
        <f t="shared" si="0"/>
        <v>0.5</v>
      </c>
    </row>
    <row r="7" spans="2:13" ht="45.95" customHeight="1" x14ac:dyDescent="0.2">
      <c r="B7" s="36"/>
      <c r="C7" s="101"/>
      <c r="D7" s="115"/>
      <c r="E7" s="94" t="s">
        <v>30</v>
      </c>
      <c r="F7" s="129" t="s">
        <v>144</v>
      </c>
      <c r="G7" s="104" t="s">
        <v>145</v>
      </c>
      <c r="H7" s="117">
        <v>1</v>
      </c>
      <c r="I7" s="151">
        <v>0.8</v>
      </c>
      <c r="J7" s="153">
        <f t="shared" si="1"/>
        <v>0.19999999999999996</v>
      </c>
      <c r="K7" s="102" t="s">
        <v>146</v>
      </c>
      <c r="L7" s="154" t="s">
        <v>146</v>
      </c>
      <c r="M7" s="63">
        <f t="shared" si="0"/>
        <v>0.8</v>
      </c>
    </row>
    <row r="8" spans="2:13" ht="40.5" customHeight="1" x14ac:dyDescent="0.2">
      <c r="B8" s="36"/>
      <c r="C8" s="101"/>
      <c r="D8" s="115"/>
      <c r="E8" s="94" t="s">
        <v>30</v>
      </c>
      <c r="F8" s="129" t="s">
        <v>147</v>
      </c>
      <c r="G8" s="104" t="s">
        <v>148</v>
      </c>
      <c r="H8" s="117">
        <v>1</v>
      </c>
      <c r="I8" s="151">
        <v>0.1</v>
      </c>
      <c r="J8" s="153">
        <f t="shared" si="1"/>
        <v>0.9</v>
      </c>
      <c r="K8" s="102"/>
      <c r="L8" s="155"/>
      <c r="M8" s="63">
        <f t="shared" si="0"/>
        <v>0.1</v>
      </c>
    </row>
    <row r="9" spans="2:13" ht="40.5" hidden="1" customHeight="1" x14ac:dyDescent="0.2">
      <c r="B9" s="36"/>
      <c r="C9" s="101"/>
      <c r="D9" s="115"/>
      <c r="E9" s="94" t="s">
        <v>30</v>
      </c>
      <c r="F9" s="148" t="s">
        <v>149</v>
      </c>
      <c r="G9" s="104" t="s">
        <v>150</v>
      </c>
      <c r="H9" s="97">
        <v>1</v>
      </c>
      <c r="I9" s="156">
        <v>1</v>
      </c>
      <c r="J9" s="157">
        <f t="shared" si="1"/>
        <v>0</v>
      </c>
      <c r="K9" s="108"/>
      <c r="L9" s="158"/>
      <c r="M9" s="63">
        <f t="shared" si="0"/>
        <v>1</v>
      </c>
    </row>
    <row r="10" spans="2:13" ht="39" customHeight="1" x14ac:dyDescent="0.2">
      <c r="B10" s="36"/>
      <c r="C10" s="101"/>
      <c r="D10" s="93" t="s">
        <v>151</v>
      </c>
      <c r="E10" s="94" t="s">
        <v>14</v>
      </c>
      <c r="F10" s="105" t="s">
        <v>152</v>
      </c>
      <c r="G10" s="105" t="s">
        <v>153</v>
      </c>
      <c r="H10" s="97">
        <v>1</v>
      </c>
      <c r="I10" s="156"/>
      <c r="J10" s="97">
        <v>3</v>
      </c>
      <c r="K10" s="107" t="s">
        <v>154</v>
      </c>
      <c r="L10" s="107" t="s">
        <v>154</v>
      </c>
      <c r="M10" s="54">
        <f t="shared" si="0"/>
        <v>0</v>
      </c>
    </row>
    <row r="11" spans="2:13" ht="52.5" customHeight="1" x14ac:dyDescent="0.2">
      <c r="B11" s="36"/>
      <c r="C11" s="101"/>
      <c r="D11" s="101"/>
      <c r="E11" s="94" t="s">
        <v>14</v>
      </c>
      <c r="F11" s="100" t="s">
        <v>155</v>
      </c>
      <c r="G11" s="105" t="s">
        <v>156</v>
      </c>
      <c r="H11" s="97">
        <v>1</v>
      </c>
      <c r="I11" s="156"/>
      <c r="J11" s="97">
        <v>1</v>
      </c>
      <c r="K11" s="109"/>
      <c r="L11" s="109"/>
      <c r="M11" s="54">
        <f t="shared" si="0"/>
        <v>0</v>
      </c>
    </row>
    <row r="12" spans="2:13" ht="51.75" customHeight="1" x14ac:dyDescent="0.2">
      <c r="B12" s="36"/>
      <c r="C12" s="101"/>
      <c r="D12" s="101"/>
      <c r="E12" s="94" t="s">
        <v>30</v>
      </c>
      <c r="F12" s="107" t="s">
        <v>157</v>
      </c>
      <c r="G12" s="105" t="s">
        <v>158</v>
      </c>
      <c r="H12" s="97">
        <v>15</v>
      </c>
      <c r="I12" s="156">
        <v>6</v>
      </c>
      <c r="J12" s="97">
        <v>1</v>
      </c>
      <c r="K12" s="109"/>
      <c r="L12" s="109"/>
      <c r="M12" s="54">
        <f t="shared" si="0"/>
        <v>0.4</v>
      </c>
    </row>
    <row r="13" spans="2:13" ht="28.5" customHeight="1" x14ac:dyDescent="0.2">
      <c r="B13" s="36"/>
      <c r="C13" s="101"/>
      <c r="D13" s="101"/>
      <c r="E13" s="94" t="s">
        <v>30</v>
      </c>
      <c r="F13" s="109"/>
      <c r="G13" s="105" t="s">
        <v>159</v>
      </c>
      <c r="H13" s="97">
        <v>35</v>
      </c>
      <c r="I13" s="156">
        <v>48</v>
      </c>
      <c r="J13" s="97">
        <v>1</v>
      </c>
      <c r="K13" s="109"/>
      <c r="L13" s="109"/>
      <c r="M13" s="54">
        <f t="shared" si="0"/>
        <v>1</v>
      </c>
    </row>
    <row r="14" spans="2:13" ht="52.5" customHeight="1" x14ac:dyDescent="0.2">
      <c r="B14" s="36"/>
      <c r="C14" s="101"/>
      <c r="D14" s="101"/>
      <c r="E14" s="94" t="s">
        <v>30</v>
      </c>
      <c r="F14" s="109"/>
      <c r="G14" s="105" t="s">
        <v>160</v>
      </c>
      <c r="H14" s="97">
        <v>1</v>
      </c>
      <c r="I14" s="156">
        <v>10</v>
      </c>
      <c r="J14" s="152">
        <v>0.9</v>
      </c>
      <c r="K14" s="109"/>
      <c r="L14" s="109"/>
      <c r="M14" s="54">
        <f t="shared" si="0"/>
        <v>1</v>
      </c>
    </row>
    <row r="15" spans="2:13" ht="52.5" customHeight="1" x14ac:dyDescent="0.2">
      <c r="B15" s="36"/>
      <c r="C15" s="101"/>
      <c r="D15" s="101"/>
      <c r="E15" s="94" t="s">
        <v>30</v>
      </c>
      <c r="F15" s="109"/>
      <c r="G15" s="105" t="s">
        <v>161</v>
      </c>
      <c r="H15" s="97">
        <v>1</v>
      </c>
      <c r="I15" s="156"/>
      <c r="J15" s="97">
        <v>1</v>
      </c>
      <c r="K15" s="109"/>
      <c r="L15" s="109"/>
      <c r="M15" s="54">
        <f t="shared" si="0"/>
        <v>0</v>
      </c>
    </row>
    <row r="16" spans="2:13" ht="46.5" customHeight="1" x14ac:dyDescent="0.2">
      <c r="B16" s="36"/>
      <c r="C16" s="101"/>
      <c r="D16" s="101"/>
      <c r="E16" s="94" t="s">
        <v>30</v>
      </c>
      <c r="F16" s="109"/>
      <c r="G16" s="105" t="s">
        <v>162</v>
      </c>
      <c r="H16" s="97">
        <v>1</v>
      </c>
      <c r="I16" s="156">
        <v>10</v>
      </c>
      <c r="J16" s="97">
        <v>1</v>
      </c>
      <c r="K16" s="109"/>
      <c r="L16" s="109"/>
      <c r="M16" s="54">
        <f t="shared" si="0"/>
        <v>1</v>
      </c>
    </row>
    <row r="17" spans="2:13" ht="42.75" customHeight="1" x14ac:dyDescent="0.2">
      <c r="B17" s="36"/>
      <c r="C17" s="101"/>
      <c r="D17" s="101"/>
      <c r="E17" s="94" t="s">
        <v>30</v>
      </c>
      <c r="F17" s="109"/>
      <c r="G17" s="105" t="s">
        <v>163</v>
      </c>
      <c r="H17" s="97">
        <v>1</v>
      </c>
      <c r="I17" s="159">
        <v>300</v>
      </c>
      <c r="J17" s="152">
        <v>0.03</v>
      </c>
      <c r="K17" s="109"/>
      <c r="L17" s="109"/>
      <c r="M17" s="54">
        <f t="shared" si="0"/>
        <v>1</v>
      </c>
    </row>
    <row r="18" spans="2:13" ht="48.75" customHeight="1" x14ac:dyDescent="0.2">
      <c r="B18" s="36"/>
      <c r="C18" s="101"/>
      <c r="D18" s="101"/>
      <c r="E18" s="94" t="s">
        <v>30</v>
      </c>
      <c r="F18" s="109"/>
      <c r="G18" s="105" t="s">
        <v>164</v>
      </c>
      <c r="H18" s="97">
        <v>4</v>
      </c>
      <c r="I18" s="160">
        <v>3</v>
      </c>
      <c r="J18" s="152">
        <v>7.0000000000000007E-2</v>
      </c>
      <c r="K18" s="109"/>
      <c r="L18" s="109"/>
      <c r="M18" s="54">
        <f t="shared" si="0"/>
        <v>0.75</v>
      </c>
    </row>
    <row r="19" spans="2:13" ht="43.5" customHeight="1" x14ac:dyDescent="0.2">
      <c r="B19" s="36"/>
      <c r="C19" s="101"/>
      <c r="D19" s="101"/>
      <c r="E19" s="94" t="s">
        <v>30</v>
      </c>
      <c r="F19" s="109"/>
      <c r="G19" s="105" t="s">
        <v>165</v>
      </c>
      <c r="H19" s="97"/>
      <c r="I19" s="160"/>
      <c r="J19" s="152">
        <v>0.02</v>
      </c>
      <c r="K19" s="109"/>
      <c r="L19" s="109"/>
      <c r="M19" s="54"/>
    </row>
    <row r="20" spans="2:13" ht="57.75" customHeight="1" x14ac:dyDescent="0.2">
      <c r="B20" s="36"/>
      <c r="C20" s="101"/>
      <c r="D20" s="101"/>
      <c r="E20" s="94" t="s">
        <v>30</v>
      </c>
      <c r="F20" s="109"/>
      <c r="G20" s="105" t="s">
        <v>166</v>
      </c>
      <c r="H20" s="97"/>
      <c r="I20" s="160"/>
      <c r="J20" s="152">
        <v>0.17</v>
      </c>
      <c r="K20" s="109"/>
      <c r="L20" s="109"/>
      <c r="M20" s="54"/>
    </row>
    <row r="21" spans="2:13" ht="43.5" customHeight="1" x14ac:dyDescent="0.2">
      <c r="B21" s="36"/>
      <c r="C21" s="110"/>
      <c r="D21" s="110"/>
      <c r="E21" s="94" t="s">
        <v>30</v>
      </c>
      <c r="F21" s="109"/>
      <c r="G21" s="105" t="s">
        <v>167</v>
      </c>
      <c r="H21" s="97">
        <v>4</v>
      </c>
      <c r="I21" s="160">
        <v>3</v>
      </c>
      <c r="J21" s="152">
        <v>0.05</v>
      </c>
      <c r="K21" s="109"/>
      <c r="L21" s="109"/>
      <c r="M21" s="54">
        <f t="shared" si="0"/>
        <v>0.75</v>
      </c>
    </row>
    <row r="22" spans="2:13" ht="43.5" customHeight="1" x14ac:dyDescent="0.2">
      <c r="B22" s="36"/>
      <c r="C22" s="114"/>
      <c r="D22" s="114"/>
      <c r="E22" s="94"/>
      <c r="F22" s="113"/>
      <c r="G22" s="105" t="s">
        <v>168</v>
      </c>
      <c r="H22" s="97"/>
      <c r="I22" s="160"/>
      <c r="J22" s="97">
        <v>1</v>
      </c>
      <c r="K22" s="113"/>
      <c r="L22" s="113"/>
      <c r="M22" s="54"/>
    </row>
    <row r="23" spans="2:13" customFormat="1" ht="40.5" hidden="1" customHeight="1" x14ac:dyDescent="0.25">
      <c r="B23" s="36"/>
      <c r="C23" s="93" t="s">
        <v>169</v>
      </c>
      <c r="D23" s="93" t="s">
        <v>170</v>
      </c>
      <c r="E23" s="94" t="s">
        <v>14</v>
      </c>
      <c r="F23" s="129" t="s">
        <v>171</v>
      </c>
      <c r="G23" s="105" t="s">
        <v>172</v>
      </c>
      <c r="H23" s="97">
        <v>1</v>
      </c>
      <c r="I23" s="156">
        <v>1</v>
      </c>
      <c r="J23" s="97">
        <f t="shared" si="1"/>
        <v>0</v>
      </c>
      <c r="K23" s="105" t="s">
        <v>101</v>
      </c>
      <c r="L23" s="137"/>
      <c r="M23" s="44">
        <f t="shared" si="0"/>
        <v>1</v>
      </c>
    </row>
    <row r="24" spans="2:13" customFormat="1" ht="39" customHeight="1" x14ac:dyDescent="0.25">
      <c r="B24" s="36"/>
      <c r="C24" s="101"/>
      <c r="D24" s="101"/>
      <c r="E24" s="94" t="s">
        <v>62</v>
      </c>
      <c r="F24" s="148" t="s">
        <v>173</v>
      </c>
      <c r="G24" s="105" t="s">
        <v>174</v>
      </c>
      <c r="H24" s="97">
        <v>6</v>
      </c>
      <c r="I24" s="161">
        <v>3</v>
      </c>
      <c r="J24" s="97">
        <f t="shared" si="1"/>
        <v>3</v>
      </c>
      <c r="K24" s="105" t="s">
        <v>101</v>
      </c>
      <c r="L24" s="105" t="s">
        <v>101</v>
      </c>
      <c r="M24" s="54">
        <f t="shared" si="0"/>
        <v>0.5</v>
      </c>
    </row>
    <row r="25" spans="2:13" ht="41.25" hidden="1" customHeight="1" x14ac:dyDescent="0.2">
      <c r="B25" s="36"/>
      <c r="C25" s="101"/>
      <c r="D25" s="134" t="s">
        <v>175</v>
      </c>
      <c r="E25" s="94" t="s">
        <v>30</v>
      </c>
      <c r="F25" s="148" t="s">
        <v>176</v>
      </c>
      <c r="G25" s="105" t="s">
        <v>172</v>
      </c>
      <c r="H25" s="97">
        <v>1</v>
      </c>
      <c r="I25" s="156">
        <v>1</v>
      </c>
      <c r="J25" s="97">
        <f t="shared" si="1"/>
        <v>0</v>
      </c>
      <c r="K25" s="105" t="s">
        <v>103</v>
      </c>
      <c r="L25" s="137"/>
      <c r="M25" s="54">
        <f t="shared" si="0"/>
        <v>1</v>
      </c>
    </row>
    <row r="26" spans="2:13" ht="41.25" hidden="1" customHeight="1" x14ac:dyDescent="0.2">
      <c r="B26" s="36"/>
      <c r="C26" s="101"/>
      <c r="D26" s="138"/>
      <c r="E26" s="94" t="s">
        <v>30</v>
      </c>
      <c r="F26" s="129" t="s">
        <v>177</v>
      </c>
      <c r="G26" s="105" t="s">
        <v>172</v>
      </c>
      <c r="H26" s="97">
        <v>1</v>
      </c>
      <c r="I26" s="156">
        <v>1</v>
      </c>
      <c r="J26" s="97">
        <f t="shared" si="1"/>
        <v>0</v>
      </c>
      <c r="K26" s="139"/>
      <c r="L26" s="132"/>
      <c r="M26" s="54">
        <f t="shared" si="0"/>
        <v>1</v>
      </c>
    </row>
    <row r="27" spans="2:13" ht="45" customHeight="1" x14ac:dyDescent="0.2">
      <c r="B27" s="36"/>
      <c r="C27" s="101"/>
      <c r="D27" s="93" t="s">
        <v>175</v>
      </c>
      <c r="E27" s="94" t="s">
        <v>62</v>
      </c>
      <c r="F27" s="148" t="s">
        <v>178</v>
      </c>
      <c r="G27" s="105" t="s">
        <v>179</v>
      </c>
      <c r="H27" s="97">
        <v>200</v>
      </c>
      <c r="I27" s="156"/>
      <c r="J27" s="97">
        <f t="shared" si="1"/>
        <v>200</v>
      </c>
      <c r="K27" s="107" t="s">
        <v>103</v>
      </c>
      <c r="L27" s="107" t="s">
        <v>103</v>
      </c>
      <c r="M27" s="54">
        <f t="shared" si="0"/>
        <v>0</v>
      </c>
    </row>
    <row r="28" spans="2:13" ht="45" customHeight="1" x14ac:dyDescent="0.2">
      <c r="B28" s="36"/>
      <c r="C28" s="101"/>
      <c r="D28" s="110"/>
      <c r="E28" s="94" t="s">
        <v>62</v>
      </c>
      <c r="F28" s="129" t="s">
        <v>180</v>
      </c>
      <c r="G28" s="105" t="s">
        <v>181</v>
      </c>
      <c r="H28" s="97">
        <v>3</v>
      </c>
      <c r="I28" s="156"/>
      <c r="J28" s="97">
        <f t="shared" si="1"/>
        <v>3</v>
      </c>
      <c r="K28" s="113"/>
      <c r="L28" s="113"/>
      <c r="M28" s="54">
        <f t="shared" si="0"/>
        <v>0</v>
      </c>
    </row>
    <row r="29" spans="2:13" ht="51" customHeight="1" x14ac:dyDescent="0.2">
      <c r="B29" s="36"/>
      <c r="C29" s="101"/>
      <c r="D29" s="93" t="s">
        <v>527</v>
      </c>
      <c r="E29" s="94" t="s">
        <v>30</v>
      </c>
      <c r="F29" s="129" t="s">
        <v>182</v>
      </c>
      <c r="G29" s="105" t="s">
        <v>183</v>
      </c>
      <c r="H29" s="156">
        <v>1</v>
      </c>
      <c r="I29" s="156">
        <v>0</v>
      </c>
      <c r="J29" s="149">
        <v>7</v>
      </c>
      <c r="K29" s="107" t="s">
        <v>136</v>
      </c>
      <c r="L29" s="107" t="s">
        <v>136</v>
      </c>
      <c r="M29" s="54">
        <f t="shared" si="0"/>
        <v>0</v>
      </c>
    </row>
    <row r="30" spans="2:13" ht="78.75" customHeight="1" x14ac:dyDescent="0.2">
      <c r="B30" s="36"/>
      <c r="C30" s="101"/>
      <c r="D30" s="101"/>
      <c r="E30" s="94" t="s">
        <v>62</v>
      </c>
      <c r="F30" s="162" t="s">
        <v>184</v>
      </c>
      <c r="G30" s="105" t="s">
        <v>185</v>
      </c>
      <c r="H30" s="163">
        <v>0.7</v>
      </c>
      <c r="I30" s="164">
        <v>0</v>
      </c>
      <c r="J30" s="163">
        <f t="shared" si="1"/>
        <v>0.7</v>
      </c>
      <c r="K30" s="113"/>
      <c r="L30" s="113"/>
      <c r="M30" s="54">
        <f t="shared" si="0"/>
        <v>0</v>
      </c>
    </row>
    <row r="31" spans="2:13" ht="136.5" customHeight="1" x14ac:dyDescent="0.2">
      <c r="B31" s="85" t="s">
        <v>186</v>
      </c>
      <c r="C31" s="146" t="s">
        <v>187</v>
      </c>
      <c r="D31" s="146" t="s">
        <v>188</v>
      </c>
      <c r="E31" s="94" t="s">
        <v>14</v>
      </c>
      <c r="F31" s="51" t="s">
        <v>189</v>
      </c>
      <c r="G31" s="105" t="s">
        <v>190</v>
      </c>
      <c r="H31" s="97">
        <f>5+2+4+1+1+1+1</f>
        <v>15</v>
      </c>
      <c r="I31" s="156">
        <v>7</v>
      </c>
      <c r="J31" s="97">
        <f>+H31-I31</f>
        <v>8</v>
      </c>
      <c r="K31" s="105" t="s">
        <v>191</v>
      </c>
      <c r="L31" s="105" t="s">
        <v>191</v>
      </c>
      <c r="M31" s="56">
        <f t="shared" si="0"/>
        <v>0.46666666666666667</v>
      </c>
    </row>
    <row r="32" spans="2:13" ht="63.75" customHeight="1" x14ac:dyDescent="0.2">
      <c r="B32" s="91" t="s">
        <v>192</v>
      </c>
      <c r="C32" s="93" t="s">
        <v>193</v>
      </c>
      <c r="D32" s="93" t="s">
        <v>194</v>
      </c>
      <c r="E32" s="94" t="s">
        <v>14</v>
      </c>
      <c r="F32" s="107" t="s">
        <v>195</v>
      </c>
      <c r="G32" s="105" t="s">
        <v>196</v>
      </c>
      <c r="H32" s="117">
        <v>0.05</v>
      </c>
      <c r="I32" s="165">
        <v>2.6499999999999999E-2</v>
      </c>
      <c r="J32" s="152">
        <f t="shared" si="1"/>
        <v>2.3500000000000004E-2</v>
      </c>
      <c r="K32" s="107" t="s">
        <v>17</v>
      </c>
      <c r="L32" s="154" t="s">
        <v>197</v>
      </c>
      <c r="M32" s="56">
        <f t="shared" si="0"/>
        <v>0.52999999999999992</v>
      </c>
    </row>
    <row r="33" spans="2:13" ht="31.5" customHeight="1" x14ac:dyDescent="0.2">
      <c r="B33" s="92"/>
      <c r="C33" s="101"/>
      <c r="D33" s="101"/>
      <c r="E33" s="94" t="s">
        <v>14</v>
      </c>
      <c r="F33" s="109"/>
      <c r="G33" s="105" t="s">
        <v>198</v>
      </c>
      <c r="H33" s="117">
        <v>0.6</v>
      </c>
      <c r="I33" s="167">
        <v>0.44700000000000001</v>
      </c>
      <c r="J33" s="152">
        <f t="shared" si="1"/>
        <v>0.15299999999999997</v>
      </c>
      <c r="K33" s="109"/>
      <c r="L33" s="169"/>
      <c r="M33" s="56">
        <f t="shared" si="0"/>
        <v>0.745</v>
      </c>
    </row>
    <row r="34" spans="2:13" ht="31.5" hidden="1" customHeight="1" x14ac:dyDescent="0.2">
      <c r="B34" s="92"/>
      <c r="C34" s="101"/>
      <c r="D34" s="101"/>
      <c r="E34" s="94" t="s">
        <v>30</v>
      </c>
      <c r="F34" s="126"/>
      <c r="G34" s="105" t="s">
        <v>199</v>
      </c>
      <c r="H34" s="117">
        <v>0.35</v>
      </c>
      <c r="I34" s="168">
        <v>0.42899999999999999</v>
      </c>
      <c r="J34" s="152">
        <f t="shared" si="1"/>
        <v>-7.9000000000000015E-2</v>
      </c>
      <c r="K34" s="139"/>
      <c r="L34" s="169"/>
      <c r="M34" s="44">
        <f t="shared" si="0"/>
        <v>1</v>
      </c>
    </row>
    <row r="35" spans="2:13" ht="34.5" hidden="1" customHeight="1" x14ac:dyDescent="0.2">
      <c r="B35" s="92"/>
      <c r="C35" s="101"/>
      <c r="D35" s="101"/>
      <c r="E35" s="94" t="s">
        <v>14</v>
      </c>
      <c r="F35" s="148" t="s">
        <v>200</v>
      </c>
      <c r="G35" s="105" t="s">
        <v>201</v>
      </c>
      <c r="H35" s="117">
        <v>1</v>
      </c>
      <c r="I35" s="167">
        <v>1</v>
      </c>
      <c r="J35" s="157">
        <f t="shared" si="1"/>
        <v>0</v>
      </c>
      <c r="K35" s="105" t="s">
        <v>202</v>
      </c>
      <c r="L35" s="169"/>
      <c r="M35" s="64">
        <f t="shared" si="0"/>
        <v>1</v>
      </c>
    </row>
    <row r="36" spans="2:13" ht="63.75" customHeight="1" x14ac:dyDescent="0.2">
      <c r="B36" s="92"/>
      <c r="C36" s="101"/>
      <c r="D36" s="101"/>
      <c r="E36" s="94" t="s">
        <v>14</v>
      </c>
      <c r="F36" s="148" t="s">
        <v>203</v>
      </c>
      <c r="G36" s="105" t="s">
        <v>204</v>
      </c>
      <c r="H36" s="97">
        <v>1</v>
      </c>
      <c r="I36" s="149">
        <v>0</v>
      </c>
      <c r="J36" s="157">
        <f t="shared" si="1"/>
        <v>1</v>
      </c>
      <c r="K36" s="107" t="s">
        <v>17</v>
      </c>
      <c r="L36" s="169"/>
      <c r="M36" s="65">
        <f t="shared" si="0"/>
        <v>0</v>
      </c>
    </row>
    <row r="37" spans="2:13" ht="38.450000000000003" customHeight="1" x14ac:dyDescent="0.2">
      <c r="B37" s="92"/>
      <c r="C37" s="101"/>
      <c r="D37" s="101"/>
      <c r="E37" s="94" t="s">
        <v>14</v>
      </c>
      <c r="F37" s="148" t="s">
        <v>205</v>
      </c>
      <c r="G37" s="105" t="s">
        <v>206</v>
      </c>
      <c r="H37" s="97">
        <v>1</v>
      </c>
      <c r="I37" s="156">
        <v>0</v>
      </c>
      <c r="J37" s="157">
        <f t="shared" si="1"/>
        <v>1</v>
      </c>
      <c r="K37" s="113"/>
      <c r="L37" s="155"/>
      <c r="M37" s="65">
        <f t="shared" si="0"/>
        <v>0</v>
      </c>
    </row>
    <row r="38" spans="2:13" ht="38.25" customHeight="1" x14ac:dyDescent="0.2">
      <c r="B38" s="92"/>
      <c r="C38" s="101"/>
      <c r="D38" s="101"/>
      <c r="E38" s="94" t="s">
        <v>14</v>
      </c>
      <c r="F38" s="148" t="s">
        <v>207</v>
      </c>
      <c r="G38" s="104" t="s">
        <v>208</v>
      </c>
      <c r="H38" s="97">
        <v>170</v>
      </c>
      <c r="I38" s="156">
        <v>182</v>
      </c>
      <c r="J38" s="157">
        <v>170</v>
      </c>
      <c r="K38" s="107" t="s">
        <v>23</v>
      </c>
      <c r="L38" s="154" t="s">
        <v>27</v>
      </c>
      <c r="M38" s="64">
        <f t="shared" si="0"/>
        <v>1</v>
      </c>
    </row>
    <row r="39" spans="2:13" ht="33" hidden="1" customHeight="1" x14ac:dyDescent="0.2">
      <c r="B39" s="92"/>
      <c r="C39" s="101"/>
      <c r="D39" s="93" t="s">
        <v>209</v>
      </c>
      <c r="E39" s="94" t="s">
        <v>30</v>
      </c>
      <c r="F39" s="105" t="s">
        <v>210</v>
      </c>
      <c r="G39" s="104" t="s">
        <v>211</v>
      </c>
      <c r="H39" s="97">
        <v>8</v>
      </c>
      <c r="I39" s="156">
        <f>5+3</f>
        <v>8</v>
      </c>
      <c r="J39" s="157">
        <f>+H39-I39</f>
        <v>0</v>
      </c>
      <c r="K39" s="109"/>
      <c r="L39" s="169"/>
      <c r="M39" s="64">
        <f t="shared" si="0"/>
        <v>1</v>
      </c>
    </row>
    <row r="40" spans="2:13" ht="32.25" customHeight="1" x14ac:dyDescent="0.2">
      <c r="B40" s="92"/>
      <c r="C40" s="101"/>
      <c r="D40" s="101"/>
      <c r="E40" s="94" t="s">
        <v>14</v>
      </c>
      <c r="F40" s="109" t="s">
        <v>210</v>
      </c>
      <c r="G40" s="104" t="s">
        <v>212</v>
      </c>
      <c r="H40" s="97">
        <v>25</v>
      </c>
      <c r="I40" s="156">
        <f>14+9</f>
        <v>23</v>
      </c>
      <c r="J40" s="157">
        <f>+H40-I40</f>
        <v>2</v>
      </c>
      <c r="K40" s="109"/>
      <c r="L40" s="169"/>
      <c r="M40" s="65">
        <f t="shared" si="0"/>
        <v>0.92</v>
      </c>
    </row>
    <row r="41" spans="2:13" ht="62.25" customHeight="1" x14ac:dyDescent="0.2">
      <c r="B41" s="92"/>
      <c r="C41" s="101"/>
      <c r="D41" s="101"/>
      <c r="E41" s="94" t="s">
        <v>30</v>
      </c>
      <c r="F41" s="113"/>
      <c r="G41" s="104" t="s">
        <v>213</v>
      </c>
      <c r="H41" s="97">
        <v>1</v>
      </c>
      <c r="I41" s="156"/>
      <c r="J41" s="157">
        <v>1</v>
      </c>
      <c r="K41" s="109"/>
      <c r="L41" s="169"/>
      <c r="M41" s="78">
        <f t="shared" si="0"/>
        <v>0</v>
      </c>
    </row>
    <row r="42" spans="2:13" ht="21" hidden="1" customHeight="1" x14ac:dyDescent="0.2">
      <c r="B42" s="92"/>
      <c r="C42" s="101"/>
      <c r="D42" s="101"/>
      <c r="E42" s="94" t="s">
        <v>14</v>
      </c>
      <c r="F42" s="105" t="s">
        <v>214</v>
      </c>
      <c r="G42" s="104" t="s">
        <v>215</v>
      </c>
      <c r="H42" s="97">
        <v>1</v>
      </c>
      <c r="I42" s="156">
        <v>1</v>
      </c>
      <c r="J42" s="157">
        <f t="shared" si="1"/>
        <v>0</v>
      </c>
      <c r="K42" s="109"/>
      <c r="L42" s="169"/>
      <c r="M42" s="64">
        <f t="shared" si="0"/>
        <v>1</v>
      </c>
    </row>
    <row r="43" spans="2:13" ht="51.75" customHeight="1" x14ac:dyDescent="0.2">
      <c r="B43" s="92"/>
      <c r="C43" s="101"/>
      <c r="D43" s="101"/>
      <c r="E43" s="94" t="s">
        <v>30</v>
      </c>
      <c r="F43" s="109" t="s">
        <v>214</v>
      </c>
      <c r="G43" s="104" t="s">
        <v>216</v>
      </c>
      <c r="H43" s="97">
        <v>550</v>
      </c>
      <c r="I43" s="156">
        <v>274</v>
      </c>
      <c r="J43" s="157">
        <f t="shared" si="1"/>
        <v>276</v>
      </c>
      <c r="K43" s="113"/>
      <c r="L43" s="155"/>
      <c r="M43" s="63">
        <f t="shared" si="0"/>
        <v>0.49818181818181817</v>
      </c>
    </row>
    <row r="44" spans="2:13" ht="56.25" customHeight="1" x14ac:dyDescent="0.2">
      <c r="B44" s="92"/>
      <c r="C44" s="101"/>
      <c r="D44" s="101"/>
      <c r="E44" s="94" t="s">
        <v>62</v>
      </c>
      <c r="F44" s="113"/>
      <c r="G44" s="104" t="s">
        <v>528</v>
      </c>
      <c r="H44" s="97">
        <v>10</v>
      </c>
      <c r="I44" s="164">
        <v>0</v>
      </c>
      <c r="J44" s="97">
        <v>150</v>
      </c>
      <c r="K44" s="139" t="s">
        <v>136</v>
      </c>
      <c r="L44" s="139" t="s">
        <v>136</v>
      </c>
      <c r="M44" s="54">
        <f t="shared" si="0"/>
        <v>0</v>
      </c>
    </row>
    <row r="45" spans="2:13" ht="35.25" customHeight="1" x14ac:dyDescent="0.2">
      <c r="B45" s="86"/>
      <c r="C45" s="170" t="s">
        <v>217</v>
      </c>
      <c r="D45" s="115" t="s">
        <v>218</v>
      </c>
      <c r="E45" s="94" t="s">
        <v>14</v>
      </c>
      <c r="F45" s="139" t="s">
        <v>219</v>
      </c>
      <c r="G45" s="104" t="s">
        <v>29</v>
      </c>
      <c r="H45" s="97">
        <v>1</v>
      </c>
      <c r="I45" s="164">
        <v>0</v>
      </c>
      <c r="J45" s="97">
        <v>1</v>
      </c>
      <c r="K45" s="107" t="s">
        <v>220</v>
      </c>
      <c r="L45" s="107" t="s">
        <v>220</v>
      </c>
      <c r="M45" s="54">
        <f t="shared" si="0"/>
        <v>0</v>
      </c>
    </row>
    <row r="46" spans="2:13" ht="66.75" customHeight="1" x14ac:dyDescent="0.2">
      <c r="B46" s="87" t="s">
        <v>221</v>
      </c>
      <c r="C46" s="171"/>
      <c r="D46" s="115"/>
      <c r="E46" s="94" t="s">
        <v>30</v>
      </c>
      <c r="F46" s="105" t="s">
        <v>222</v>
      </c>
      <c r="G46" s="104" t="s">
        <v>223</v>
      </c>
      <c r="H46" s="172">
        <f>5850+5900+5950+6000</f>
        <v>23700</v>
      </c>
      <c r="I46" s="173">
        <f>9838+8219+23953</f>
        <v>42010</v>
      </c>
      <c r="J46" s="116">
        <v>6000</v>
      </c>
      <c r="K46" s="109"/>
      <c r="L46" s="109"/>
      <c r="M46" s="44">
        <f t="shared" si="0"/>
        <v>1</v>
      </c>
    </row>
    <row r="47" spans="2:13" ht="74.25" customHeight="1" x14ac:dyDescent="0.2">
      <c r="B47" s="88"/>
      <c r="C47" s="171"/>
      <c r="D47" s="115"/>
      <c r="E47" s="94" t="s">
        <v>30</v>
      </c>
      <c r="F47" s="139"/>
      <c r="G47" s="104" t="s">
        <v>224</v>
      </c>
      <c r="H47" s="172">
        <f>10000+10100+10200+10300</f>
        <v>40600</v>
      </c>
      <c r="I47" s="173">
        <f>16684+37662+27961</f>
        <v>82307</v>
      </c>
      <c r="J47" s="116">
        <v>36500</v>
      </c>
      <c r="K47" s="109"/>
      <c r="L47" s="109"/>
      <c r="M47" s="44">
        <f>IF((I48/H47)&lt;100%,(I48/H47),100%)</f>
        <v>1</v>
      </c>
    </row>
    <row r="48" spans="2:13" ht="54.75" customHeight="1" x14ac:dyDescent="0.2">
      <c r="B48" s="88"/>
      <c r="C48" s="171"/>
      <c r="D48" s="115"/>
      <c r="E48" s="94" t="s">
        <v>30</v>
      </c>
      <c r="F48" s="139"/>
      <c r="G48" s="104" t="s">
        <v>225</v>
      </c>
      <c r="H48" s="172">
        <f>35000+35500+36000+36500</f>
        <v>143000</v>
      </c>
      <c r="I48" s="173">
        <f>39923+11854+53636</f>
        <v>105413</v>
      </c>
      <c r="J48" s="116">
        <v>10300</v>
      </c>
      <c r="K48" s="109"/>
      <c r="L48" s="109"/>
      <c r="M48" s="56">
        <f>IF((I47/H48)&lt;100%,(I47/H48),100%)</f>
        <v>0.57557342657342658</v>
      </c>
    </row>
    <row r="49" spans="2:20" ht="39" customHeight="1" x14ac:dyDescent="0.2">
      <c r="B49" s="88"/>
      <c r="C49" s="171"/>
      <c r="D49" s="115"/>
      <c r="E49" s="94" t="s">
        <v>30</v>
      </c>
      <c r="F49" s="105" t="s">
        <v>226</v>
      </c>
      <c r="G49" s="104" t="s">
        <v>227</v>
      </c>
      <c r="H49" s="97">
        <v>1</v>
      </c>
      <c r="I49" s="156">
        <v>0</v>
      </c>
      <c r="J49" s="97">
        <f t="shared" ref="J49" si="2">+H49-I49</f>
        <v>1</v>
      </c>
      <c r="K49" s="109"/>
      <c r="L49" s="109"/>
      <c r="M49" s="56"/>
    </row>
    <row r="50" spans="2:20" ht="39" customHeight="1" x14ac:dyDescent="0.2">
      <c r="B50" s="88"/>
      <c r="C50" s="171"/>
      <c r="D50" s="115"/>
      <c r="E50" s="94" t="s">
        <v>30</v>
      </c>
      <c r="F50" s="139"/>
      <c r="G50" s="104" t="s">
        <v>228</v>
      </c>
      <c r="H50" s="97">
        <v>1</v>
      </c>
      <c r="I50" s="156">
        <v>0</v>
      </c>
      <c r="J50" s="157">
        <f>2*7</f>
        <v>14</v>
      </c>
      <c r="K50" s="109"/>
      <c r="L50" s="109"/>
      <c r="M50" s="57">
        <f t="shared" si="0"/>
        <v>0</v>
      </c>
    </row>
    <row r="51" spans="2:20" ht="39" customHeight="1" x14ac:dyDescent="0.2">
      <c r="B51" s="88"/>
      <c r="C51" s="171"/>
      <c r="D51" s="115"/>
      <c r="E51" s="174" t="s">
        <v>14</v>
      </c>
      <c r="F51" s="108"/>
      <c r="G51" s="104" t="s">
        <v>229</v>
      </c>
      <c r="H51" s="97">
        <v>1</v>
      </c>
      <c r="I51" s="156">
        <v>0</v>
      </c>
      <c r="J51" s="157">
        <v>1</v>
      </c>
      <c r="K51" s="113"/>
      <c r="L51" s="113"/>
      <c r="M51" s="57">
        <f t="shared" si="0"/>
        <v>0</v>
      </c>
    </row>
    <row r="52" spans="2:20" ht="36" customHeight="1" x14ac:dyDescent="0.2">
      <c r="B52" s="88"/>
      <c r="C52" s="171"/>
      <c r="D52" s="93" t="s">
        <v>230</v>
      </c>
      <c r="E52" s="94" t="s">
        <v>30</v>
      </c>
      <c r="F52" s="126" t="s">
        <v>231</v>
      </c>
      <c r="G52" s="104" t="s">
        <v>232</v>
      </c>
      <c r="H52" s="97">
        <f>80+130+160+180</f>
        <v>550</v>
      </c>
      <c r="I52" s="156">
        <f>381+389</f>
        <v>770</v>
      </c>
      <c r="J52" s="157">
        <v>200</v>
      </c>
      <c r="K52" s="100" t="s">
        <v>27</v>
      </c>
      <c r="L52" s="107" t="s">
        <v>27</v>
      </c>
      <c r="M52" s="64">
        <f t="shared" si="0"/>
        <v>1</v>
      </c>
    </row>
    <row r="53" spans="2:20" ht="43.5" customHeight="1" x14ac:dyDescent="0.2">
      <c r="B53" s="88"/>
      <c r="C53" s="171"/>
      <c r="D53" s="101"/>
      <c r="E53" s="94" t="s">
        <v>14</v>
      </c>
      <c r="F53" s="148" t="s">
        <v>233</v>
      </c>
      <c r="G53" s="104" t="s">
        <v>234</v>
      </c>
      <c r="H53" s="152">
        <v>1</v>
      </c>
      <c r="I53" s="156">
        <v>0</v>
      </c>
      <c r="J53" s="157">
        <f t="shared" si="1"/>
        <v>1</v>
      </c>
      <c r="K53" s="100" t="s">
        <v>27</v>
      </c>
      <c r="L53" s="113"/>
      <c r="M53" s="66">
        <f t="shared" si="0"/>
        <v>0</v>
      </c>
    </row>
    <row r="54" spans="2:20" ht="36" customHeight="1" x14ac:dyDescent="0.2">
      <c r="B54" s="88"/>
      <c r="C54" s="171"/>
      <c r="D54" s="101"/>
      <c r="E54" s="94" t="s">
        <v>14</v>
      </c>
      <c r="F54" s="148" t="s">
        <v>235</v>
      </c>
      <c r="G54" s="104" t="s">
        <v>236</v>
      </c>
      <c r="H54" s="175">
        <v>2</v>
      </c>
      <c r="I54" s="156">
        <v>0</v>
      </c>
      <c r="J54" s="157">
        <v>2</v>
      </c>
      <c r="K54" s="107" t="s">
        <v>23</v>
      </c>
      <c r="L54" s="176" t="s">
        <v>89</v>
      </c>
      <c r="M54" s="66">
        <f t="shared" si="0"/>
        <v>0</v>
      </c>
    </row>
    <row r="55" spans="2:20" ht="34.5" customHeight="1" x14ac:dyDescent="0.2">
      <c r="B55" s="88"/>
      <c r="C55" s="171"/>
      <c r="D55" s="101"/>
      <c r="E55" s="94" t="s">
        <v>14</v>
      </c>
      <c r="F55" s="148" t="s">
        <v>237</v>
      </c>
      <c r="G55" s="104" t="s">
        <v>238</v>
      </c>
      <c r="H55" s="97">
        <v>1</v>
      </c>
      <c r="I55" s="156">
        <v>0</v>
      </c>
      <c r="J55" s="177">
        <f t="shared" si="1"/>
        <v>1</v>
      </c>
      <c r="K55" s="109"/>
      <c r="L55" s="176"/>
      <c r="M55" s="66">
        <f t="shared" si="0"/>
        <v>0</v>
      </c>
    </row>
    <row r="56" spans="2:20" ht="34.5" customHeight="1" x14ac:dyDescent="0.2">
      <c r="B56" s="88"/>
      <c r="C56" s="171"/>
      <c r="D56" s="101"/>
      <c r="E56" s="94" t="s">
        <v>14</v>
      </c>
      <c r="F56" s="148" t="s">
        <v>239</v>
      </c>
      <c r="G56" s="104" t="s">
        <v>240</v>
      </c>
      <c r="H56" s="97">
        <v>1</v>
      </c>
      <c r="I56" s="156"/>
      <c r="J56" s="149">
        <f t="shared" si="1"/>
        <v>1</v>
      </c>
      <c r="K56" s="109"/>
      <c r="L56" s="176"/>
      <c r="M56" s="57">
        <f t="shared" si="0"/>
        <v>0</v>
      </c>
      <c r="S56" s="3">
        <v>874</v>
      </c>
    </row>
    <row r="57" spans="2:20" ht="34.5" customHeight="1" x14ac:dyDescent="0.2">
      <c r="B57" s="88"/>
      <c r="C57" s="171"/>
      <c r="D57" s="101"/>
      <c r="E57" s="94" t="s">
        <v>14</v>
      </c>
      <c r="F57" s="148" t="s">
        <v>241</v>
      </c>
      <c r="G57" s="104" t="s">
        <v>242</v>
      </c>
      <c r="H57" s="97">
        <v>1</v>
      </c>
      <c r="I57" s="156"/>
      <c r="J57" s="149">
        <f t="shared" si="1"/>
        <v>1</v>
      </c>
      <c r="K57" s="109"/>
      <c r="L57" s="176"/>
      <c r="M57" s="57">
        <f t="shared" si="0"/>
        <v>0</v>
      </c>
    </row>
    <row r="58" spans="2:20" ht="34.5" customHeight="1" x14ac:dyDescent="0.2">
      <c r="B58" s="88"/>
      <c r="C58" s="171"/>
      <c r="D58" s="101"/>
      <c r="E58" s="94" t="s">
        <v>14</v>
      </c>
      <c r="F58" s="148" t="s">
        <v>243</v>
      </c>
      <c r="G58" s="104" t="s">
        <v>244</v>
      </c>
      <c r="H58" s="97">
        <v>1</v>
      </c>
      <c r="I58" s="156"/>
      <c r="J58" s="149">
        <f t="shared" si="1"/>
        <v>1</v>
      </c>
      <c r="K58" s="109"/>
      <c r="L58" s="176"/>
      <c r="M58" s="57">
        <f t="shared" si="0"/>
        <v>0</v>
      </c>
    </row>
    <row r="59" spans="2:20" ht="37.5" customHeight="1" x14ac:dyDescent="0.2">
      <c r="B59" s="88"/>
      <c r="C59" s="171"/>
      <c r="D59" s="93" t="s">
        <v>245</v>
      </c>
      <c r="E59" s="94" t="s">
        <v>14</v>
      </c>
      <c r="F59" s="148" t="s">
        <v>246</v>
      </c>
      <c r="G59" s="104" t="s">
        <v>247</v>
      </c>
      <c r="H59" s="117">
        <v>0.18</v>
      </c>
      <c r="I59" s="168">
        <v>0.20699999999999999</v>
      </c>
      <c r="J59" s="152">
        <v>0.18</v>
      </c>
      <c r="K59" s="109"/>
      <c r="L59" s="176"/>
      <c r="M59" s="56">
        <f>IF((I59&lt;H59)&gt;100%,(J59*-800%),80%)</f>
        <v>-1.44</v>
      </c>
      <c r="S59" s="3">
        <v>654</v>
      </c>
      <c r="T59" s="3">
        <f>+S59-S56</f>
        <v>-220</v>
      </c>
    </row>
    <row r="60" spans="2:20" ht="37.5" customHeight="1" x14ac:dyDescent="0.2">
      <c r="B60" s="88"/>
      <c r="C60" s="171"/>
      <c r="D60" s="101"/>
      <c r="E60" s="94" t="s">
        <v>14</v>
      </c>
      <c r="F60" s="148" t="s">
        <v>248</v>
      </c>
      <c r="G60" s="104" t="s">
        <v>249</v>
      </c>
      <c r="H60" s="117">
        <v>0.08</v>
      </c>
      <c r="I60" s="165">
        <v>0.109</v>
      </c>
      <c r="J60" s="152">
        <v>0.08</v>
      </c>
      <c r="K60" s="113"/>
      <c r="L60" s="176"/>
      <c r="M60" s="56">
        <f t="shared" si="0"/>
        <v>1</v>
      </c>
      <c r="S60" s="3">
        <v>813</v>
      </c>
      <c r="T60" s="3">
        <f t="shared" ref="T60" si="3">+S60-S59</f>
        <v>159</v>
      </c>
    </row>
    <row r="61" spans="2:20" ht="36.6" customHeight="1" x14ac:dyDescent="0.2">
      <c r="B61" s="88"/>
      <c r="C61" s="171"/>
      <c r="D61" s="101"/>
      <c r="E61" s="94" t="s">
        <v>14</v>
      </c>
      <c r="F61" s="148" t="s">
        <v>250</v>
      </c>
      <c r="G61" s="104" t="s">
        <v>251</v>
      </c>
      <c r="H61" s="97">
        <f>450+452+455+460</f>
        <v>1817</v>
      </c>
      <c r="I61" s="156">
        <f>885+983+380+77+224+177</f>
        <v>2726</v>
      </c>
      <c r="J61" s="116">
        <v>865</v>
      </c>
      <c r="K61" s="107" t="s">
        <v>220</v>
      </c>
      <c r="L61" s="107" t="s">
        <v>220</v>
      </c>
      <c r="M61" s="44">
        <f t="shared" si="0"/>
        <v>1</v>
      </c>
      <c r="S61" s="3">
        <v>779</v>
      </c>
      <c r="T61" s="43" t="e">
        <f>+S61-#REF!</f>
        <v>#REF!</v>
      </c>
    </row>
    <row r="62" spans="2:20" ht="42.75" customHeight="1" x14ac:dyDescent="0.2">
      <c r="B62" s="88"/>
      <c r="C62" s="178"/>
      <c r="D62" s="110"/>
      <c r="E62" s="94" t="s">
        <v>14</v>
      </c>
      <c r="F62" s="148" t="s">
        <v>252</v>
      </c>
      <c r="G62" s="104" t="s">
        <v>253</v>
      </c>
      <c r="H62" s="97">
        <f>820+830+840+850</f>
        <v>3340</v>
      </c>
      <c r="I62" s="156">
        <f>927+773+867</f>
        <v>2567</v>
      </c>
      <c r="J62" s="97">
        <v>845</v>
      </c>
      <c r="K62" s="113"/>
      <c r="L62" s="113"/>
      <c r="M62" s="54">
        <f t="shared" si="0"/>
        <v>0.76856287425149705</v>
      </c>
      <c r="S62" s="3">
        <v>867</v>
      </c>
      <c r="T62" s="3">
        <f>+S62-S61</f>
        <v>88</v>
      </c>
    </row>
    <row r="63" spans="2:20" ht="48" hidden="1" customHeight="1" x14ac:dyDescent="0.2">
      <c r="B63" s="88"/>
      <c r="C63" s="134" t="s">
        <v>254</v>
      </c>
      <c r="D63" s="134" t="s">
        <v>255</v>
      </c>
      <c r="E63" s="94" t="s">
        <v>62</v>
      </c>
      <c r="F63" s="148" t="s">
        <v>256</v>
      </c>
      <c r="G63" s="104" t="s">
        <v>257</v>
      </c>
      <c r="H63" s="97">
        <v>1</v>
      </c>
      <c r="I63" s="156">
        <v>1</v>
      </c>
      <c r="J63" s="97">
        <f t="shared" si="1"/>
        <v>0</v>
      </c>
      <c r="K63" s="105" t="s">
        <v>258</v>
      </c>
      <c r="L63" s="137"/>
      <c r="M63" s="54">
        <f t="shared" si="0"/>
        <v>1</v>
      </c>
      <c r="S63" s="42"/>
    </row>
    <row r="64" spans="2:20" ht="52.5" customHeight="1" x14ac:dyDescent="0.2">
      <c r="B64" s="88"/>
      <c r="C64" s="93" t="s">
        <v>254</v>
      </c>
      <c r="D64" s="93" t="s">
        <v>255</v>
      </c>
      <c r="E64" s="94" t="s">
        <v>30</v>
      </c>
      <c r="F64" s="148" t="s">
        <v>259</v>
      </c>
      <c r="G64" s="104" t="s">
        <v>260</v>
      </c>
      <c r="H64" s="149">
        <f>60+100+150</f>
        <v>310</v>
      </c>
      <c r="I64" s="156">
        <v>140</v>
      </c>
      <c r="J64" s="97">
        <f t="shared" si="1"/>
        <v>170</v>
      </c>
      <c r="K64" s="107" t="s">
        <v>258</v>
      </c>
      <c r="L64" s="107" t="s">
        <v>258</v>
      </c>
      <c r="M64" s="54">
        <f t="shared" si="0"/>
        <v>0.45161290322580644</v>
      </c>
    </row>
    <row r="65" spans="2:13" ht="42.75" customHeight="1" x14ac:dyDescent="0.2">
      <c r="B65" s="89"/>
      <c r="C65" s="110"/>
      <c r="D65" s="110"/>
      <c r="E65" s="94" t="s">
        <v>30</v>
      </c>
      <c r="F65" s="129" t="s">
        <v>261</v>
      </c>
      <c r="G65" s="104" t="s">
        <v>262</v>
      </c>
      <c r="H65" s="149">
        <f>5+30+50</f>
        <v>85</v>
      </c>
      <c r="I65" s="156">
        <v>50</v>
      </c>
      <c r="J65" s="97">
        <f t="shared" si="1"/>
        <v>35</v>
      </c>
      <c r="K65" s="113"/>
      <c r="L65" s="113"/>
      <c r="M65" s="54">
        <f t="shared" si="0"/>
        <v>0.58823529411764708</v>
      </c>
    </row>
    <row r="66" spans="2:13" ht="40.5" customHeight="1" x14ac:dyDescent="0.2">
      <c r="B66" s="87" t="s">
        <v>263</v>
      </c>
      <c r="C66" s="93" t="s">
        <v>264</v>
      </c>
      <c r="D66" s="93" t="s">
        <v>265</v>
      </c>
      <c r="E66" s="94" t="s">
        <v>14</v>
      </c>
      <c r="F66" s="129" t="s">
        <v>266</v>
      </c>
      <c r="G66" s="104" t="s">
        <v>29</v>
      </c>
      <c r="H66" s="97">
        <v>1</v>
      </c>
      <c r="I66" s="156">
        <v>0</v>
      </c>
      <c r="J66" s="97">
        <f t="shared" si="1"/>
        <v>1</v>
      </c>
      <c r="K66" s="108" t="s">
        <v>267</v>
      </c>
      <c r="L66" s="154" t="s">
        <v>268</v>
      </c>
      <c r="M66" s="56">
        <f t="shared" si="0"/>
        <v>0</v>
      </c>
    </row>
    <row r="67" spans="2:13" ht="51.75" customHeight="1" x14ac:dyDescent="0.2">
      <c r="B67" s="88"/>
      <c r="C67" s="101"/>
      <c r="D67" s="101"/>
      <c r="E67" s="94" t="s">
        <v>14</v>
      </c>
      <c r="F67" s="129" t="s">
        <v>269</v>
      </c>
      <c r="G67" s="104" t="s">
        <v>270</v>
      </c>
      <c r="H67" s="97">
        <f>5*3</f>
        <v>15</v>
      </c>
      <c r="I67" s="156">
        <f>4+1+4+1</f>
        <v>10</v>
      </c>
      <c r="J67" s="97">
        <f t="shared" si="1"/>
        <v>5</v>
      </c>
      <c r="K67" s="100" t="s">
        <v>268</v>
      </c>
      <c r="L67" s="155"/>
      <c r="M67" s="54">
        <f t="shared" si="0"/>
        <v>0.66666666666666663</v>
      </c>
    </row>
    <row r="68" spans="2:13" ht="41.25" customHeight="1" x14ac:dyDescent="0.2">
      <c r="B68" s="88"/>
      <c r="C68" s="101"/>
      <c r="D68" s="101"/>
      <c r="E68" s="94" t="s">
        <v>30</v>
      </c>
      <c r="F68" s="107" t="s">
        <v>271</v>
      </c>
      <c r="G68" s="105" t="s">
        <v>272</v>
      </c>
      <c r="H68" s="97">
        <v>100</v>
      </c>
      <c r="I68" s="156">
        <v>40</v>
      </c>
      <c r="J68" s="97">
        <f t="shared" si="1"/>
        <v>60</v>
      </c>
      <c r="K68" s="100" t="s">
        <v>273</v>
      </c>
      <c r="L68" s="100" t="s">
        <v>273</v>
      </c>
      <c r="M68" s="57">
        <f t="shared" si="0"/>
        <v>0.4</v>
      </c>
    </row>
    <row r="69" spans="2:13" ht="28.5" customHeight="1" x14ac:dyDescent="0.2">
      <c r="B69" s="88"/>
      <c r="C69" s="101"/>
      <c r="D69" s="101"/>
      <c r="E69" s="94" t="s">
        <v>14</v>
      </c>
      <c r="F69" s="113"/>
      <c r="G69" s="104" t="s">
        <v>274</v>
      </c>
      <c r="H69" s="97">
        <v>1</v>
      </c>
      <c r="I69" s="156"/>
      <c r="J69" s="97">
        <f t="shared" si="1"/>
        <v>1</v>
      </c>
      <c r="K69" s="100" t="s">
        <v>268</v>
      </c>
      <c r="L69" s="154" t="s">
        <v>268</v>
      </c>
      <c r="M69" s="57">
        <f t="shared" si="0"/>
        <v>0</v>
      </c>
    </row>
    <row r="70" spans="2:13" ht="28.5" customHeight="1" x14ac:dyDescent="0.2">
      <c r="B70" s="88"/>
      <c r="C70" s="101"/>
      <c r="D70" s="101"/>
      <c r="E70" s="94" t="s">
        <v>14</v>
      </c>
      <c r="F70" s="107" t="s">
        <v>275</v>
      </c>
      <c r="G70" s="104" t="s">
        <v>276</v>
      </c>
      <c r="H70" s="97">
        <v>4</v>
      </c>
      <c r="I70" s="156">
        <v>0</v>
      </c>
      <c r="J70" s="97">
        <f t="shared" si="1"/>
        <v>4</v>
      </c>
      <c r="K70" s="100" t="s">
        <v>268</v>
      </c>
      <c r="L70" s="169"/>
      <c r="M70" s="56">
        <f t="shared" si="0"/>
        <v>0</v>
      </c>
    </row>
    <row r="71" spans="2:13" ht="42.75" customHeight="1" x14ac:dyDescent="0.2">
      <c r="B71" s="88"/>
      <c r="C71" s="101"/>
      <c r="D71" s="101"/>
      <c r="E71" s="94" t="s">
        <v>14</v>
      </c>
      <c r="F71" s="109"/>
      <c r="G71" s="104" t="s">
        <v>277</v>
      </c>
      <c r="H71" s="97">
        <v>4</v>
      </c>
      <c r="I71" s="156">
        <v>3</v>
      </c>
      <c r="J71" s="97">
        <f t="shared" si="1"/>
        <v>1</v>
      </c>
      <c r="K71" s="107" t="s">
        <v>278</v>
      </c>
      <c r="L71" s="169"/>
      <c r="M71" s="56">
        <f t="shared" si="0"/>
        <v>0.75</v>
      </c>
    </row>
    <row r="72" spans="2:13" ht="28.5" customHeight="1" x14ac:dyDescent="0.2">
      <c r="B72" s="88"/>
      <c r="C72" s="101"/>
      <c r="D72" s="101"/>
      <c r="E72" s="94" t="s">
        <v>14</v>
      </c>
      <c r="F72" s="109"/>
      <c r="G72" s="104" t="s">
        <v>279</v>
      </c>
      <c r="H72" s="97">
        <v>4</v>
      </c>
      <c r="I72" s="156">
        <v>3</v>
      </c>
      <c r="J72" s="97">
        <f t="shared" si="1"/>
        <v>1</v>
      </c>
      <c r="K72" s="109"/>
      <c r="L72" s="169"/>
      <c r="M72" s="56">
        <f t="shared" si="0"/>
        <v>0.75</v>
      </c>
    </row>
    <row r="73" spans="2:13" ht="28.5" customHeight="1" x14ac:dyDescent="0.2">
      <c r="B73" s="88"/>
      <c r="C73" s="101"/>
      <c r="D73" s="101"/>
      <c r="E73" s="94" t="s">
        <v>14</v>
      </c>
      <c r="F73" s="113"/>
      <c r="G73" s="104" t="s">
        <v>280</v>
      </c>
      <c r="H73" s="97">
        <v>4</v>
      </c>
      <c r="I73" s="156">
        <v>3</v>
      </c>
      <c r="J73" s="97">
        <f t="shared" si="1"/>
        <v>1</v>
      </c>
      <c r="K73" s="113"/>
      <c r="L73" s="169"/>
      <c r="M73" s="56">
        <f t="shared" si="0"/>
        <v>0.75</v>
      </c>
    </row>
    <row r="74" spans="2:13" ht="28.5" customHeight="1" x14ac:dyDescent="0.2">
      <c r="B74" s="88"/>
      <c r="C74" s="101"/>
      <c r="D74" s="101"/>
      <c r="E74" s="94" t="s">
        <v>14</v>
      </c>
      <c r="F74" s="179" t="s">
        <v>281</v>
      </c>
      <c r="G74" s="104" t="s">
        <v>282</v>
      </c>
      <c r="H74" s="180">
        <v>10000</v>
      </c>
      <c r="I74" s="159">
        <v>3000</v>
      </c>
      <c r="J74" s="180">
        <f t="shared" si="1"/>
        <v>7000</v>
      </c>
      <c r="K74" s="100" t="s">
        <v>268</v>
      </c>
      <c r="L74" s="169"/>
      <c r="M74" s="57">
        <f t="shared" si="0"/>
        <v>0.3</v>
      </c>
    </row>
    <row r="75" spans="2:13" ht="28.5" customHeight="1" x14ac:dyDescent="0.2">
      <c r="B75" s="88"/>
      <c r="C75" s="101"/>
      <c r="D75" s="101"/>
      <c r="E75" s="94" t="s">
        <v>30</v>
      </c>
      <c r="F75" s="181"/>
      <c r="G75" s="104" t="s">
        <v>283</v>
      </c>
      <c r="H75" s="180">
        <v>1</v>
      </c>
      <c r="I75" s="159"/>
      <c r="J75" s="180">
        <f t="shared" si="1"/>
        <v>1</v>
      </c>
      <c r="K75" s="100" t="s">
        <v>268</v>
      </c>
      <c r="L75" s="169"/>
      <c r="M75" s="57">
        <f t="shared" si="0"/>
        <v>0</v>
      </c>
    </row>
    <row r="76" spans="2:13" ht="41.25" customHeight="1" x14ac:dyDescent="0.2">
      <c r="B76" s="88"/>
      <c r="C76" s="101"/>
      <c r="D76" s="101"/>
      <c r="E76" s="94" t="s">
        <v>30</v>
      </c>
      <c r="F76" s="129" t="s">
        <v>284</v>
      </c>
      <c r="G76" s="104" t="s">
        <v>285</v>
      </c>
      <c r="H76" s="97">
        <v>10</v>
      </c>
      <c r="I76" s="156">
        <v>3</v>
      </c>
      <c r="J76" s="97">
        <f>+H76-I76</f>
        <v>7</v>
      </c>
      <c r="K76" s="100" t="s">
        <v>286</v>
      </c>
      <c r="L76" s="169"/>
      <c r="M76" s="54">
        <f t="shared" si="0"/>
        <v>0.3</v>
      </c>
    </row>
    <row r="77" spans="2:13" ht="46.5" customHeight="1" x14ac:dyDescent="0.2">
      <c r="B77" s="88"/>
      <c r="C77" s="101"/>
      <c r="D77" s="110"/>
      <c r="E77" s="94" t="s">
        <v>14</v>
      </c>
      <c r="F77" s="129" t="s">
        <v>287</v>
      </c>
      <c r="G77" s="104" t="s">
        <v>288</v>
      </c>
      <c r="H77" s="97">
        <v>1</v>
      </c>
      <c r="I77" s="156">
        <v>0</v>
      </c>
      <c r="J77" s="97">
        <f t="shared" si="1"/>
        <v>1</v>
      </c>
      <c r="K77" s="100" t="s">
        <v>289</v>
      </c>
      <c r="L77" s="169"/>
      <c r="M77" s="54">
        <f t="shared" si="0"/>
        <v>0</v>
      </c>
    </row>
    <row r="78" spans="2:13" ht="28.5" customHeight="1" x14ac:dyDescent="0.2">
      <c r="B78" s="88"/>
      <c r="C78" s="101"/>
      <c r="D78" s="93" t="s">
        <v>290</v>
      </c>
      <c r="E78" s="94" t="s">
        <v>14</v>
      </c>
      <c r="F78" s="107" t="s">
        <v>291</v>
      </c>
      <c r="G78" s="104" t="s">
        <v>292</v>
      </c>
      <c r="H78" s="97">
        <v>2</v>
      </c>
      <c r="I78" s="156">
        <v>0</v>
      </c>
      <c r="J78" s="97">
        <f t="shared" si="1"/>
        <v>2</v>
      </c>
      <c r="K78" s="107" t="s">
        <v>267</v>
      </c>
      <c r="L78" s="169"/>
      <c r="M78" s="56">
        <f t="shared" si="0"/>
        <v>0</v>
      </c>
    </row>
    <row r="79" spans="2:13" ht="28.5" customHeight="1" x14ac:dyDescent="0.2">
      <c r="B79" s="88"/>
      <c r="C79" s="101"/>
      <c r="D79" s="101"/>
      <c r="E79" s="94" t="s">
        <v>14</v>
      </c>
      <c r="F79" s="113"/>
      <c r="G79" s="104" t="s">
        <v>293</v>
      </c>
      <c r="H79" s="97">
        <v>2</v>
      </c>
      <c r="I79" s="156">
        <v>0</v>
      </c>
      <c r="J79" s="97">
        <f t="shared" si="1"/>
        <v>2</v>
      </c>
      <c r="K79" s="113"/>
      <c r="L79" s="155"/>
      <c r="M79" s="56">
        <f t="shared" si="0"/>
        <v>0</v>
      </c>
    </row>
    <row r="80" spans="2:13" ht="33.6" hidden="1" customHeight="1" x14ac:dyDescent="0.2">
      <c r="B80" s="88"/>
      <c r="C80" s="110"/>
      <c r="D80" s="110"/>
      <c r="E80" s="94" t="s">
        <v>30</v>
      </c>
      <c r="F80" s="148" t="s">
        <v>294</v>
      </c>
      <c r="G80" s="104" t="s">
        <v>295</v>
      </c>
      <c r="H80" s="97">
        <v>1</v>
      </c>
      <c r="I80" s="156">
        <v>1</v>
      </c>
      <c r="J80" s="97">
        <f t="shared" si="1"/>
        <v>0</v>
      </c>
      <c r="K80" s="100" t="s">
        <v>267</v>
      </c>
      <c r="L80" s="133"/>
      <c r="M80" s="44">
        <f t="shared" si="0"/>
        <v>1</v>
      </c>
    </row>
    <row r="81" spans="4:13" x14ac:dyDescent="0.2">
      <c r="M81" s="34"/>
    </row>
    <row r="82" spans="4:13" hidden="1" x14ac:dyDescent="0.2">
      <c r="D82" s="59"/>
      <c r="E82" s="3" t="s">
        <v>68</v>
      </c>
      <c r="F82" s="3"/>
    </row>
    <row r="83" spans="4:13" hidden="1" x14ac:dyDescent="0.2">
      <c r="D83" s="61"/>
      <c r="E83" s="3" t="s">
        <v>69</v>
      </c>
      <c r="F83" s="3"/>
    </row>
    <row r="84" spans="4:13" hidden="1" x14ac:dyDescent="0.2">
      <c r="D84" s="60"/>
      <c r="E84" s="3" t="s">
        <v>70</v>
      </c>
      <c r="F84" s="3" t="s">
        <v>71</v>
      </c>
    </row>
    <row r="85" spans="4:13" hidden="1" x14ac:dyDescent="0.2">
      <c r="D85" s="62"/>
      <c r="E85" s="3" t="s">
        <v>72</v>
      </c>
      <c r="F85" s="3" t="s">
        <v>71</v>
      </c>
    </row>
    <row r="86" spans="4:13" hidden="1" x14ac:dyDescent="0.2"/>
    <row r="87" spans="4:13" hidden="1" x14ac:dyDescent="0.2"/>
  </sheetData>
  <sheetProtection selectLockedCells="1" selectUnlockedCells="1"/>
  <autoFilter ref="K2:K81" xr:uid="{00000000-0009-0000-0000-000003000000}"/>
  <mergeCells count="56">
    <mergeCell ref="L52:L53"/>
    <mergeCell ref="K71:K73"/>
    <mergeCell ref="K78:K79"/>
    <mergeCell ref="F12:F22"/>
    <mergeCell ref="K10:K22"/>
    <mergeCell ref="L10:L22"/>
    <mergeCell ref="L66:L67"/>
    <mergeCell ref="L69:L79"/>
    <mergeCell ref="L45:L51"/>
    <mergeCell ref="K61:K62"/>
    <mergeCell ref="K64:K65"/>
    <mergeCell ref="L64:L65"/>
    <mergeCell ref="L61:L62"/>
    <mergeCell ref="K54:K60"/>
    <mergeCell ref="L54:L60"/>
    <mergeCell ref="F70:F73"/>
    <mergeCell ref="F40:F41"/>
    <mergeCell ref="F43:F44"/>
    <mergeCell ref="F32:F33"/>
    <mergeCell ref="L7:L8"/>
    <mergeCell ref="L27:L28"/>
    <mergeCell ref="L29:L30"/>
    <mergeCell ref="K38:K43"/>
    <mergeCell ref="L38:L43"/>
    <mergeCell ref="K32:K33"/>
    <mergeCell ref="K36:K37"/>
    <mergeCell ref="L32:L37"/>
    <mergeCell ref="C66:C80"/>
    <mergeCell ref="F78:F79"/>
    <mergeCell ref="B66:B80"/>
    <mergeCell ref="K7:K8"/>
    <mergeCell ref="K27:K28"/>
    <mergeCell ref="K29:K30"/>
    <mergeCell ref="F68:F69"/>
    <mergeCell ref="K45:K51"/>
    <mergeCell ref="B32:B44"/>
    <mergeCell ref="B46:B65"/>
    <mergeCell ref="D78:D80"/>
    <mergeCell ref="D52:D58"/>
    <mergeCell ref="D66:D77"/>
    <mergeCell ref="D59:D62"/>
    <mergeCell ref="D32:D38"/>
    <mergeCell ref="D27:D28"/>
    <mergeCell ref="D64:D65"/>
    <mergeCell ref="C64:C65"/>
    <mergeCell ref="D29:D30"/>
    <mergeCell ref="D45:D51"/>
    <mergeCell ref="C45:C62"/>
    <mergeCell ref="C3:C21"/>
    <mergeCell ref="C32:C44"/>
    <mergeCell ref="D39:D44"/>
    <mergeCell ref="D4:D5"/>
    <mergeCell ref="C23:C30"/>
    <mergeCell ref="D6:D9"/>
    <mergeCell ref="D10:D21"/>
    <mergeCell ref="D23:D24"/>
  </mergeCells>
  <pageMargins left="0.70866141732283472" right="0.70866141732283472" top="0.74803149606299213" bottom="0.74803149606299213" header="0.31496062992125984" footer="0.31496062992125984"/>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33"/>
  <sheetViews>
    <sheetView topLeftCell="A20" zoomScale="90" zoomScaleNormal="90" workbookViewId="0">
      <selection activeCell="M28" sqref="M28"/>
    </sheetView>
  </sheetViews>
  <sheetFormatPr baseColWidth="10" defaultColWidth="11.42578125" defaultRowHeight="15" x14ac:dyDescent="0.25"/>
  <cols>
    <col min="1" max="1" width="2.140625" customWidth="1"/>
    <col min="2" max="3" width="17.140625" customWidth="1"/>
    <col min="4" max="4" width="9.7109375" customWidth="1"/>
    <col min="5" max="5" width="46.28515625" customWidth="1"/>
    <col min="6" max="6" width="46.28515625" style="11" customWidth="1"/>
    <col min="7" max="7" width="17.140625" style="28" hidden="1" customWidth="1"/>
    <col min="8" max="8" width="17.140625" style="12" hidden="1" customWidth="1"/>
    <col min="9" max="9" width="10.140625" style="12" customWidth="1"/>
    <col min="10" max="10" width="25.28515625" style="12" customWidth="1"/>
    <col min="11" max="11" width="23.42578125" style="11" customWidth="1"/>
    <col min="12" max="12" width="18.140625" style="33" hidden="1" customWidth="1"/>
    <col min="13" max="13" width="11.42578125" customWidth="1"/>
  </cols>
  <sheetData>
    <row r="2" spans="2:16" s="3" customFormat="1" ht="30" customHeight="1" x14ac:dyDescent="0.2">
      <c r="B2" s="7" t="s">
        <v>4</v>
      </c>
      <c r="C2" s="7" t="s">
        <v>5</v>
      </c>
      <c r="D2" s="7"/>
      <c r="E2" s="7" t="s">
        <v>6</v>
      </c>
      <c r="F2" s="29" t="s">
        <v>7</v>
      </c>
      <c r="G2" s="1" t="s">
        <v>8</v>
      </c>
      <c r="H2" s="7" t="s">
        <v>9</v>
      </c>
      <c r="I2" s="7"/>
      <c r="J2" s="7" t="s">
        <v>296</v>
      </c>
      <c r="K2" s="7" t="s">
        <v>297</v>
      </c>
      <c r="L2" s="31">
        <v>1</v>
      </c>
    </row>
    <row r="3" spans="2:16" s="3" customFormat="1" ht="60" hidden="1" customHeight="1" x14ac:dyDescent="0.2">
      <c r="B3" s="115" t="s">
        <v>298</v>
      </c>
      <c r="C3" s="182" t="s">
        <v>299</v>
      </c>
      <c r="D3" s="94" t="s">
        <v>30</v>
      </c>
      <c r="E3" s="129" t="s">
        <v>300</v>
      </c>
      <c r="F3" s="104" t="s">
        <v>301</v>
      </c>
      <c r="G3" s="97">
        <v>7</v>
      </c>
      <c r="H3" s="97">
        <v>7</v>
      </c>
      <c r="I3" s="97">
        <f t="shared" ref="I3:I11" si="0">+G3-H3</f>
        <v>0</v>
      </c>
      <c r="J3" s="136"/>
      <c r="K3" s="137" t="s">
        <v>77</v>
      </c>
      <c r="L3" s="38">
        <f t="shared" ref="L3:L10" si="1">IF((H3/G3)&lt;100%,(H3/G3),100%)</f>
        <v>1</v>
      </c>
    </row>
    <row r="4" spans="2:16" ht="40.5" customHeight="1" x14ac:dyDescent="0.25">
      <c r="B4" s="115"/>
      <c r="C4" s="93" t="s">
        <v>302</v>
      </c>
      <c r="D4" s="94" t="s">
        <v>14</v>
      </c>
      <c r="E4" s="129" t="s">
        <v>303</v>
      </c>
      <c r="F4" s="104" t="s">
        <v>304</v>
      </c>
      <c r="G4" s="97">
        <v>4</v>
      </c>
      <c r="H4" s="142">
        <v>3</v>
      </c>
      <c r="I4" s="157">
        <f t="shared" si="0"/>
        <v>1</v>
      </c>
      <c r="J4" s="133" t="s">
        <v>77</v>
      </c>
      <c r="K4" s="154" t="s">
        <v>77</v>
      </c>
      <c r="L4" s="56">
        <f t="shared" si="1"/>
        <v>0.75</v>
      </c>
    </row>
    <row r="5" spans="2:16" ht="40.5" customHeight="1" x14ac:dyDescent="0.25">
      <c r="B5" s="115"/>
      <c r="C5" s="101"/>
      <c r="D5" s="94" t="s">
        <v>14</v>
      </c>
      <c r="E5" s="105" t="s">
        <v>305</v>
      </c>
      <c r="F5" s="104" t="s">
        <v>306</v>
      </c>
      <c r="G5" s="97">
        <v>3</v>
      </c>
      <c r="H5" s="97">
        <v>2</v>
      </c>
      <c r="I5" s="157">
        <f t="shared" si="0"/>
        <v>1</v>
      </c>
      <c r="J5" s="133" t="s">
        <v>77</v>
      </c>
      <c r="K5" s="169"/>
      <c r="L5" s="56">
        <f t="shared" si="1"/>
        <v>0.66666666666666663</v>
      </c>
      <c r="P5" s="69"/>
    </row>
    <row r="6" spans="2:16" ht="40.5" hidden="1" customHeight="1" x14ac:dyDescent="0.25">
      <c r="B6" s="115"/>
      <c r="C6" s="101"/>
      <c r="D6" s="94" t="s">
        <v>14</v>
      </c>
      <c r="E6" s="108"/>
      <c r="F6" s="104" t="s">
        <v>307</v>
      </c>
      <c r="G6" s="97">
        <v>7</v>
      </c>
      <c r="H6" s="97">
        <v>7</v>
      </c>
      <c r="I6" s="157"/>
      <c r="J6" s="133" t="s">
        <v>77</v>
      </c>
      <c r="K6" s="169"/>
      <c r="L6" s="49">
        <f t="shared" si="1"/>
        <v>1</v>
      </c>
    </row>
    <row r="7" spans="2:16" ht="45.75" hidden="1" customHeight="1" x14ac:dyDescent="0.25">
      <c r="B7" s="115"/>
      <c r="C7" s="101"/>
      <c r="D7" s="94" t="s">
        <v>14</v>
      </c>
      <c r="E7" s="129" t="s">
        <v>308</v>
      </c>
      <c r="F7" s="104" t="s">
        <v>309</v>
      </c>
      <c r="G7" s="97">
        <v>12</v>
      </c>
      <c r="H7" s="97">
        <f>7+5</f>
        <v>12</v>
      </c>
      <c r="I7" s="157">
        <f t="shared" si="0"/>
        <v>0</v>
      </c>
      <c r="J7" s="133" t="s">
        <v>77</v>
      </c>
      <c r="K7" s="169"/>
      <c r="L7" s="54">
        <f t="shared" si="1"/>
        <v>1</v>
      </c>
    </row>
    <row r="8" spans="2:16" ht="45.75" hidden="1" customHeight="1" x14ac:dyDescent="0.25">
      <c r="B8" s="115"/>
      <c r="C8" s="101"/>
      <c r="D8" s="94" t="s">
        <v>14</v>
      </c>
      <c r="E8" s="129" t="s">
        <v>310</v>
      </c>
      <c r="F8" s="104" t="s">
        <v>311</v>
      </c>
      <c r="G8" s="97">
        <v>50</v>
      </c>
      <c r="H8" s="97">
        <v>52</v>
      </c>
      <c r="I8" s="157">
        <f t="shared" si="0"/>
        <v>-2</v>
      </c>
      <c r="J8" s="133" t="s">
        <v>77</v>
      </c>
      <c r="K8" s="169"/>
      <c r="L8" s="49">
        <f t="shared" si="1"/>
        <v>1</v>
      </c>
    </row>
    <row r="9" spans="2:16" ht="43.5" hidden="1" customHeight="1" x14ac:dyDescent="0.25">
      <c r="B9" s="115"/>
      <c r="C9" s="101"/>
      <c r="D9" s="94" t="s">
        <v>14</v>
      </c>
      <c r="E9" s="129" t="s">
        <v>312</v>
      </c>
      <c r="F9" s="104" t="s">
        <v>313</v>
      </c>
      <c r="G9" s="97">
        <v>21</v>
      </c>
      <c r="H9" s="97">
        <v>24</v>
      </c>
      <c r="I9" s="157">
        <f t="shared" si="0"/>
        <v>-3</v>
      </c>
      <c r="J9" s="133" t="s">
        <v>77</v>
      </c>
      <c r="K9" s="169"/>
      <c r="L9" s="49">
        <f t="shared" si="1"/>
        <v>1</v>
      </c>
    </row>
    <row r="10" spans="2:16" ht="43.5" hidden="1" customHeight="1" x14ac:dyDescent="0.25">
      <c r="B10" s="115"/>
      <c r="C10" s="101"/>
      <c r="D10" s="94" t="s">
        <v>14</v>
      </c>
      <c r="E10" s="129" t="s">
        <v>314</v>
      </c>
      <c r="F10" s="104" t="s">
        <v>315</v>
      </c>
      <c r="G10" s="97">
        <v>25</v>
      </c>
      <c r="H10" s="97">
        <v>55</v>
      </c>
      <c r="I10" s="157">
        <f t="shared" si="0"/>
        <v>-30</v>
      </c>
      <c r="J10" s="133" t="s">
        <v>77</v>
      </c>
      <c r="K10" s="169"/>
      <c r="L10" s="67">
        <f t="shared" si="1"/>
        <v>1</v>
      </c>
    </row>
    <row r="11" spans="2:16" ht="37.5" customHeight="1" x14ac:dyDescent="0.25">
      <c r="B11" s="115"/>
      <c r="C11" s="110"/>
      <c r="D11" s="94" t="s">
        <v>14</v>
      </c>
      <c r="E11" s="105" t="s">
        <v>316</v>
      </c>
      <c r="F11" s="104" t="s">
        <v>317</v>
      </c>
      <c r="G11" s="117">
        <v>0.05</v>
      </c>
      <c r="H11" s="117">
        <v>0.03</v>
      </c>
      <c r="I11" s="153">
        <f t="shared" si="0"/>
        <v>2.0000000000000004E-2</v>
      </c>
      <c r="J11" s="133" t="s">
        <v>77</v>
      </c>
      <c r="K11" s="169"/>
      <c r="L11" s="65">
        <f t="shared" ref="L11:L28" si="2">IF((H11/G11)&lt;100%,(H11/G11),100%)</f>
        <v>0.6</v>
      </c>
      <c r="N11" s="41"/>
      <c r="P11" s="69"/>
    </row>
    <row r="12" spans="2:16" ht="38.25" hidden="1" customHeight="1" x14ac:dyDescent="0.25">
      <c r="B12" s="115" t="s">
        <v>318</v>
      </c>
      <c r="C12" s="183" t="s">
        <v>319</v>
      </c>
      <c r="D12" s="94" t="s">
        <v>14</v>
      </c>
      <c r="E12" s="129" t="s">
        <v>320</v>
      </c>
      <c r="F12" s="104" t="s">
        <v>321</v>
      </c>
      <c r="G12" s="97">
        <v>470</v>
      </c>
      <c r="H12" s="97">
        <v>547</v>
      </c>
      <c r="I12" s="157">
        <f t="shared" ref="I12:I28" si="3">+G12-H12</f>
        <v>-77</v>
      </c>
      <c r="J12" s="133" t="s">
        <v>77</v>
      </c>
      <c r="K12" s="169"/>
      <c r="L12" s="67">
        <f t="shared" si="2"/>
        <v>1</v>
      </c>
    </row>
    <row r="13" spans="2:16" ht="38.25" customHeight="1" x14ac:dyDescent="0.25">
      <c r="B13" s="115"/>
      <c r="C13" s="183"/>
      <c r="D13" s="94" t="s">
        <v>30</v>
      </c>
      <c r="E13" s="129" t="s">
        <v>322</v>
      </c>
      <c r="F13" s="104" t="s">
        <v>323</v>
      </c>
      <c r="G13" s="97">
        <v>8</v>
      </c>
      <c r="H13" s="136">
        <v>6</v>
      </c>
      <c r="I13" s="157">
        <f t="shared" si="3"/>
        <v>2</v>
      </c>
      <c r="J13" s="133" t="s">
        <v>77</v>
      </c>
      <c r="K13" s="169"/>
      <c r="L13" s="63">
        <f t="shared" si="2"/>
        <v>0.75</v>
      </c>
    </row>
    <row r="14" spans="2:16" ht="36.75" customHeight="1" x14ac:dyDescent="0.25">
      <c r="B14" s="93" t="s">
        <v>324</v>
      </c>
      <c r="C14" s="184" t="s">
        <v>325</v>
      </c>
      <c r="D14" s="185" t="s">
        <v>14</v>
      </c>
      <c r="E14" s="105" t="s">
        <v>326</v>
      </c>
      <c r="F14" s="104" t="s">
        <v>327</v>
      </c>
      <c r="G14" s="97">
        <v>70</v>
      </c>
      <c r="H14" s="136">
        <v>53</v>
      </c>
      <c r="I14" s="157">
        <v>20</v>
      </c>
      <c r="J14" s="100" t="s">
        <v>88</v>
      </c>
      <c r="K14" s="169"/>
      <c r="L14" s="65">
        <f t="shared" si="2"/>
        <v>0.75714285714285712</v>
      </c>
    </row>
    <row r="15" spans="2:16" ht="36.75" customHeight="1" x14ac:dyDescent="0.25">
      <c r="B15" s="101"/>
      <c r="C15" s="186"/>
      <c r="D15" s="185" t="s">
        <v>14</v>
      </c>
      <c r="E15" s="105" t="s">
        <v>328</v>
      </c>
      <c r="F15" s="104" t="s">
        <v>329</v>
      </c>
      <c r="G15" s="97">
        <v>1</v>
      </c>
      <c r="H15" s="136">
        <v>0</v>
      </c>
      <c r="I15" s="157">
        <f t="shared" si="3"/>
        <v>1</v>
      </c>
      <c r="J15" s="133" t="s">
        <v>77</v>
      </c>
      <c r="K15" s="169"/>
      <c r="L15" s="65">
        <f t="shared" si="2"/>
        <v>0</v>
      </c>
    </row>
    <row r="16" spans="2:16" ht="36.75" customHeight="1" x14ac:dyDescent="0.25">
      <c r="B16" s="101"/>
      <c r="C16" s="186"/>
      <c r="D16" s="185" t="s">
        <v>14</v>
      </c>
      <c r="E16" s="100" t="s">
        <v>330</v>
      </c>
      <c r="F16" s="104" t="s">
        <v>331</v>
      </c>
      <c r="G16" s="97">
        <v>15</v>
      </c>
      <c r="H16" s="97">
        <v>9</v>
      </c>
      <c r="I16" s="157">
        <f t="shared" si="3"/>
        <v>6</v>
      </c>
      <c r="J16" s="100" t="s">
        <v>88</v>
      </c>
      <c r="K16" s="169"/>
      <c r="L16" s="65">
        <f t="shared" si="2"/>
        <v>0.6</v>
      </c>
    </row>
    <row r="17" spans="2:13" ht="36.75" customHeight="1" x14ac:dyDescent="0.25">
      <c r="B17" s="101"/>
      <c r="C17" s="186"/>
      <c r="D17" s="185" t="s">
        <v>14</v>
      </c>
      <c r="E17" s="100" t="s">
        <v>332</v>
      </c>
      <c r="F17" s="104" t="s">
        <v>333</v>
      </c>
      <c r="G17" s="97">
        <v>30</v>
      </c>
      <c r="H17" s="136">
        <v>28</v>
      </c>
      <c r="I17" s="157">
        <v>10</v>
      </c>
      <c r="J17" s="100" t="s">
        <v>88</v>
      </c>
      <c r="K17" s="169"/>
      <c r="L17" s="65">
        <f t="shared" si="2"/>
        <v>0.93333333333333335</v>
      </c>
    </row>
    <row r="18" spans="2:13" ht="36.75" customHeight="1" x14ac:dyDescent="0.25">
      <c r="B18" s="101"/>
      <c r="C18" s="186"/>
      <c r="D18" s="185" t="s">
        <v>30</v>
      </c>
      <c r="E18" s="105" t="s">
        <v>334</v>
      </c>
      <c r="F18" s="104" t="s">
        <v>335</v>
      </c>
      <c r="G18" s="97">
        <v>50</v>
      </c>
      <c r="H18" s="97">
        <v>98</v>
      </c>
      <c r="I18" s="157">
        <v>10</v>
      </c>
      <c r="J18" s="100" t="s">
        <v>88</v>
      </c>
      <c r="K18" s="169"/>
      <c r="L18" s="65">
        <f t="shared" si="2"/>
        <v>1</v>
      </c>
    </row>
    <row r="19" spans="2:13" ht="41.25" hidden="1" customHeight="1" x14ac:dyDescent="0.25">
      <c r="B19" s="101"/>
      <c r="C19" s="186"/>
      <c r="D19" s="185" t="s">
        <v>14</v>
      </c>
      <c r="E19" s="100" t="s">
        <v>336</v>
      </c>
      <c r="F19" s="104" t="s">
        <v>337</v>
      </c>
      <c r="G19" s="97">
        <v>2</v>
      </c>
      <c r="H19" s="97">
        <v>2</v>
      </c>
      <c r="I19" s="157">
        <f t="shared" si="3"/>
        <v>0</v>
      </c>
      <c r="J19" s="100" t="s">
        <v>88</v>
      </c>
      <c r="K19" s="169"/>
      <c r="L19" s="56">
        <f t="shared" si="2"/>
        <v>1</v>
      </c>
    </row>
    <row r="20" spans="2:13" ht="36.75" customHeight="1" x14ac:dyDescent="0.25">
      <c r="B20" s="101"/>
      <c r="C20" s="186"/>
      <c r="D20" s="185" t="s">
        <v>30</v>
      </c>
      <c r="E20" s="100" t="s">
        <v>338</v>
      </c>
      <c r="F20" s="104" t="s">
        <v>339</v>
      </c>
      <c r="G20" s="97">
        <v>100</v>
      </c>
      <c r="H20" s="187">
        <f>58+63</f>
        <v>121</v>
      </c>
      <c r="I20" s="157">
        <v>10</v>
      </c>
      <c r="J20" s="100" t="s">
        <v>88</v>
      </c>
      <c r="K20" s="169"/>
      <c r="L20" s="56">
        <f t="shared" si="2"/>
        <v>1</v>
      </c>
    </row>
    <row r="21" spans="2:13" ht="47.25" customHeight="1" x14ac:dyDescent="0.25">
      <c r="B21" s="101"/>
      <c r="C21" s="186"/>
      <c r="D21" s="185" t="s">
        <v>14</v>
      </c>
      <c r="E21" s="100" t="s">
        <v>340</v>
      </c>
      <c r="F21" s="104" t="s">
        <v>341</v>
      </c>
      <c r="G21" s="97">
        <v>9</v>
      </c>
      <c r="H21" s="187">
        <v>28</v>
      </c>
      <c r="I21" s="157">
        <v>5</v>
      </c>
      <c r="J21" s="100" t="s">
        <v>95</v>
      </c>
      <c r="K21" s="169"/>
      <c r="L21" s="56">
        <f t="shared" si="2"/>
        <v>1</v>
      </c>
    </row>
    <row r="22" spans="2:13" ht="51.75" customHeight="1" x14ac:dyDescent="0.25">
      <c r="B22" s="101"/>
      <c r="C22" s="186"/>
      <c r="D22" s="185" t="s">
        <v>14</v>
      </c>
      <c r="E22" s="107" t="s">
        <v>342</v>
      </c>
      <c r="F22" s="104" t="s">
        <v>343</v>
      </c>
      <c r="G22" s="97">
        <v>310</v>
      </c>
      <c r="H22" s="187">
        <v>405</v>
      </c>
      <c r="I22" s="157">
        <v>15</v>
      </c>
      <c r="J22" s="100" t="s">
        <v>88</v>
      </c>
      <c r="K22" s="169"/>
      <c r="L22" s="56">
        <f t="shared" si="2"/>
        <v>1</v>
      </c>
    </row>
    <row r="23" spans="2:13" ht="37.5" customHeight="1" x14ac:dyDescent="0.25">
      <c r="B23" s="101"/>
      <c r="C23" s="186"/>
      <c r="D23" s="185" t="s">
        <v>14</v>
      </c>
      <c r="E23" s="113"/>
      <c r="F23" s="104" t="s">
        <v>344</v>
      </c>
      <c r="G23" s="97">
        <v>1</v>
      </c>
      <c r="H23" s="187">
        <v>0</v>
      </c>
      <c r="I23" s="157">
        <v>15</v>
      </c>
      <c r="J23" s="100" t="s">
        <v>88</v>
      </c>
      <c r="K23" s="169"/>
      <c r="L23" s="38">
        <f t="shared" si="2"/>
        <v>0</v>
      </c>
    </row>
    <row r="24" spans="2:13" ht="36.75" hidden="1" customHeight="1" x14ac:dyDescent="0.25">
      <c r="B24" s="101"/>
      <c r="C24" s="186"/>
      <c r="D24" s="185" t="s">
        <v>30</v>
      </c>
      <c r="E24" s="105" t="s">
        <v>345</v>
      </c>
      <c r="F24" s="104" t="s">
        <v>346</v>
      </c>
      <c r="G24" s="117">
        <v>1</v>
      </c>
      <c r="H24" s="188">
        <v>1</v>
      </c>
      <c r="I24" s="153">
        <f t="shared" si="3"/>
        <v>0</v>
      </c>
      <c r="J24" s="100" t="s">
        <v>88</v>
      </c>
      <c r="K24" s="169"/>
      <c r="L24" s="49">
        <f t="shared" si="2"/>
        <v>1</v>
      </c>
    </row>
    <row r="25" spans="2:13" ht="46.5" customHeight="1" x14ac:dyDescent="0.25">
      <c r="B25" s="101"/>
      <c r="C25" s="189"/>
      <c r="D25" s="185"/>
      <c r="E25" s="108" t="s">
        <v>347</v>
      </c>
      <c r="F25" s="104" t="s">
        <v>348</v>
      </c>
      <c r="G25" s="97">
        <v>5</v>
      </c>
      <c r="H25" s="188"/>
      <c r="I25" s="190">
        <v>5</v>
      </c>
      <c r="J25" s="100" t="s">
        <v>88</v>
      </c>
      <c r="K25" s="169"/>
      <c r="L25" s="38">
        <f t="shared" si="2"/>
        <v>0</v>
      </c>
    </row>
    <row r="26" spans="2:13" ht="36.75" customHeight="1" x14ac:dyDescent="0.25">
      <c r="B26" s="101"/>
      <c r="C26" s="191" t="s">
        <v>349</v>
      </c>
      <c r="D26" s="192" t="s">
        <v>30</v>
      </c>
      <c r="E26" s="100" t="s">
        <v>350</v>
      </c>
      <c r="F26" s="104" t="s">
        <v>508</v>
      </c>
      <c r="G26" s="97">
        <v>3</v>
      </c>
      <c r="H26" s="187">
        <v>2</v>
      </c>
      <c r="I26" s="157">
        <f t="shared" si="3"/>
        <v>1</v>
      </c>
      <c r="J26" s="193" t="s">
        <v>77</v>
      </c>
      <c r="K26" s="169"/>
      <c r="L26" s="54">
        <f t="shared" si="2"/>
        <v>0.66666666666666663</v>
      </c>
    </row>
    <row r="27" spans="2:13" ht="39" customHeight="1" x14ac:dyDescent="0.25">
      <c r="B27" s="101"/>
      <c r="C27" s="194"/>
      <c r="D27" s="192" t="s">
        <v>14</v>
      </c>
      <c r="E27" s="105" t="s">
        <v>351</v>
      </c>
      <c r="F27" s="104" t="s">
        <v>352</v>
      </c>
      <c r="G27" s="97">
        <v>11</v>
      </c>
      <c r="H27" s="187">
        <f>3+2+3</f>
        <v>8</v>
      </c>
      <c r="I27" s="157">
        <f t="shared" si="3"/>
        <v>3</v>
      </c>
      <c r="J27" s="193" t="s">
        <v>77</v>
      </c>
      <c r="K27" s="169"/>
      <c r="L27" s="56">
        <f t="shared" si="2"/>
        <v>0.72727272727272729</v>
      </c>
    </row>
    <row r="28" spans="2:13" ht="39" customHeight="1" x14ac:dyDescent="0.25">
      <c r="B28" s="110"/>
      <c r="C28" s="195" t="s">
        <v>353</v>
      </c>
      <c r="D28" s="196" t="s">
        <v>30</v>
      </c>
      <c r="E28" s="100" t="s">
        <v>354</v>
      </c>
      <c r="F28" s="104" t="s">
        <v>509</v>
      </c>
      <c r="G28" s="97">
        <v>350</v>
      </c>
      <c r="H28" s="187">
        <v>103</v>
      </c>
      <c r="I28" s="157">
        <f t="shared" si="3"/>
        <v>247</v>
      </c>
      <c r="J28" s="193" t="s">
        <v>77</v>
      </c>
      <c r="K28" s="155"/>
      <c r="L28" s="54">
        <f t="shared" si="2"/>
        <v>0.29428571428571426</v>
      </c>
      <c r="M28" s="69"/>
    </row>
    <row r="30" spans="2:13" hidden="1" x14ac:dyDescent="0.25">
      <c r="B30" s="59"/>
      <c r="C30" s="3" t="s">
        <v>68</v>
      </c>
      <c r="D30" s="3"/>
    </row>
    <row r="31" spans="2:13" hidden="1" x14ac:dyDescent="0.25">
      <c r="B31" s="61"/>
      <c r="C31" s="3" t="s">
        <v>69</v>
      </c>
      <c r="D31" s="3"/>
    </row>
    <row r="32" spans="2:13" hidden="1" x14ac:dyDescent="0.25">
      <c r="B32" s="60"/>
      <c r="C32" s="3" t="s">
        <v>70</v>
      </c>
      <c r="D32" s="3" t="s">
        <v>71</v>
      </c>
    </row>
    <row r="33" spans="2:4" hidden="1" x14ac:dyDescent="0.25">
      <c r="B33" s="62"/>
      <c r="C33" s="3" t="s">
        <v>72</v>
      </c>
      <c r="D33" s="3" t="s">
        <v>71</v>
      </c>
    </row>
  </sheetData>
  <sheetProtection selectLockedCells="1" selectUnlockedCells="1"/>
  <mergeCells count="9">
    <mergeCell ref="K4:K28"/>
    <mergeCell ref="B3:B11"/>
    <mergeCell ref="C4:C11"/>
    <mergeCell ref="C26:C27"/>
    <mergeCell ref="C12:C13"/>
    <mergeCell ref="B12:B13"/>
    <mergeCell ref="B14:B28"/>
    <mergeCell ref="C14:C25"/>
    <mergeCell ref="E22:E23"/>
  </mergeCells>
  <pageMargins left="0.70866141732283472" right="0.70866141732283472" top="0.74803149606299213" bottom="0.74803149606299213" header="0.31496062992125984" footer="0.31496062992125984"/>
  <pageSetup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30"/>
  <sheetViews>
    <sheetView topLeftCell="A14" zoomScale="90" zoomScaleNormal="90" workbookViewId="0">
      <selection activeCell="F11" sqref="F11"/>
    </sheetView>
  </sheetViews>
  <sheetFormatPr baseColWidth="10" defaultColWidth="11.42578125" defaultRowHeight="15" x14ac:dyDescent="0.25"/>
  <cols>
    <col min="1" max="1" width="1.140625" customWidth="1"/>
    <col min="2" max="3" width="17.28515625" customWidth="1"/>
    <col min="4" max="4" width="9.140625" customWidth="1"/>
    <col min="5" max="5" width="36.42578125" customWidth="1"/>
    <col min="6" max="6" width="49.140625" customWidth="1"/>
    <col min="7" max="7" width="9.5703125" style="28" hidden="1" customWidth="1"/>
    <col min="8" max="8" width="8.7109375" hidden="1" customWidth="1"/>
    <col min="9" max="9" width="8.7109375" customWidth="1"/>
    <col min="10" max="11" width="26.5703125" customWidth="1"/>
    <col min="12" max="12" width="11.42578125" hidden="1" customWidth="1"/>
    <col min="13" max="13" width="11.42578125" customWidth="1"/>
  </cols>
  <sheetData>
    <row r="2" spans="2:12" s="3" customFormat="1" ht="30" customHeight="1" x14ac:dyDescent="0.2">
      <c r="B2" s="7" t="s">
        <v>4</v>
      </c>
      <c r="C2" s="7" t="s">
        <v>5</v>
      </c>
      <c r="D2" s="7"/>
      <c r="E2" s="7" t="s">
        <v>6</v>
      </c>
      <c r="F2" s="7" t="s">
        <v>7</v>
      </c>
      <c r="G2" s="1" t="s">
        <v>8</v>
      </c>
      <c r="H2" s="7" t="s">
        <v>9</v>
      </c>
      <c r="I2" s="7">
        <v>2019</v>
      </c>
      <c r="J2" s="7" t="s">
        <v>355</v>
      </c>
      <c r="K2" s="81"/>
    </row>
    <row r="3" spans="2:12" s="3" customFormat="1" ht="39.75" hidden="1" customHeight="1" x14ac:dyDescent="0.2">
      <c r="B3" s="93" t="s">
        <v>356</v>
      </c>
      <c r="C3" s="93" t="s">
        <v>357</v>
      </c>
      <c r="D3" s="94" t="s">
        <v>30</v>
      </c>
      <c r="E3" s="107" t="s">
        <v>358</v>
      </c>
      <c r="F3" s="129" t="s">
        <v>359</v>
      </c>
      <c r="G3" s="144">
        <f>12+5+7</f>
        <v>24</v>
      </c>
      <c r="H3" s="97">
        <v>25</v>
      </c>
      <c r="I3" s="136">
        <v>1</v>
      </c>
      <c r="J3" s="105" t="s">
        <v>360</v>
      </c>
      <c r="K3" s="105"/>
      <c r="L3" s="44">
        <f>IF((H3/G3)&lt;100%,(H3/G3),100%)</f>
        <v>1</v>
      </c>
    </row>
    <row r="4" spans="2:12" s="3" customFormat="1" ht="39.75" hidden="1" customHeight="1" x14ac:dyDescent="0.2">
      <c r="B4" s="101"/>
      <c r="C4" s="110"/>
      <c r="D4" s="94" t="s">
        <v>14</v>
      </c>
      <c r="E4" s="113"/>
      <c r="F4" s="129" t="s">
        <v>361</v>
      </c>
      <c r="G4" s="144">
        <v>3</v>
      </c>
      <c r="H4" s="97">
        <v>10</v>
      </c>
      <c r="I4" s="136">
        <v>7</v>
      </c>
      <c r="J4" s="105" t="s">
        <v>360</v>
      </c>
      <c r="K4" s="105"/>
      <c r="L4" s="44">
        <f>IF((H4/G4)&lt;100%,(H4/G4),100%)</f>
        <v>1</v>
      </c>
    </row>
    <row r="5" spans="2:12" ht="40.5" customHeight="1" x14ac:dyDescent="0.25">
      <c r="B5" s="101"/>
      <c r="C5" s="93" t="s">
        <v>362</v>
      </c>
      <c r="D5" s="94" t="s">
        <v>14</v>
      </c>
      <c r="E5" s="107" t="s">
        <v>363</v>
      </c>
      <c r="F5" s="129" t="s">
        <v>364</v>
      </c>
      <c r="G5" s="144">
        <f>9+6</f>
        <v>15</v>
      </c>
      <c r="H5" s="97">
        <v>1</v>
      </c>
      <c r="I5" s="136">
        <f>+G5-H5</f>
        <v>14</v>
      </c>
      <c r="J5" s="105" t="s">
        <v>360</v>
      </c>
      <c r="K5" s="107" t="s">
        <v>360</v>
      </c>
      <c r="L5" s="56">
        <f t="shared" ref="L5:L18" si="0">IF((H5/G5)&lt;100%,(H5/G5),100%)</f>
        <v>6.6666666666666666E-2</v>
      </c>
    </row>
    <row r="6" spans="2:12" ht="40.5" customHeight="1" x14ac:dyDescent="0.25">
      <c r="B6" s="101"/>
      <c r="C6" s="101"/>
      <c r="D6" s="94" t="s">
        <v>14</v>
      </c>
      <c r="E6" s="113"/>
      <c r="F6" s="129" t="s">
        <v>365</v>
      </c>
      <c r="G6" s="144">
        <v>30</v>
      </c>
      <c r="H6" s="97">
        <v>17</v>
      </c>
      <c r="I6" s="136">
        <f t="shared" ref="I6:I23" si="1">+G6-H6</f>
        <v>13</v>
      </c>
      <c r="J6" s="105" t="s">
        <v>360</v>
      </c>
      <c r="K6" s="109"/>
      <c r="L6" s="56">
        <f t="shared" si="0"/>
        <v>0.56666666666666665</v>
      </c>
    </row>
    <row r="7" spans="2:12" ht="45.6" customHeight="1" x14ac:dyDescent="0.25">
      <c r="B7" s="101"/>
      <c r="C7" s="101"/>
      <c r="D7" s="94" t="s">
        <v>14</v>
      </c>
      <c r="E7" s="107" t="s">
        <v>366</v>
      </c>
      <c r="F7" s="129" t="s">
        <v>367</v>
      </c>
      <c r="G7" s="144">
        <v>20</v>
      </c>
      <c r="H7" s="97">
        <v>3</v>
      </c>
      <c r="I7" s="136">
        <f t="shared" si="1"/>
        <v>17</v>
      </c>
      <c r="J7" s="105" t="s">
        <v>360</v>
      </c>
      <c r="K7" s="109"/>
      <c r="L7" s="56">
        <f t="shared" si="0"/>
        <v>0.15</v>
      </c>
    </row>
    <row r="8" spans="2:12" ht="45.6" customHeight="1" x14ac:dyDescent="0.25">
      <c r="B8" s="101"/>
      <c r="C8" s="101"/>
      <c r="D8" s="94" t="s">
        <v>14</v>
      </c>
      <c r="E8" s="109"/>
      <c r="F8" s="129" t="s">
        <v>368</v>
      </c>
      <c r="G8" s="144">
        <v>20</v>
      </c>
      <c r="H8" s="97">
        <v>5</v>
      </c>
      <c r="I8" s="136">
        <f t="shared" si="1"/>
        <v>15</v>
      </c>
      <c r="J8" s="137" t="s">
        <v>360</v>
      </c>
      <c r="K8" s="109"/>
      <c r="L8" s="56">
        <f t="shared" si="0"/>
        <v>0.25</v>
      </c>
    </row>
    <row r="9" spans="2:12" ht="45.6" customHeight="1" x14ac:dyDescent="0.25">
      <c r="B9" s="101"/>
      <c r="C9" s="101"/>
      <c r="D9" s="94" t="s">
        <v>14</v>
      </c>
      <c r="E9" s="113"/>
      <c r="F9" s="129" t="s">
        <v>369</v>
      </c>
      <c r="G9" s="144">
        <v>10</v>
      </c>
      <c r="H9" s="97">
        <v>5</v>
      </c>
      <c r="I9" s="136">
        <v>10</v>
      </c>
      <c r="J9" s="137" t="s">
        <v>360</v>
      </c>
      <c r="K9" s="109"/>
      <c r="L9" s="56">
        <f t="shared" si="0"/>
        <v>0.5</v>
      </c>
    </row>
    <row r="10" spans="2:12" ht="45.6" customHeight="1" x14ac:dyDescent="0.25">
      <c r="B10" s="101"/>
      <c r="C10" s="101"/>
      <c r="D10" s="94" t="s">
        <v>14</v>
      </c>
      <c r="E10" s="100" t="s">
        <v>370</v>
      </c>
      <c r="F10" s="129" t="s">
        <v>371</v>
      </c>
      <c r="G10" s="144">
        <v>4</v>
      </c>
      <c r="H10" s="97">
        <v>0</v>
      </c>
      <c r="I10" s="136">
        <v>4</v>
      </c>
      <c r="J10" s="137" t="s">
        <v>360</v>
      </c>
      <c r="K10" s="109"/>
      <c r="L10" s="56">
        <f t="shared" si="0"/>
        <v>0</v>
      </c>
    </row>
    <row r="11" spans="2:12" ht="35.25" customHeight="1" x14ac:dyDescent="0.25">
      <c r="B11" s="110"/>
      <c r="C11" s="110"/>
      <c r="D11" s="94" t="s">
        <v>14</v>
      </c>
      <c r="E11" s="105" t="s">
        <v>372</v>
      </c>
      <c r="F11" s="129" t="s">
        <v>510</v>
      </c>
      <c r="G11" s="144">
        <v>2</v>
      </c>
      <c r="H11" s="97">
        <v>1</v>
      </c>
      <c r="I11" s="136">
        <f t="shared" si="1"/>
        <v>1</v>
      </c>
      <c r="J11" s="137" t="s">
        <v>360</v>
      </c>
      <c r="K11" s="109"/>
      <c r="L11" s="56">
        <f t="shared" si="0"/>
        <v>0.5</v>
      </c>
    </row>
    <row r="12" spans="2:12" ht="37.5" customHeight="1" x14ac:dyDescent="0.25">
      <c r="B12" s="93" t="s">
        <v>373</v>
      </c>
      <c r="C12" s="93" t="s">
        <v>374</v>
      </c>
      <c r="D12" s="94" t="s">
        <v>14</v>
      </c>
      <c r="E12" s="105" t="s">
        <v>375</v>
      </c>
      <c r="F12" s="129" t="s">
        <v>376</v>
      </c>
      <c r="G12" s="144">
        <f>2+2+10</f>
        <v>14</v>
      </c>
      <c r="H12" s="97">
        <v>16</v>
      </c>
      <c r="I12" s="136">
        <v>12</v>
      </c>
      <c r="J12" s="137" t="s">
        <v>360</v>
      </c>
      <c r="K12" s="109"/>
      <c r="L12" s="44">
        <f t="shared" si="0"/>
        <v>1</v>
      </c>
    </row>
    <row r="13" spans="2:12" ht="37.5" customHeight="1" x14ac:dyDescent="0.25">
      <c r="B13" s="101"/>
      <c r="C13" s="101"/>
      <c r="D13" s="94" t="s">
        <v>30</v>
      </c>
      <c r="E13" s="105" t="s">
        <v>377</v>
      </c>
      <c r="F13" s="129" t="s">
        <v>378</v>
      </c>
      <c r="G13" s="144">
        <v>10</v>
      </c>
      <c r="H13" s="136">
        <v>0</v>
      </c>
      <c r="I13" s="136">
        <f t="shared" si="1"/>
        <v>10</v>
      </c>
      <c r="J13" s="137" t="s">
        <v>360</v>
      </c>
      <c r="K13" s="109"/>
      <c r="L13" s="57">
        <f t="shared" si="0"/>
        <v>0</v>
      </c>
    </row>
    <row r="14" spans="2:12" ht="37.5" customHeight="1" x14ac:dyDescent="0.25">
      <c r="B14" s="101"/>
      <c r="C14" s="101"/>
      <c r="D14" s="94" t="s">
        <v>30</v>
      </c>
      <c r="E14" s="105" t="s">
        <v>529</v>
      </c>
      <c r="F14" s="129" t="s">
        <v>530</v>
      </c>
      <c r="G14" s="144"/>
      <c r="H14" s="136"/>
      <c r="I14" s="136">
        <v>3</v>
      </c>
      <c r="J14" s="137" t="s">
        <v>360</v>
      </c>
      <c r="K14" s="139"/>
      <c r="L14" s="57"/>
    </row>
    <row r="15" spans="2:12" ht="37.5" customHeight="1" x14ac:dyDescent="0.25">
      <c r="B15" s="101"/>
      <c r="C15" s="101"/>
      <c r="D15" s="94" t="s">
        <v>14</v>
      </c>
      <c r="E15" s="107" t="s">
        <v>531</v>
      </c>
      <c r="F15" s="105" t="s">
        <v>533</v>
      </c>
      <c r="G15" s="144"/>
      <c r="H15" s="136"/>
      <c r="I15" s="136">
        <v>14</v>
      </c>
      <c r="J15" s="137" t="s">
        <v>360</v>
      </c>
      <c r="K15" s="139"/>
      <c r="L15" s="57"/>
    </row>
    <row r="16" spans="2:12" ht="37.5" customHeight="1" x14ac:dyDescent="0.25">
      <c r="B16" s="110"/>
      <c r="C16" s="110"/>
      <c r="D16" s="94" t="s">
        <v>14</v>
      </c>
      <c r="E16" s="113"/>
      <c r="F16" s="105" t="s">
        <v>532</v>
      </c>
      <c r="G16" s="144"/>
      <c r="H16" s="136"/>
      <c r="I16" s="136">
        <v>1</v>
      </c>
      <c r="J16" s="137" t="s">
        <v>360</v>
      </c>
      <c r="K16" s="139"/>
      <c r="L16" s="57"/>
    </row>
    <row r="17" spans="2:13" ht="46.5" customHeight="1" x14ac:dyDescent="0.25">
      <c r="B17" s="93" t="s">
        <v>379</v>
      </c>
      <c r="C17" s="93" t="s">
        <v>380</v>
      </c>
      <c r="D17" s="94" t="s">
        <v>14</v>
      </c>
      <c r="E17" s="105" t="s">
        <v>381</v>
      </c>
      <c r="F17" s="129" t="s">
        <v>382</v>
      </c>
      <c r="G17" s="144">
        <v>1</v>
      </c>
      <c r="H17" s="141">
        <v>0</v>
      </c>
      <c r="I17" s="136">
        <f t="shared" si="1"/>
        <v>1</v>
      </c>
      <c r="J17" s="105" t="s">
        <v>383</v>
      </c>
      <c r="K17" s="105" t="s">
        <v>383</v>
      </c>
      <c r="L17" s="56">
        <f t="shared" si="0"/>
        <v>0</v>
      </c>
    </row>
    <row r="18" spans="2:13" ht="46.5" customHeight="1" x14ac:dyDescent="0.25">
      <c r="B18" s="110"/>
      <c r="C18" s="110"/>
      <c r="D18" s="174" t="s">
        <v>30</v>
      </c>
      <c r="E18" s="105" t="s">
        <v>388</v>
      </c>
      <c r="F18" s="129" t="s">
        <v>385</v>
      </c>
      <c r="G18" s="144">
        <v>4</v>
      </c>
      <c r="H18" s="141">
        <v>1</v>
      </c>
      <c r="I18" s="136">
        <f t="shared" si="1"/>
        <v>3</v>
      </c>
      <c r="J18" s="105" t="s">
        <v>386</v>
      </c>
      <c r="K18" s="105" t="s">
        <v>386</v>
      </c>
      <c r="L18" s="57">
        <f t="shared" si="0"/>
        <v>0.25</v>
      </c>
    </row>
    <row r="19" spans="2:13" ht="41.25" customHeight="1" x14ac:dyDescent="0.25">
      <c r="B19" s="93" t="s">
        <v>373</v>
      </c>
      <c r="C19" s="115" t="s">
        <v>387</v>
      </c>
      <c r="D19" s="174" t="s">
        <v>14</v>
      </c>
      <c r="E19" s="102" t="s">
        <v>384</v>
      </c>
      <c r="F19" s="129" t="s">
        <v>389</v>
      </c>
      <c r="G19" s="97">
        <v>2</v>
      </c>
      <c r="H19" s="97">
        <v>1</v>
      </c>
      <c r="I19" s="97">
        <f t="shared" si="1"/>
        <v>1</v>
      </c>
      <c r="J19" s="133" t="s">
        <v>289</v>
      </c>
      <c r="K19" s="154" t="s">
        <v>289</v>
      </c>
      <c r="L19" s="38">
        <f t="shared" ref="L19:L23" si="2">IF((H19/G19)&lt;100%,(H19/G19),100%)</f>
        <v>0.5</v>
      </c>
    </row>
    <row r="20" spans="2:13" ht="8.25" hidden="1" customHeight="1" x14ac:dyDescent="0.25">
      <c r="B20" s="101"/>
      <c r="C20" s="115"/>
      <c r="D20" s="174" t="s">
        <v>14</v>
      </c>
      <c r="E20" s="102"/>
      <c r="F20" s="166"/>
      <c r="G20" s="97">
        <v>2</v>
      </c>
      <c r="H20" s="97">
        <v>2</v>
      </c>
      <c r="I20" s="97">
        <f t="shared" si="1"/>
        <v>0</v>
      </c>
      <c r="J20" s="100" t="s">
        <v>390</v>
      </c>
      <c r="K20" s="169"/>
      <c r="L20" s="44">
        <f t="shared" si="2"/>
        <v>1</v>
      </c>
    </row>
    <row r="21" spans="2:13" ht="8.25" hidden="1" customHeight="1" x14ac:dyDescent="0.25">
      <c r="B21" s="101"/>
      <c r="C21" s="115"/>
      <c r="D21" s="174" t="s">
        <v>14</v>
      </c>
      <c r="E21" s="102"/>
      <c r="F21" s="126"/>
      <c r="G21" s="97">
        <v>1</v>
      </c>
      <c r="H21" s="97">
        <v>0</v>
      </c>
      <c r="I21" s="97">
        <f t="shared" si="1"/>
        <v>1</v>
      </c>
      <c r="J21" s="100" t="s">
        <v>383</v>
      </c>
      <c r="K21" s="169"/>
      <c r="L21" s="38">
        <f t="shared" si="2"/>
        <v>0</v>
      </c>
    </row>
    <row r="22" spans="2:13" ht="54.75" hidden="1" customHeight="1" x14ac:dyDescent="0.25">
      <c r="B22" s="101"/>
      <c r="C22" s="115"/>
      <c r="D22" s="174" t="s">
        <v>14</v>
      </c>
      <c r="E22" s="102"/>
      <c r="F22" s="148" t="s">
        <v>391</v>
      </c>
      <c r="G22" s="97">
        <v>3</v>
      </c>
      <c r="H22" s="97">
        <v>3</v>
      </c>
      <c r="I22" s="97">
        <f t="shared" si="1"/>
        <v>0</v>
      </c>
      <c r="J22" s="133" t="s">
        <v>289</v>
      </c>
      <c r="K22" s="169"/>
      <c r="L22" s="44">
        <f t="shared" si="2"/>
        <v>1</v>
      </c>
    </row>
    <row r="23" spans="2:13" ht="44.25" customHeight="1" x14ac:dyDescent="0.25">
      <c r="B23" s="110"/>
      <c r="C23" s="115"/>
      <c r="D23" s="174" t="s">
        <v>30</v>
      </c>
      <c r="E23" s="100" t="s">
        <v>392</v>
      </c>
      <c r="F23" s="148" t="s">
        <v>393</v>
      </c>
      <c r="G23" s="97">
        <v>1</v>
      </c>
      <c r="H23" s="97">
        <v>0</v>
      </c>
      <c r="I23" s="97">
        <f t="shared" si="1"/>
        <v>1</v>
      </c>
      <c r="J23" s="100" t="s">
        <v>386</v>
      </c>
      <c r="K23" s="100" t="s">
        <v>386</v>
      </c>
      <c r="L23" s="54">
        <f t="shared" si="2"/>
        <v>0</v>
      </c>
      <c r="M23" s="69"/>
    </row>
    <row r="25" spans="2:13" x14ac:dyDescent="0.25">
      <c r="L25" s="39"/>
    </row>
    <row r="26" spans="2:13" hidden="1" x14ac:dyDescent="0.25">
      <c r="B26" s="59"/>
      <c r="C26" s="3" t="s">
        <v>68</v>
      </c>
      <c r="D26" s="3"/>
    </row>
    <row r="27" spans="2:13" hidden="1" x14ac:dyDescent="0.25">
      <c r="B27" s="61"/>
      <c r="C27" s="3" t="s">
        <v>69</v>
      </c>
      <c r="D27" s="3"/>
    </row>
    <row r="28" spans="2:13" hidden="1" x14ac:dyDescent="0.25">
      <c r="B28" s="60"/>
      <c r="C28" s="3" t="s">
        <v>70</v>
      </c>
      <c r="D28" s="3" t="s">
        <v>71</v>
      </c>
    </row>
    <row r="29" spans="2:13" hidden="1" x14ac:dyDescent="0.25">
      <c r="B29" s="62"/>
      <c r="C29" s="3" t="s">
        <v>72</v>
      </c>
      <c r="D29" s="3" t="s">
        <v>71</v>
      </c>
    </row>
    <row r="30" spans="2:13" hidden="1" x14ac:dyDescent="0.25"/>
  </sheetData>
  <sheetProtection selectLockedCells="1" selectUnlockedCells="1"/>
  <mergeCells count="16">
    <mergeCell ref="K5:K13"/>
    <mergeCell ref="K19:K22"/>
    <mergeCell ref="E3:E4"/>
    <mergeCell ref="E5:E6"/>
    <mergeCell ref="C3:C4"/>
    <mergeCell ref="C19:C23"/>
    <mergeCell ref="C17:C18"/>
    <mergeCell ref="E19:E22"/>
    <mergeCell ref="E15:E16"/>
    <mergeCell ref="C12:C16"/>
    <mergeCell ref="E7:E9"/>
    <mergeCell ref="B19:B23"/>
    <mergeCell ref="B17:B18"/>
    <mergeCell ref="B3:B11"/>
    <mergeCell ref="C5:C11"/>
    <mergeCell ref="B12:B16"/>
  </mergeCells>
  <pageMargins left="0.70866141732283472" right="0.70866141732283472" top="0.74803149606299213" bottom="0.74803149606299213" header="0.31496062992125984" footer="0.31496062992125984"/>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91"/>
  <sheetViews>
    <sheetView tabSelected="1" topLeftCell="A33" zoomScale="80" zoomScaleNormal="80" zoomScalePageLayoutView="80" workbookViewId="0">
      <selection activeCell="F40" sqref="F40"/>
    </sheetView>
  </sheetViews>
  <sheetFormatPr baseColWidth="10" defaultColWidth="11.42578125" defaultRowHeight="15" x14ac:dyDescent="0.25"/>
  <cols>
    <col min="1" max="1" width="1.7109375" customWidth="1"/>
    <col min="2" max="3" width="11.7109375" customWidth="1"/>
    <col min="4" max="4" width="11.7109375" style="84" customWidth="1"/>
    <col min="5" max="6" width="43.7109375" style="10" customWidth="1"/>
    <col min="7" max="7" width="15.28515625" style="47" hidden="1" customWidth="1"/>
    <col min="8" max="8" width="18.42578125" hidden="1" customWidth="1"/>
    <col min="9" max="9" width="14.5703125" customWidth="1"/>
    <col min="10" max="10" width="25.28515625" customWidth="1"/>
    <col min="11" max="11" width="26.85546875" style="10" customWidth="1"/>
    <col min="12" max="12" width="14" hidden="1" customWidth="1"/>
    <col min="13" max="13" width="11.42578125" customWidth="1"/>
    <col min="15" max="15" width="18.28515625" bestFit="1" customWidth="1"/>
  </cols>
  <sheetData>
    <row r="2" spans="2:15" s="3" customFormat="1" ht="30" customHeight="1" x14ac:dyDescent="0.2">
      <c r="B2" s="7" t="s">
        <v>4</v>
      </c>
      <c r="C2" s="7" t="s">
        <v>5</v>
      </c>
      <c r="D2" s="83"/>
      <c r="E2" s="7" t="s">
        <v>6</v>
      </c>
      <c r="F2" s="7" t="s">
        <v>7</v>
      </c>
      <c r="G2" s="46" t="s">
        <v>8</v>
      </c>
      <c r="H2" s="7" t="s">
        <v>9</v>
      </c>
      <c r="I2" s="7">
        <v>2019</v>
      </c>
      <c r="J2" s="7" t="s">
        <v>127</v>
      </c>
      <c r="K2" s="50" t="s">
        <v>128</v>
      </c>
    </row>
    <row r="3" spans="2:15" s="3" customFormat="1" ht="51" customHeight="1" x14ac:dyDescent="0.2">
      <c r="B3" s="93" t="s">
        <v>394</v>
      </c>
      <c r="C3" s="93" t="s">
        <v>395</v>
      </c>
      <c r="D3" s="94" t="s">
        <v>14</v>
      </c>
      <c r="E3" s="105" t="s">
        <v>396</v>
      </c>
      <c r="F3" s="106" t="s">
        <v>397</v>
      </c>
      <c r="G3" s="142">
        <v>50</v>
      </c>
      <c r="H3" s="141">
        <v>35</v>
      </c>
      <c r="I3" s="141">
        <v>15</v>
      </c>
      <c r="J3" s="137" t="s">
        <v>398</v>
      </c>
      <c r="K3" s="137" t="s">
        <v>398</v>
      </c>
      <c r="L3" s="54">
        <f t="shared" ref="L3:L15" si="0">IF((H3/G3)&lt;100%,(H3/G3),100%)</f>
        <v>0.7</v>
      </c>
    </row>
    <row r="4" spans="2:15" ht="64.5" customHeight="1" x14ac:dyDescent="0.25">
      <c r="B4" s="101"/>
      <c r="C4" s="101"/>
      <c r="D4" s="94" t="s">
        <v>30</v>
      </c>
      <c r="E4" s="100" t="s">
        <v>399</v>
      </c>
      <c r="F4" s="106" t="s">
        <v>400</v>
      </c>
      <c r="G4" s="152">
        <v>1</v>
      </c>
      <c r="H4" s="145">
        <v>0</v>
      </c>
      <c r="I4" s="131">
        <f t="shared" ref="I4:I42" si="1">+G4-H4</f>
        <v>1</v>
      </c>
      <c r="J4" s="197" t="s">
        <v>81</v>
      </c>
      <c r="K4" s="133" t="s">
        <v>81</v>
      </c>
      <c r="L4" s="54">
        <f t="shared" si="0"/>
        <v>0</v>
      </c>
    </row>
    <row r="5" spans="2:15" ht="79.5" hidden="1" customHeight="1" x14ac:dyDescent="0.25">
      <c r="B5" s="101"/>
      <c r="C5" s="101"/>
      <c r="D5" s="94"/>
      <c r="E5" s="105" t="s">
        <v>401</v>
      </c>
      <c r="F5" s="198" t="s">
        <v>402</v>
      </c>
      <c r="G5" s="199">
        <v>1</v>
      </c>
      <c r="H5" s="131">
        <v>1</v>
      </c>
      <c r="I5" s="131">
        <f t="shared" si="1"/>
        <v>0</v>
      </c>
      <c r="J5" s="131"/>
      <c r="K5" s="137" t="s">
        <v>398</v>
      </c>
      <c r="L5" s="54">
        <f t="shared" si="0"/>
        <v>1</v>
      </c>
    </row>
    <row r="6" spans="2:15" ht="65.45" customHeight="1" x14ac:dyDescent="0.25">
      <c r="B6" s="101"/>
      <c r="C6" s="101"/>
      <c r="D6" s="94" t="s">
        <v>14</v>
      </c>
      <c r="E6" s="109" t="s">
        <v>401</v>
      </c>
      <c r="F6" s="200" t="s">
        <v>403</v>
      </c>
      <c r="G6" s="199">
        <v>1</v>
      </c>
      <c r="H6" s="131">
        <v>0.87</v>
      </c>
      <c r="I6" s="131">
        <f t="shared" si="1"/>
        <v>0.13</v>
      </c>
      <c r="J6" s="169" t="s">
        <v>398</v>
      </c>
      <c r="K6" s="169" t="s">
        <v>398</v>
      </c>
      <c r="L6" s="54">
        <f t="shared" si="0"/>
        <v>0.87</v>
      </c>
    </row>
    <row r="7" spans="2:15" ht="79.5" customHeight="1" x14ac:dyDescent="0.25">
      <c r="B7" s="101"/>
      <c r="C7" s="101"/>
      <c r="D7" s="94" t="s">
        <v>30</v>
      </c>
      <c r="E7" s="109"/>
      <c r="F7" s="200" t="s">
        <v>404</v>
      </c>
      <c r="G7" s="199">
        <v>0.7</v>
      </c>
      <c r="H7" s="131">
        <v>0.65</v>
      </c>
      <c r="I7" s="131">
        <f t="shared" si="1"/>
        <v>4.9999999999999933E-2</v>
      </c>
      <c r="J7" s="169"/>
      <c r="K7" s="169"/>
      <c r="L7" s="54">
        <f t="shared" si="0"/>
        <v>0.92857142857142871</v>
      </c>
    </row>
    <row r="8" spans="2:15" ht="69.75" hidden="1" customHeight="1" x14ac:dyDescent="0.25">
      <c r="B8" s="101"/>
      <c r="C8" s="101"/>
      <c r="D8" s="94"/>
      <c r="E8" s="109"/>
      <c r="F8" s="200" t="s">
        <v>405</v>
      </c>
      <c r="G8" s="199">
        <v>1</v>
      </c>
      <c r="H8" s="131">
        <v>1</v>
      </c>
      <c r="I8" s="131">
        <f t="shared" si="1"/>
        <v>0</v>
      </c>
      <c r="J8" s="169"/>
      <c r="K8" s="169"/>
      <c r="L8" s="54">
        <f t="shared" si="0"/>
        <v>1</v>
      </c>
    </row>
    <row r="9" spans="2:15" ht="42" customHeight="1" x14ac:dyDescent="0.25">
      <c r="B9" s="101"/>
      <c r="C9" s="101"/>
      <c r="D9" s="94" t="s">
        <v>30</v>
      </c>
      <c r="E9" s="109"/>
      <c r="F9" s="200" t="s">
        <v>406</v>
      </c>
      <c r="G9" s="199"/>
      <c r="H9" s="131"/>
      <c r="I9" s="131">
        <v>0.3</v>
      </c>
      <c r="J9" s="169"/>
      <c r="K9" s="169"/>
      <c r="L9" s="54"/>
    </row>
    <row r="10" spans="2:15" ht="39.75" customHeight="1" x14ac:dyDescent="0.25">
      <c r="B10" s="101"/>
      <c r="C10" s="101"/>
      <c r="D10" s="94" t="s">
        <v>30</v>
      </c>
      <c r="E10" s="113"/>
      <c r="F10" s="200" t="s">
        <v>407</v>
      </c>
      <c r="G10" s="199">
        <v>1</v>
      </c>
      <c r="H10" s="131">
        <v>0.8</v>
      </c>
      <c r="I10" s="131">
        <f t="shared" si="1"/>
        <v>0.19999999999999996</v>
      </c>
      <c r="J10" s="155"/>
      <c r="K10" s="155"/>
      <c r="L10" s="54">
        <f t="shared" si="0"/>
        <v>0.8</v>
      </c>
    </row>
    <row r="11" spans="2:15" ht="36" customHeight="1" x14ac:dyDescent="0.25">
      <c r="B11" s="101"/>
      <c r="C11" s="101"/>
      <c r="D11" s="94" t="s">
        <v>14</v>
      </c>
      <c r="E11" s="208" t="s">
        <v>408</v>
      </c>
      <c r="F11" s="103" t="s">
        <v>409</v>
      </c>
      <c r="G11" s="142">
        <v>2</v>
      </c>
      <c r="H11" s="142">
        <v>1</v>
      </c>
      <c r="I11" s="142">
        <f t="shared" si="1"/>
        <v>1</v>
      </c>
      <c r="J11" s="201" t="s">
        <v>89</v>
      </c>
      <c r="K11" s="154" t="s">
        <v>89</v>
      </c>
      <c r="L11" s="54">
        <f t="shared" si="0"/>
        <v>0.5</v>
      </c>
    </row>
    <row r="12" spans="2:15" ht="36" customHeight="1" x14ac:dyDescent="0.25">
      <c r="B12" s="101"/>
      <c r="C12" s="101"/>
      <c r="D12" s="94" t="s">
        <v>30</v>
      </c>
      <c r="E12" s="209"/>
      <c r="F12" s="103" t="s">
        <v>410</v>
      </c>
      <c r="G12" s="152">
        <v>1</v>
      </c>
      <c r="H12" s="152">
        <v>0.3</v>
      </c>
      <c r="I12" s="117">
        <f t="shared" si="1"/>
        <v>0.7</v>
      </c>
      <c r="J12" s="203"/>
      <c r="K12" s="169"/>
      <c r="L12" s="54">
        <f t="shared" si="0"/>
        <v>0.3</v>
      </c>
    </row>
    <row r="13" spans="2:15" ht="36" customHeight="1" x14ac:dyDescent="0.25">
      <c r="B13" s="101"/>
      <c r="C13" s="101"/>
      <c r="D13" s="94" t="s">
        <v>30</v>
      </c>
      <c r="E13" s="209"/>
      <c r="F13" s="103" t="s">
        <v>411</v>
      </c>
      <c r="G13" s="142">
        <v>400</v>
      </c>
      <c r="H13" s="142">
        <v>300</v>
      </c>
      <c r="I13" s="142">
        <f t="shared" si="1"/>
        <v>100</v>
      </c>
      <c r="J13" s="203"/>
      <c r="K13" s="169"/>
      <c r="L13" s="54">
        <f t="shared" si="0"/>
        <v>0.75</v>
      </c>
    </row>
    <row r="14" spans="2:15" ht="36" customHeight="1" x14ac:dyDescent="0.25">
      <c r="B14" s="101"/>
      <c r="C14" s="101"/>
      <c r="D14" s="94" t="s">
        <v>30</v>
      </c>
      <c r="E14" s="209"/>
      <c r="F14" s="103" t="s">
        <v>412</v>
      </c>
      <c r="G14" s="142">
        <v>20</v>
      </c>
      <c r="H14" s="142">
        <v>15</v>
      </c>
      <c r="I14" s="142">
        <f t="shared" si="1"/>
        <v>5</v>
      </c>
      <c r="J14" s="203"/>
      <c r="K14" s="169"/>
      <c r="L14" s="54">
        <f t="shared" si="0"/>
        <v>0.75</v>
      </c>
    </row>
    <row r="15" spans="2:15" ht="36" customHeight="1" x14ac:dyDescent="0.25">
      <c r="B15" s="101"/>
      <c r="C15" s="101"/>
      <c r="D15" s="94" t="s">
        <v>30</v>
      </c>
      <c r="E15" s="210"/>
      <c r="F15" s="103" t="s">
        <v>413</v>
      </c>
      <c r="G15" s="142">
        <v>1</v>
      </c>
      <c r="H15" s="117"/>
      <c r="I15" s="142">
        <v>2</v>
      </c>
      <c r="J15" s="206"/>
      <c r="K15" s="155"/>
      <c r="L15" s="54">
        <f t="shared" si="0"/>
        <v>0</v>
      </c>
      <c r="O15" s="45"/>
    </row>
    <row r="16" spans="2:15" ht="36" customHeight="1" x14ac:dyDescent="0.25">
      <c r="B16" s="101"/>
      <c r="C16" s="101"/>
      <c r="D16" s="94" t="s">
        <v>30</v>
      </c>
      <c r="E16" s="208" t="s">
        <v>414</v>
      </c>
      <c r="F16" s="103" t="s">
        <v>512</v>
      </c>
      <c r="G16" s="117">
        <v>1</v>
      </c>
      <c r="H16" s="117">
        <v>0.99</v>
      </c>
      <c r="I16" s="117">
        <v>0.95</v>
      </c>
      <c r="J16" s="197" t="s">
        <v>416</v>
      </c>
      <c r="K16" s="154" t="s">
        <v>415</v>
      </c>
      <c r="L16" s="54" t="e">
        <f>IF((#REF!/#REF!)&lt;100%,(#REF!/#REF!),100%)</f>
        <v>#REF!</v>
      </c>
    </row>
    <row r="17" spans="2:12" ht="36" customHeight="1" x14ac:dyDescent="0.25">
      <c r="B17" s="101"/>
      <c r="C17" s="101"/>
      <c r="D17" s="94" t="s">
        <v>30</v>
      </c>
      <c r="E17" s="209"/>
      <c r="F17" s="103" t="s">
        <v>417</v>
      </c>
      <c r="G17" s="152">
        <v>0.9</v>
      </c>
      <c r="H17" s="117">
        <v>0.77</v>
      </c>
      <c r="I17" s="117">
        <v>0.9</v>
      </c>
      <c r="J17" s="197" t="s">
        <v>418</v>
      </c>
      <c r="K17" s="169"/>
      <c r="L17" s="54">
        <f>IF((H16/G16)&lt;100%,(H16/G16),100%)</f>
        <v>0.99</v>
      </c>
    </row>
    <row r="18" spans="2:12" ht="36" customHeight="1" x14ac:dyDescent="0.25">
      <c r="B18" s="101"/>
      <c r="C18" s="101"/>
      <c r="D18" s="94" t="s">
        <v>30</v>
      </c>
      <c r="E18" s="209"/>
      <c r="F18" s="103" t="s">
        <v>419</v>
      </c>
      <c r="G18" s="152">
        <v>0.9</v>
      </c>
      <c r="H18" s="117">
        <v>0.7</v>
      </c>
      <c r="I18" s="117">
        <v>0.9</v>
      </c>
      <c r="J18" s="197" t="s">
        <v>420</v>
      </c>
      <c r="K18" s="169"/>
      <c r="L18" s="54">
        <f>IF((H17/G17)&lt;100%,(H17/G17),100%)</f>
        <v>0.85555555555555551</v>
      </c>
    </row>
    <row r="19" spans="2:12" ht="47.25" customHeight="1" x14ac:dyDescent="0.25">
      <c r="B19" s="101"/>
      <c r="C19" s="101"/>
      <c r="D19" s="94" t="s">
        <v>30</v>
      </c>
      <c r="E19" s="209"/>
      <c r="F19" s="103" t="s">
        <v>421</v>
      </c>
      <c r="G19" s="152"/>
      <c r="H19" s="117"/>
      <c r="I19" s="97">
        <v>50</v>
      </c>
      <c r="J19" s="100" t="s">
        <v>422</v>
      </c>
      <c r="K19" s="169"/>
      <c r="L19" s="54">
        <f>IF((H18/G18)&lt;100%,(H18/G18),100%)</f>
        <v>0.77777777777777768</v>
      </c>
    </row>
    <row r="20" spans="2:12" ht="45" customHeight="1" x14ac:dyDescent="0.25">
      <c r="B20" s="101"/>
      <c r="C20" s="101"/>
      <c r="D20" s="94" t="s">
        <v>30</v>
      </c>
      <c r="E20" s="209"/>
      <c r="F20" s="103" t="s">
        <v>518</v>
      </c>
      <c r="G20" s="142">
        <v>1</v>
      </c>
      <c r="H20" s="117"/>
      <c r="I20" s="142">
        <v>4</v>
      </c>
      <c r="J20" s="197" t="s">
        <v>415</v>
      </c>
      <c r="K20" s="169"/>
      <c r="L20" s="54"/>
    </row>
    <row r="21" spans="2:12" ht="51" customHeight="1" x14ac:dyDescent="0.25">
      <c r="B21" s="101"/>
      <c r="C21" s="101"/>
      <c r="D21" s="94" t="s">
        <v>30</v>
      </c>
      <c r="E21" s="209"/>
      <c r="F21" s="103" t="s">
        <v>423</v>
      </c>
      <c r="G21" s="142">
        <v>1</v>
      </c>
      <c r="H21" s="117"/>
      <c r="I21" s="142">
        <v>4</v>
      </c>
      <c r="J21" s="100" t="s">
        <v>422</v>
      </c>
      <c r="K21" s="169"/>
      <c r="L21" s="54">
        <f>IF((H20/G20)&lt;100%,(H20/G20),100%)</f>
        <v>0</v>
      </c>
    </row>
    <row r="22" spans="2:12" ht="47.1" customHeight="1" x14ac:dyDescent="0.25">
      <c r="B22" s="101"/>
      <c r="C22" s="101"/>
      <c r="D22" s="94" t="s">
        <v>30</v>
      </c>
      <c r="E22" s="210"/>
      <c r="F22" s="103" t="s">
        <v>424</v>
      </c>
      <c r="G22" s="142">
        <v>1</v>
      </c>
      <c r="H22" s="117"/>
      <c r="I22" s="142">
        <v>4</v>
      </c>
      <c r="J22" s="100" t="s">
        <v>425</v>
      </c>
      <c r="K22" s="169"/>
      <c r="L22" s="54">
        <f>IF((H21/G21)&lt;100%,(H21/G21),100%)</f>
        <v>0</v>
      </c>
    </row>
    <row r="23" spans="2:12" ht="54.75" customHeight="1" x14ac:dyDescent="0.25">
      <c r="B23" s="101"/>
      <c r="C23" s="101"/>
      <c r="D23" s="94" t="s">
        <v>30</v>
      </c>
      <c r="E23" s="208" t="s">
        <v>536</v>
      </c>
      <c r="F23" s="103" t="s">
        <v>519</v>
      </c>
      <c r="G23" s="152">
        <v>0.08</v>
      </c>
      <c r="H23" s="117"/>
      <c r="I23" s="175">
        <v>2</v>
      </c>
      <c r="J23" s="197" t="s">
        <v>426</v>
      </c>
      <c r="K23" s="107" t="s">
        <v>427</v>
      </c>
      <c r="L23" s="54">
        <f t="shared" ref="L23:L34" si="2">IF((H23/G23)&lt;100%,(H23/G23),100%)</f>
        <v>0</v>
      </c>
    </row>
    <row r="24" spans="2:12" ht="50.25" customHeight="1" x14ac:dyDescent="0.25">
      <c r="B24" s="101"/>
      <c r="C24" s="101"/>
      <c r="D24" s="94" t="s">
        <v>30</v>
      </c>
      <c r="E24" s="209"/>
      <c r="F24" s="103" t="s">
        <v>520</v>
      </c>
      <c r="G24" s="152">
        <v>0.1</v>
      </c>
      <c r="H24" s="117"/>
      <c r="I24" s="175">
        <v>2</v>
      </c>
      <c r="J24" s="197" t="s">
        <v>428</v>
      </c>
      <c r="K24" s="109"/>
      <c r="L24" s="54">
        <f t="shared" si="2"/>
        <v>0</v>
      </c>
    </row>
    <row r="25" spans="2:12" ht="53.25" customHeight="1" x14ac:dyDescent="0.25">
      <c r="B25" s="101"/>
      <c r="C25" s="101"/>
      <c r="D25" s="94" t="s">
        <v>30</v>
      </c>
      <c r="E25" s="209"/>
      <c r="F25" s="103" t="s">
        <v>521</v>
      </c>
      <c r="G25" s="152">
        <v>0.1</v>
      </c>
      <c r="H25" s="117"/>
      <c r="I25" s="175">
        <v>2</v>
      </c>
      <c r="J25" s="197" t="s">
        <v>428</v>
      </c>
      <c r="K25" s="109"/>
      <c r="L25" s="54">
        <f t="shared" si="2"/>
        <v>0</v>
      </c>
    </row>
    <row r="26" spans="2:12" ht="55.5" customHeight="1" x14ac:dyDescent="0.25">
      <c r="B26" s="101"/>
      <c r="C26" s="101"/>
      <c r="D26" s="94" t="s">
        <v>30</v>
      </c>
      <c r="E26" s="210"/>
      <c r="F26" s="103" t="s">
        <v>522</v>
      </c>
      <c r="G26" s="152">
        <v>0.05</v>
      </c>
      <c r="H26" s="117"/>
      <c r="I26" s="175">
        <v>2</v>
      </c>
      <c r="J26" s="197" t="s">
        <v>428</v>
      </c>
      <c r="K26" s="109"/>
      <c r="L26" s="54">
        <f t="shared" si="2"/>
        <v>0</v>
      </c>
    </row>
    <row r="27" spans="2:12" ht="36" customHeight="1" x14ac:dyDescent="0.25">
      <c r="B27" s="101"/>
      <c r="C27" s="101"/>
      <c r="D27" s="94" t="s">
        <v>30</v>
      </c>
      <c r="E27" s="208" t="s">
        <v>535</v>
      </c>
      <c r="F27" s="103" t="s">
        <v>429</v>
      </c>
      <c r="G27" s="117">
        <v>1</v>
      </c>
      <c r="H27" s="117"/>
      <c r="I27" s="117">
        <f t="shared" si="1"/>
        <v>1</v>
      </c>
      <c r="J27" s="197" t="s">
        <v>430</v>
      </c>
      <c r="K27" s="109"/>
      <c r="L27" s="54">
        <f t="shared" si="2"/>
        <v>0</v>
      </c>
    </row>
    <row r="28" spans="2:12" ht="36" customHeight="1" x14ac:dyDescent="0.25">
      <c r="B28" s="101"/>
      <c r="C28" s="101"/>
      <c r="D28" s="94" t="s">
        <v>30</v>
      </c>
      <c r="E28" s="210"/>
      <c r="F28" s="103" t="s">
        <v>431</v>
      </c>
      <c r="G28" s="117">
        <v>0.9</v>
      </c>
      <c r="H28" s="117"/>
      <c r="I28" s="117">
        <f t="shared" si="1"/>
        <v>0.9</v>
      </c>
      <c r="J28" s="197" t="s">
        <v>430</v>
      </c>
      <c r="K28" s="109"/>
      <c r="L28" s="54">
        <f t="shared" si="2"/>
        <v>0</v>
      </c>
    </row>
    <row r="29" spans="2:12" ht="54" customHeight="1" x14ac:dyDescent="0.25">
      <c r="B29" s="101"/>
      <c r="C29" s="101"/>
      <c r="D29" s="94" t="s">
        <v>30</v>
      </c>
      <c r="E29" s="208" t="s">
        <v>534</v>
      </c>
      <c r="F29" s="103" t="s">
        <v>432</v>
      </c>
      <c r="G29" s="142">
        <v>4</v>
      </c>
      <c r="H29" s="142">
        <v>3</v>
      </c>
      <c r="I29" s="152">
        <v>1</v>
      </c>
      <c r="J29" s="197" t="s">
        <v>433</v>
      </c>
      <c r="K29" s="109"/>
      <c r="L29" s="54">
        <f t="shared" si="2"/>
        <v>0.75</v>
      </c>
    </row>
    <row r="30" spans="2:12" ht="54" customHeight="1" x14ac:dyDescent="0.25">
      <c r="B30" s="101"/>
      <c r="C30" s="101"/>
      <c r="D30" s="94" t="s">
        <v>30</v>
      </c>
      <c r="E30" s="209"/>
      <c r="F30" s="103" t="s">
        <v>434</v>
      </c>
      <c r="G30" s="142">
        <v>4</v>
      </c>
      <c r="H30" s="142">
        <v>3</v>
      </c>
      <c r="I30" s="152">
        <f t="shared" si="1"/>
        <v>1</v>
      </c>
      <c r="J30" s="197" t="s">
        <v>433</v>
      </c>
      <c r="K30" s="109"/>
      <c r="L30" s="54">
        <f t="shared" si="2"/>
        <v>0.75</v>
      </c>
    </row>
    <row r="31" spans="2:12" ht="38.25" customHeight="1" x14ac:dyDescent="0.25">
      <c r="B31" s="101"/>
      <c r="C31" s="101"/>
      <c r="D31" s="94" t="s">
        <v>30</v>
      </c>
      <c r="E31" s="209"/>
      <c r="F31" s="103" t="s">
        <v>435</v>
      </c>
      <c r="G31" s="142">
        <v>1</v>
      </c>
      <c r="H31" s="142"/>
      <c r="I31" s="152">
        <f t="shared" si="1"/>
        <v>1</v>
      </c>
      <c r="J31" s="100" t="s">
        <v>422</v>
      </c>
      <c r="K31" s="109"/>
      <c r="L31" s="54">
        <f t="shared" si="2"/>
        <v>0</v>
      </c>
    </row>
    <row r="32" spans="2:12" ht="50.25" customHeight="1" x14ac:dyDescent="0.25">
      <c r="B32" s="101"/>
      <c r="C32" s="101"/>
      <c r="D32" s="94" t="s">
        <v>30</v>
      </c>
      <c r="E32" s="210"/>
      <c r="F32" s="103" t="s">
        <v>436</v>
      </c>
      <c r="G32" s="142">
        <v>1</v>
      </c>
      <c r="H32" s="142"/>
      <c r="I32" s="152">
        <f t="shared" si="1"/>
        <v>1</v>
      </c>
      <c r="J32" s="100" t="s">
        <v>422</v>
      </c>
      <c r="K32" s="113"/>
      <c r="L32" s="54">
        <f t="shared" si="2"/>
        <v>0</v>
      </c>
    </row>
    <row r="33" spans="2:12" ht="77.25" customHeight="1" x14ac:dyDescent="0.25">
      <c r="B33" s="101"/>
      <c r="C33" s="101"/>
      <c r="D33" s="94" t="s">
        <v>30</v>
      </c>
      <c r="E33" s="208" t="s">
        <v>554</v>
      </c>
      <c r="F33" s="103" t="s">
        <v>437</v>
      </c>
      <c r="G33" s="117">
        <v>0.8</v>
      </c>
      <c r="H33" s="117">
        <v>0.75</v>
      </c>
      <c r="I33" s="142">
        <v>4</v>
      </c>
      <c r="J33" s="204" t="s">
        <v>89</v>
      </c>
      <c r="K33" s="201" t="s">
        <v>89</v>
      </c>
      <c r="L33" s="54">
        <f t="shared" si="2"/>
        <v>0.9375</v>
      </c>
    </row>
    <row r="34" spans="2:12" ht="36.75" customHeight="1" x14ac:dyDescent="0.25">
      <c r="B34" s="101"/>
      <c r="C34" s="101"/>
      <c r="D34" s="94" t="s">
        <v>30</v>
      </c>
      <c r="E34" s="209"/>
      <c r="F34" s="103" t="s">
        <v>438</v>
      </c>
      <c r="G34" s="142">
        <v>5</v>
      </c>
      <c r="H34" s="142">
        <v>7</v>
      </c>
      <c r="I34" s="142">
        <v>8</v>
      </c>
      <c r="J34" s="204" t="s">
        <v>89</v>
      </c>
      <c r="K34" s="203"/>
      <c r="L34" s="54">
        <f t="shared" si="2"/>
        <v>1</v>
      </c>
    </row>
    <row r="35" spans="2:12" ht="36.75" customHeight="1" x14ac:dyDescent="0.25">
      <c r="B35" s="101"/>
      <c r="C35" s="101"/>
      <c r="D35" s="94" t="s">
        <v>30</v>
      </c>
      <c r="E35" s="209"/>
      <c r="F35" s="103" t="s">
        <v>439</v>
      </c>
      <c r="G35" s="142"/>
      <c r="H35" s="142"/>
      <c r="I35" s="142">
        <v>2</v>
      </c>
      <c r="J35" s="204" t="s">
        <v>89</v>
      </c>
      <c r="K35" s="203"/>
      <c r="L35" s="54"/>
    </row>
    <row r="36" spans="2:12" ht="36.75" customHeight="1" x14ac:dyDescent="0.25">
      <c r="B36" s="101"/>
      <c r="C36" s="101"/>
      <c r="D36" s="94" t="s">
        <v>30</v>
      </c>
      <c r="E36" s="209"/>
      <c r="F36" s="103" t="s">
        <v>440</v>
      </c>
      <c r="G36" s="142">
        <v>0.01</v>
      </c>
      <c r="H36" s="205"/>
      <c r="I36" s="142">
        <v>9</v>
      </c>
      <c r="J36" s="204" t="s">
        <v>441</v>
      </c>
      <c r="K36" s="203"/>
      <c r="L36" s="54">
        <f>IF((H36/G36)&lt;100%,(H36/G36),100%)</f>
        <v>0</v>
      </c>
    </row>
    <row r="37" spans="2:12" ht="36.75" customHeight="1" x14ac:dyDescent="0.25">
      <c r="B37" s="101"/>
      <c r="C37" s="101"/>
      <c r="D37" s="94" t="s">
        <v>30</v>
      </c>
      <c r="E37" s="209"/>
      <c r="F37" s="103" t="s">
        <v>442</v>
      </c>
      <c r="G37" s="142"/>
      <c r="H37" s="205"/>
      <c r="I37" s="152">
        <v>0.85</v>
      </c>
      <c r="J37" s="204" t="s">
        <v>89</v>
      </c>
      <c r="K37" s="203"/>
      <c r="L37" s="54"/>
    </row>
    <row r="38" spans="2:12" ht="36.75" customHeight="1" x14ac:dyDescent="0.25">
      <c r="B38" s="101"/>
      <c r="C38" s="101"/>
      <c r="D38" s="94" t="s">
        <v>14</v>
      </c>
      <c r="E38" s="209"/>
      <c r="F38" s="95" t="s">
        <v>443</v>
      </c>
      <c r="G38" s="142">
        <v>0.01</v>
      </c>
      <c r="H38" s="205"/>
      <c r="I38" s="142">
        <v>8</v>
      </c>
      <c r="J38" s="197" t="s">
        <v>132</v>
      </c>
      <c r="K38" s="203"/>
      <c r="L38" s="54">
        <f t="shared" ref="L38:L44" si="3">IF((H38/G38)&lt;100%,(H38/G38),100%)</f>
        <v>0</v>
      </c>
    </row>
    <row r="39" spans="2:12" ht="36.75" customHeight="1" x14ac:dyDescent="0.25">
      <c r="B39" s="101"/>
      <c r="C39" s="101"/>
      <c r="D39" s="94" t="s">
        <v>30</v>
      </c>
      <c r="E39" s="210"/>
      <c r="F39" s="103" t="s">
        <v>444</v>
      </c>
      <c r="G39" s="205"/>
      <c r="H39" s="205"/>
      <c r="I39" s="97">
        <v>2</v>
      </c>
      <c r="J39" s="204" t="s">
        <v>89</v>
      </c>
      <c r="K39" s="206"/>
      <c r="L39" s="54"/>
    </row>
    <row r="40" spans="2:12" ht="36" customHeight="1" x14ac:dyDescent="0.25">
      <c r="B40" s="101"/>
      <c r="C40" s="101"/>
      <c r="D40" s="94" t="s">
        <v>30</v>
      </c>
      <c r="E40" s="208" t="s">
        <v>555</v>
      </c>
      <c r="F40" s="103" t="s">
        <v>445</v>
      </c>
      <c r="G40" s="142">
        <v>1</v>
      </c>
      <c r="H40" s="142"/>
      <c r="I40" s="142">
        <f t="shared" si="1"/>
        <v>1</v>
      </c>
      <c r="J40" s="201" t="s">
        <v>446</v>
      </c>
      <c r="K40" s="201" t="s">
        <v>446</v>
      </c>
      <c r="L40" s="54">
        <f t="shared" si="3"/>
        <v>0</v>
      </c>
    </row>
    <row r="41" spans="2:12" ht="36" customHeight="1" x14ac:dyDescent="0.25">
      <c r="B41" s="101"/>
      <c r="C41" s="101"/>
      <c r="D41" s="94" t="s">
        <v>30</v>
      </c>
      <c r="E41" s="210"/>
      <c r="F41" s="103" t="s">
        <v>447</v>
      </c>
      <c r="G41" s="152">
        <v>0.6</v>
      </c>
      <c r="H41" s="152">
        <v>0.34</v>
      </c>
      <c r="I41" s="152">
        <f t="shared" si="1"/>
        <v>0.25999999999999995</v>
      </c>
      <c r="J41" s="206"/>
      <c r="K41" s="206"/>
      <c r="L41" s="54">
        <f t="shared" si="3"/>
        <v>0.56666666666666676</v>
      </c>
    </row>
    <row r="42" spans="2:12" ht="36" customHeight="1" x14ac:dyDescent="0.25">
      <c r="B42" s="101"/>
      <c r="C42" s="101"/>
      <c r="D42" s="94" t="s">
        <v>30</v>
      </c>
      <c r="E42" s="103" t="s">
        <v>448</v>
      </c>
      <c r="F42" s="103" t="s">
        <v>449</v>
      </c>
      <c r="G42" s="117">
        <v>1</v>
      </c>
      <c r="H42" s="117"/>
      <c r="I42" s="117">
        <f t="shared" si="1"/>
        <v>1</v>
      </c>
      <c r="J42" s="201" t="s">
        <v>81</v>
      </c>
      <c r="K42" s="201" t="s">
        <v>81</v>
      </c>
      <c r="L42" s="54">
        <f t="shared" si="3"/>
        <v>0</v>
      </c>
    </row>
    <row r="43" spans="2:12" ht="36" customHeight="1" x14ac:dyDescent="0.25">
      <c r="B43" s="101"/>
      <c r="C43" s="101"/>
      <c r="D43" s="94" t="s">
        <v>30</v>
      </c>
      <c r="E43" s="202"/>
      <c r="F43" s="103" t="s">
        <v>450</v>
      </c>
      <c r="G43" s="117">
        <v>1</v>
      </c>
      <c r="H43" s="117"/>
      <c r="I43" s="117">
        <f>+G43-H43</f>
        <v>1</v>
      </c>
      <c r="J43" s="203"/>
      <c r="K43" s="203"/>
      <c r="L43" s="54">
        <f t="shared" si="3"/>
        <v>0</v>
      </c>
    </row>
    <row r="44" spans="2:12" ht="36" customHeight="1" x14ac:dyDescent="0.25">
      <c r="B44" s="110"/>
      <c r="C44" s="110"/>
      <c r="D44" s="94" t="s">
        <v>30</v>
      </c>
      <c r="E44" s="202"/>
      <c r="F44" s="103" t="s">
        <v>451</v>
      </c>
      <c r="G44" s="117">
        <v>1</v>
      </c>
      <c r="H44" s="117"/>
      <c r="I44" s="117">
        <f>+G44-H44</f>
        <v>1</v>
      </c>
      <c r="J44" s="203"/>
      <c r="K44" s="203"/>
      <c r="L44" s="54">
        <f t="shared" si="3"/>
        <v>0</v>
      </c>
    </row>
    <row r="45" spans="2:12" ht="53.25" customHeight="1" x14ac:dyDescent="0.25">
      <c r="B45" s="114"/>
      <c r="C45" s="114"/>
      <c r="D45" s="94" t="s">
        <v>30</v>
      </c>
      <c r="E45" s="202"/>
      <c r="F45" s="103" t="s">
        <v>452</v>
      </c>
      <c r="G45" s="117"/>
      <c r="H45" s="117"/>
      <c r="I45" s="207">
        <v>4.5</v>
      </c>
      <c r="J45" s="203"/>
      <c r="K45" s="203"/>
      <c r="L45" s="54"/>
    </row>
    <row r="46" spans="2:12" ht="53.25" customHeight="1" x14ac:dyDescent="0.25">
      <c r="B46" s="114"/>
      <c r="C46" s="114"/>
      <c r="D46" s="94" t="s">
        <v>30</v>
      </c>
      <c r="E46" s="202"/>
      <c r="F46" s="103" t="s">
        <v>453</v>
      </c>
      <c r="G46" s="117"/>
      <c r="H46" s="117"/>
      <c r="I46" s="117">
        <v>1</v>
      </c>
      <c r="J46" s="206"/>
      <c r="K46" s="206"/>
      <c r="L46" s="54"/>
    </row>
    <row r="47" spans="2:12" ht="50.25" customHeight="1" x14ac:dyDescent="0.25">
      <c r="B47" s="114"/>
      <c r="C47" s="114"/>
      <c r="D47" s="94" t="s">
        <v>30</v>
      </c>
      <c r="E47" s="208" t="s">
        <v>454</v>
      </c>
      <c r="F47" s="103" t="s">
        <v>455</v>
      </c>
      <c r="G47" s="117"/>
      <c r="H47" s="117"/>
      <c r="I47" s="117">
        <v>1</v>
      </c>
      <c r="J47" s="208" t="s">
        <v>454</v>
      </c>
      <c r="K47" s="208" t="s">
        <v>454</v>
      </c>
      <c r="L47" s="54"/>
    </row>
    <row r="48" spans="2:12" ht="50.25" customHeight="1" x14ac:dyDescent="0.25">
      <c r="B48" s="114"/>
      <c r="C48" s="114"/>
      <c r="D48" s="94" t="s">
        <v>30</v>
      </c>
      <c r="E48" s="209"/>
      <c r="F48" s="103" t="s">
        <v>456</v>
      </c>
      <c r="G48" s="117"/>
      <c r="H48" s="117"/>
      <c r="I48" s="117">
        <v>2</v>
      </c>
      <c r="J48" s="209"/>
      <c r="K48" s="209"/>
      <c r="L48" s="54"/>
    </row>
    <row r="49" spans="2:12" ht="50.25" customHeight="1" x14ac:dyDescent="0.25">
      <c r="B49" s="114"/>
      <c r="C49" s="114"/>
      <c r="D49" s="94" t="s">
        <v>30</v>
      </c>
      <c r="E49" s="209"/>
      <c r="F49" s="103" t="s">
        <v>457</v>
      </c>
      <c r="G49" s="117"/>
      <c r="H49" s="117"/>
      <c r="I49" s="117">
        <v>1</v>
      </c>
      <c r="J49" s="209"/>
      <c r="K49" s="209"/>
      <c r="L49" s="54"/>
    </row>
    <row r="50" spans="2:12" ht="50.25" customHeight="1" x14ac:dyDescent="0.25">
      <c r="B50" s="114"/>
      <c r="C50" s="114"/>
      <c r="D50" s="94" t="s">
        <v>30</v>
      </c>
      <c r="E50" s="209"/>
      <c r="F50" s="103" t="s">
        <v>458</v>
      </c>
      <c r="G50" s="117"/>
      <c r="H50" s="117"/>
      <c r="I50" s="117">
        <v>1</v>
      </c>
      <c r="J50" s="209"/>
      <c r="K50" s="209"/>
      <c r="L50" s="54"/>
    </row>
    <row r="51" spans="2:12" ht="50.25" customHeight="1" x14ac:dyDescent="0.25">
      <c r="B51" s="114"/>
      <c r="C51" s="114"/>
      <c r="D51" s="94" t="s">
        <v>30</v>
      </c>
      <c r="E51" s="209"/>
      <c r="F51" s="103" t="s">
        <v>459</v>
      </c>
      <c r="G51" s="117"/>
      <c r="H51" s="117"/>
      <c r="I51" s="117">
        <v>2</v>
      </c>
      <c r="J51" s="209"/>
      <c r="K51" s="209"/>
      <c r="L51" s="54"/>
    </row>
    <row r="52" spans="2:12" ht="50.25" customHeight="1" x14ac:dyDescent="0.25">
      <c r="B52" s="114"/>
      <c r="C52" s="114"/>
      <c r="D52" s="94" t="s">
        <v>30</v>
      </c>
      <c r="E52" s="210"/>
      <c r="F52" s="103" t="s">
        <v>460</v>
      </c>
      <c r="G52" s="117"/>
      <c r="H52" s="117"/>
      <c r="I52" s="117">
        <v>0.8</v>
      </c>
      <c r="J52" s="210"/>
      <c r="K52" s="210"/>
      <c r="L52" s="54"/>
    </row>
    <row r="53" spans="2:12" ht="46.5" customHeight="1" x14ac:dyDescent="0.25">
      <c r="B53" s="93" t="s">
        <v>461</v>
      </c>
      <c r="C53" s="93" t="s">
        <v>462</v>
      </c>
      <c r="D53" s="94" t="s">
        <v>30</v>
      </c>
      <c r="E53" s="208" t="s">
        <v>463</v>
      </c>
      <c r="F53" s="105" t="s">
        <v>464</v>
      </c>
      <c r="G53" s="117">
        <v>1</v>
      </c>
      <c r="H53" s="152"/>
      <c r="I53" s="117">
        <f>+G53-H53</f>
        <v>1</v>
      </c>
      <c r="J53" s="154" t="s">
        <v>197</v>
      </c>
      <c r="K53" s="154" t="s">
        <v>197</v>
      </c>
      <c r="L53" s="54">
        <f t="shared" ref="L53:L58" si="4">IF((H53/G53)&lt;100%,(H53/G53),100%)</f>
        <v>0</v>
      </c>
    </row>
    <row r="54" spans="2:12" ht="46.5" customHeight="1" x14ac:dyDescent="0.25">
      <c r="B54" s="101"/>
      <c r="C54" s="101"/>
      <c r="D54" s="94" t="s">
        <v>30</v>
      </c>
      <c r="E54" s="209"/>
      <c r="F54" s="105" t="s">
        <v>465</v>
      </c>
      <c r="G54" s="117">
        <v>1</v>
      </c>
      <c r="H54" s="152"/>
      <c r="I54" s="117">
        <f>+G54-H54</f>
        <v>1</v>
      </c>
      <c r="J54" s="155"/>
      <c r="K54" s="169"/>
      <c r="L54" s="54">
        <f t="shared" si="4"/>
        <v>0</v>
      </c>
    </row>
    <row r="55" spans="2:12" ht="48" customHeight="1" x14ac:dyDescent="0.25">
      <c r="B55" s="101"/>
      <c r="C55" s="101"/>
      <c r="D55" s="94" t="s">
        <v>30</v>
      </c>
      <c r="E55" s="209"/>
      <c r="F55" s="105" t="s">
        <v>466</v>
      </c>
      <c r="G55" s="142">
        <v>3</v>
      </c>
      <c r="H55" s="152"/>
      <c r="I55" s="142">
        <v>3</v>
      </c>
      <c r="J55" s="100" t="s">
        <v>467</v>
      </c>
      <c r="K55" s="155"/>
      <c r="L55" s="54">
        <f t="shared" si="4"/>
        <v>0</v>
      </c>
    </row>
    <row r="56" spans="2:12" ht="48" customHeight="1" x14ac:dyDescent="0.25">
      <c r="B56" s="101"/>
      <c r="C56" s="101"/>
      <c r="D56" s="94" t="s">
        <v>30</v>
      </c>
      <c r="E56" s="209"/>
      <c r="F56" s="105" t="s">
        <v>468</v>
      </c>
      <c r="G56" s="142">
        <v>1</v>
      </c>
      <c r="H56" s="152"/>
      <c r="I56" s="142">
        <v>7</v>
      </c>
      <c r="J56" s="100" t="s">
        <v>112</v>
      </c>
      <c r="K56" s="100" t="s">
        <v>112</v>
      </c>
      <c r="L56" s="54">
        <f t="shared" si="4"/>
        <v>0</v>
      </c>
    </row>
    <row r="57" spans="2:12" ht="44.25" customHeight="1" x14ac:dyDescent="0.25">
      <c r="B57" s="101"/>
      <c r="C57" s="101"/>
      <c r="D57" s="94" t="s">
        <v>30</v>
      </c>
      <c r="E57" s="209"/>
      <c r="F57" s="105" t="s">
        <v>469</v>
      </c>
      <c r="G57" s="117">
        <v>1</v>
      </c>
      <c r="H57" s="117"/>
      <c r="I57" s="117">
        <f>+G57-H57</f>
        <v>1</v>
      </c>
      <c r="J57" s="154" t="s">
        <v>197</v>
      </c>
      <c r="K57" s="154" t="s">
        <v>197</v>
      </c>
      <c r="L57" s="54">
        <f t="shared" si="4"/>
        <v>0</v>
      </c>
    </row>
    <row r="58" spans="2:12" ht="44.25" customHeight="1" x14ac:dyDescent="0.25">
      <c r="B58" s="101"/>
      <c r="C58" s="101"/>
      <c r="D58" s="94" t="s">
        <v>30</v>
      </c>
      <c r="E58" s="209"/>
      <c r="F58" s="105" t="s">
        <v>470</v>
      </c>
      <c r="G58" s="117">
        <v>1</v>
      </c>
      <c r="H58" s="117"/>
      <c r="I58" s="117">
        <f>+G58-H58</f>
        <v>1</v>
      </c>
      <c r="J58" s="169"/>
      <c r="K58" s="169"/>
      <c r="L58" s="54">
        <f t="shared" si="4"/>
        <v>0</v>
      </c>
    </row>
    <row r="59" spans="2:12" ht="44.25" customHeight="1" x14ac:dyDescent="0.25">
      <c r="B59" s="101"/>
      <c r="C59" s="101"/>
      <c r="D59" s="94" t="s">
        <v>30</v>
      </c>
      <c r="E59" s="209"/>
      <c r="F59" s="129" t="s">
        <v>471</v>
      </c>
      <c r="G59" s="142">
        <v>0.01</v>
      </c>
      <c r="H59" s="205"/>
      <c r="I59" s="142">
        <v>1</v>
      </c>
      <c r="J59" s="155"/>
      <c r="K59" s="169"/>
      <c r="L59" s="54">
        <f t="shared" ref="L59:L64" si="5">IF((H59/G59)&lt;100%,(H59/G59),100%)</f>
        <v>0</v>
      </c>
    </row>
    <row r="60" spans="2:12" ht="44.25" customHeight="1" x14ac:dyDescent="0.25">
      <c r="B60" s="110"/>
      <c r="C60" s="110"/>
      <c r="D60" s="94" t="s">
        <v>30</v>
      </c>
      <c r="E60" s="210"/>
      <c r="F60" s="129" t="s">
        <v>472</v>
      </c>
      <c r="G60" s="117"/>
      <c r="H60" s="142"/>
      <c r="I60" s="142">
        <v>1</v>
      </c>
      <c r="J60" s="100" t="s">
        <v>473</v>
      </c>
      <c r="K60" s="155"/>
      <c r="L60" s="54" t="e">
        <f t="shared" si="5"/>
        <v>#DIV/0!</v>
      </c>
    </row>
    <row r="61" spans="2:12" ht="44.25" customHeight="1" x14ac:dyDescent="0.25">
      <c r="B61" s="93" t="s">
        <v>474</v>
      </c>
      <c r="C61" s="93" t="s">
        <v>475</v>
      </c>
      <c r="D61" s="94" t="s">
        <v>30</v>
      </c>
      <c r="E61" s="208" t="s">
        <v>476</v>
      </c>
      <c r="F61" s="129" t="s">
        <v>477</v>
      </c>
      <c r="G61" s="117">
        <v>1</v>
      </c>
      <c r="H61" s="142">
        <v>0</v>
      </c>
      <c r="I61" s="117">
        <f>+G61-H61</f>
        <v>1</v>
      </c>
      <c r="J61" s="204" t="s">
        <v>478</v>
      </c>
      <c r="K61" s="204" t="s">
        <v>478</v>
      </c>
      <c r="L61" s="54">
        <f t="shared" si="5"/>
        <v>0</v>
      </c>
    </row>
    <row r="62" spans="2:12" ht="60.75" customHeight="1" x14ac:dyDescent="0.25">
      <c r="B62" s="101"/>
      <c r="C62" s="101"/>
      <c r="D62" s="94" t="s">
        <v>30</v>
      </c>
      <c r="E62" s="210"/>
      <c r="F62" s="105" t="s">
        <v>479</v>
      </c>
      <c r="G62" s="175">
        <v>1</v>
      </c>
      <c r="H62" s="97"/>
      <c r="I62" s="142">
        <v>7</v>
      </c>
      <c r="J62" s="100" t="s">
        <v>112</v>
      </c>
      <c r="K62" s="100" t="s">
        <v>112</v>
      </c>
      <c r="L62" s="54">
        <f t="shared" si="5"/>
        <v>0</v>
      </c>
    </row>
    <row r="63" spans="2:12" ht="45" customHeight="1" x14ac:dyDescent="0.25">
      <c r="B63" s="101"/>
      <c r="C63" s="101"/>
      <c r="D63" s="94" t="s">
        <v>30</v>
      </c>
      <c r="E63" s="105" t="s">
        <v>480</v>
      </c>
      <c r="F63" s="129" t="s">
        <v>481</v>
      </c>
      <c r="G63" s="117">
        <v>1</v>
      </c>
      <c r="H63" s="117"/>
      <c r="I63" s="117">
        <v>1</v>
      </c>
      <c r="J63" s="213" t="s">
        <v>478</v>
      </c>
      <c r="K63" s="213" t="s">
        <v>478</v>
      </c>
      <c r="L63" s="54">
        <f t="shared" si="5"/>
        <v>0</v>
      </c>
    </row>
    <row r="64" spans="2:12" ht="43.5" customHeight="1" x14ac:dyDescent="0.25">
      <c r="B64" s="101"/>
      <c r="C64" s="101"/>
      <c r="D64" s="94" t="s">
        <v>30</v>
      </c>
      <c r="E64" s="139"/>
      <c r="F64" s="129" t="s">
        <v>482</v>
      </c>
      <c r="G64" s="117"/>
      <c r="H64" s="97"/>
      <c r="I64" s="142">
        <v>1</v>
      </c>
      <c r="J64" s="213"/>
      <c r="K64" s="213"/>
      <c r="L64" s="54" t="e">
        <f t="shared" si="5"/>
        <v>#DIV/0!</v>
      </c>
    </row>
    <row r="65" spans="2:13" ht="43.5" customHeight="1" x14ac:dyDescent="0.25">
      <c r="B65" s="101"/>
      <c r="C65" s="101"/>
      <c r="D65" s="94" t="s">
        <v>30</v>
      </c>
      <c r="E65" s="139"/>
      <c r="F65" s="129" t="s">
        <v>483</v>
      </c>
      <c r="G65" s="117"/>
      <c r="H65" s="97"/>
      <c r="I65" s="142">
        <v>2</v>
      </c>
      <c r="J65" s="213"/>
      <c r="K65" s="213"/>
      <c r="L65" s="54"/>
    </row>
    <row r="66" spans="2:13" ht="43.5" customHeight="1" x14ac:dyDescent="0.25">
      <c r="B66" s="101"/>
      <c r="C66" s="101"/>
      <c r="D66" s="94" t="s">
        <v>30</v>
      </c>
      <c r="E66" s="107" t="s">
        <v>514</v>
      </c>
      <c r="F66" s="129" t="s">
        <v>515</v>
      </c>
      <c r="G66" s="117"/>
      <c r="H66" s="97"/>
      <c r="I66" s="142"/>
      <c r="J66" s="213" t="s">
        <v>553</v>
      </c>
      <c r="K66" s="213" t="s">
        <v>398</v>
      </c>
      <c r="L66" s="54"/>
    </row>
    <row r="67" spans="2:13" ht="43.5" customHeight="1" x14ac:dyDescent="0.25">
      <c r="B67" s="101"/>
      <c r="C67" s="101"/>
      <c r="D67" s="94" t="s">
        <v>30</v>
      </c>
      <c r="E67" s="109"/>
      <c r="F67" s="129" t="s">
        <v>516</v>
      </c>
      <c r="G67" s="117"/>
      <c r="H67" s="97"/>
      <c r="I67" s="142"/>
      <c r="J67" s="213"/>
      <c r="K67" s="213"/>
      <c r="L67" s="54"/>
    </row>
    <row r="68" spans="2:13" ht="43.5" customHeight="1" x14ac:dyDescent="0.25">
      <c r="B68" s="101"/>
      <c r="C68" s="101"/>
      <c r="D68" s="94" t="s">
        <v>30</v>
      </c>
      <c r="E68" s="113"/>
      <c r="F68" s="129" t="s">
        <v>517</v>
      </c>
      <c r="G68" s="117"/>
      <c r="H68" s="97"/>
      <c r="I68" s="142"/>
      <c r="J68" s="213"/>
      <c r="K68" s="213"/>
      <c r="L68" s="54"/>
    </row>
    <row r="69" spans="2:13" ht="45" customHeight="1" x14ac:dyDescent="0.25">
      <c r="B69" s="101"/>
      <c r="C69" s="101"/>
      <c r="D69" s="94" t="s">
        <v>30</v>
      </c>
      <c r="E69" s="107" t="s">
        <v>484</v>
      </c>
      <c r="F69" s="105" t="s">
        <v>477</v>
      </c>
      <c r="G69" s="117">
        <v>1</v>
      </c>
      <c r="H69" s="97"/>
      <c r="I69" s="117">
        <f>+G69-H69</f>
        <v>1</v>
      </c>
      <c r="J69" s="213" t="s">
        <v>551</v>
      </c>
      <c r="K69" s="213" t="s">
        <v>552</v>
      </c>
      <c r="L69" s="54">
        <f>IF((H69/G69)&lt;100%,(H69/G69),100%)</f>
        <v>0</v>
      </c>
    </row>
    <row r="70" spans="2:13" ht="45" customHeight="1" x14ac:dyDescent="0.25">
      <c r="B70" s="101"/>
      <c r="C70" s="101"/>
      <c r="D70" s="94" t="s">
        <v>30</v>
      </c>
      <c r="E70" s="109"/>
      <c r="F70" s="105" t="s">
        <v>485</v>
      </c>
      <c r="G70" s="142">
        <v>1</v>
      </c>
      <c r="H70" s="142"/>
      <c r="I70" s="142">
        <v>2</v>
      </c>
      <c r="J70" s="213"/>
      <c r="K70" s="213"/>
      <c r="L70" s="54">
        <f>IF((H70/G70)&lt;100%,(H70/G70),100%)</f>
        <v>0</v>
      </c>
    </row>
    <row r="71" spans="2:13" ht="45" customHeight="1" x14ac:dyDescent="0.25">
      <c r="B71" s="101"/>
      <c r="C71" s="101"/>
      <c r="D71" s="94" t="s">
        <v>30</v>
      </c>
      <c r="E71" s="113"/>
      <c r="F71" s="105" t="s">
        <v>486</v>
      </c>
      <c r="G71" s="142">
        <f>3*2</f>
        <v>6</v>
      </c>
      <c r="H71" s="97"/>
      <c r="I71" s="211">
        <f>+G71-H71</f>
        <v>6</v>
      </c>
      <c r="J71" s="213"/>
      <c r="K71" s="213"/>
      <c r="L71" s="54">
        <f>IF((H71/G71)&lt;100%,(H71/G71),100%)</f>
        <v>0</v>
      </c>
    </row>
    <row r="72" spans="2:13" ht="45" customHeight="1" x14ac:dyDescent="0.25">
      <c r="B72" s="101"/>
      <c r="C72" s="101"/>
      <c r="D72" s="94" t="s">
        <v>30</v>
      </c>
      <c r="E72" s="107" t="s">
        <v>487</v>
      </c>
      <c r="F72" s="105" t="s">
        <v>488</v>
      </c>
      <c r="G72" s="117">
        <v>1</v>
      </c>
      <c r="H72" s="97"/>
      <c r="I72" s="117">
        <v>0.6</v>
      </c>
      <c r="J72" s="201" t="s">
        <v>489</v>
      </c>
      <c r="K72" s="201" t="s">
        <v>197</v>
      </c>
      <c r="L72" s="54"/>
    </row>
    <row r="73" spans="2:13" ht="45" customHeight="1" x14ac:dyDescent="0.25">
      <c r="B73" s="101"/>
      <c r="C73" s="101"/>
      <c r="D73" s="94" t="s">
        <v>30</v>
      </c>
      <c r="E73" s="109"/>
      <c r="F73" s="105" t="s">
        <v>490</v>
      </c>
      <c r="G73" s="117">
        <v>1</v>
      </c>
      <c r="H73" s="97"/>
      <c r="I73" s="117">
        <f t="shared" ref="I73:I74" si="6">+G73-H73</f>
        <v>1</v>
      </c>
      <c r="J73" s="203"/>
      <c r="K73" s="203"/>
      <c r="L73" s="54"/>
    </row>
    <row r="74" spans="2:13" ht="45" customHeight="1" x14ac:dyDescent="0.25">
      <c r="B74" s="101"/>
      <c r="C74" s="101"/>
      <c r="D74" s="94" t="s">
        <v>30</v>
      </c>
      <c r="E74" s="113"/>
      <c r="F74" s="129" t="s">
        <v>523</v>
      </c>
      <c r="G74" s="117">
        <v>0.05</v>
      </c>
      <c r="H74" s="97"/>
      <c r="I74" s="117">
        <f t="shared" si="6"/>
        <v>0.05</v>
      </c>
      <c r="J74" s="206"/>
      <c r="K74" s="206"/>
      <c r="L74" s="54"/>
    </row>
    <row r="75" spans="2:13" ht="45" customHeight="1" x14ac:dyDescent="0.25">
      <c r="B75" s="115" t="s">
        <v>491</v>
      </c>
      <c r="C75" s="115" t="s">
        <v>492</v>
      </c>
      <c r="D75" s="94" t="s">
        <v>14</v>
      </c>
      <c r="E75" s="212" t="s">
        <v>493</v>
      </c>
      <c r="F75" s="100" t="s">
        <v>513</v>
      </c>
      <c r="G75" s="142">
        <v>15</v>
      </c>
      <c r="H75" s="97">
        <f>11+1</f>
        <v>12</v>
      </c>
      <c r="I75" s="211">
        <v>1</v>
      </c>
      <c r="J75" s="201" t="s">
        <v>494</v>
      </c>
      <c r="K75" s="201" t="s">
        <v>494</v>
      </c>
      <c r="L75" s="54"/>
      <c r="M75" s="69"/>
    </row>
    <row r="76" spans="2:13" ht="45" customHeight="1" x14ac:dyDescent="0.25">
      <c r="B76" s="115"/>
      <c r="C76" s="115"/>
      <c r="D76" s="94" t="s">
        <v>30</v>
      </c>
      <c r="E76" s="212" t="s">
        <v>495</v>
      </c>
      <c r="F76" s="100" t="s">
        <v>496</v>
      </c>
      <c r="G76" s="142">
        <v>15</v>
      </c>
      <c r="H76" s="97">
        <v>17</v>
      </c>
      <c r="I76" s="211">
        <v>1</v>
      </c>
      <c r="J76" s="206"/>
      <c r="K76" s="206"/>
      <c r="L76" s="54"/>
      <c r="M76" s="69"/>
    </row>
    <row r="77" spans="2:13" x14ac:dyDescent="0.25">
      <c r="G77" s="74"/>
      <c r="L77" s="39"/>
    </row>
    <row r="78" spans="2:13" x14ac:dyDescent="0.25">
      <c r="G78" s="74"/>
      <c r="L78" s="39"/>
    </row>
    <row r="79" spans="2:13" x14ac:dyDescent="0.25">
      <c r="G79" s="74"/>
      <c r="L79" s="39"/>
    </row>
    <row r="80" spans="2:13" x14ac:dyDescent="0.25">
      <c r="G80" s="74"/>
      <c r="L80" s="39"/>
    </row>
    <row r="81" spans="5:12" x14ac:dyDescent="0.25">
      <c r="G81" s="74"/>
      <c r="L81" s="39"/>
    </row>
    <row r="82" spans="5:12" x14ac:dyDescent="0.25">
      <c r="G82" s="74"/>
      <c r="L82" s="39"/>
    </row>
    <row r="83" spans="5:12" x14ac:dyDescent="0.25">
      <c r="G83" s="74"/>
      <c r="L83" s="39"/>
    </row>
    <row r="84" spans="5:12" ht="15.75" thickBot="1" x14ac:dyDescent="0.3">
      <c r="G84" s="74"/>
      <c r="L84" s="39"/>
    </row>
    <row r="85" spans="5:12" ht="24" thickBot="1" x14ac:dyDescent="0.3">
      <c r="E85"/>
      <c r="F85"/>
      <c r="G85" s="48"/>
      <c r="I85" s="70"/>
    </row>
    <row r="86" spans="5:12" ht="24.75" thickTop="1" thickBot="1" x14ac:dyDescent="0.3">
      <c r="E86"/>
      <c r="F86"/>
      <c r="G86" s="48"/>
      <c r="I86" s="71"/>
    </row>
    <row r="87" spans="5:12" ht="24" thickBot="1" x14ac:dyDescent="0.3">
      <c r="E87"/>
      <c r="F87"/>
      <c r="G87" s="48"/>
      <c r="I87" s="72"/>
    </row>
    <row r="88" spans="5:12" ht="24" thickBot="1" x14ac:dyDescent="0.3">
      <c r="I88" s="72"/>
    </row>
    <row r="89" spans="5:12" ht="24" thickBot="1" x14ac:dyDescent="0.3">
      <c r="I89" s="72"/>
    </row>
    <row r="90" spans="5:12" ht="24" thickBot="1" x14ac:dyDescent="0.3">
      <c r="I90" s="72"/>
    </row>
    <row r="91" spans="5:12" x14ac:dyDescent="0.25">
      <c r="I91" s="73"/>
    </row>
  </sheetData>
  <sheetProtection selectLockedCells="1" selectUnlockedCells="1"/>
  <autoFilter ref="J2:K87" xr:uid="{00000000-0009-0000-0000-000007000000}"/>
  <mergeCells count="49">
    <mergeCell ref="E29:E32"/>
    <mergeCell ref="E33:E39"/>
    <mergeCell ref="E40:E41"/>
    <mergeCell ref="J72:J74"/>
    <mergeCell ref="K72:K74"/>
    <mergeCell ref="E72:E74"/>
    <mergeCell ref="E69:E71"/>
    <mergeCell ref="J63:J65"/>
    <mergeCell ref="K63:K65"/>
    <mergeCell ref="J66:J68"/>
    <mergeCell ref="K66:K68"/>
    <mergeCell ref="J69:J71"/>
    <mergeCell ref="K69:K71"/>
    <mergeCell ref="E66:E68"/>
    <mergeCell ref="J75:J76"/>
    <mergeCell ref="K75:K76"/>
    <mergeCell ref="J57:J59"/>
    <mergeCell ref="J53:J54"/>
    <mergeCell ref="K33:K39"/>
    <mergeCell ref="K23:K32"/>
    <mergeCell ref="K16:K22"/>
    <mergeCell ref="K11:K15"/>
    <mergeCell ref="K53:K55"/>
    <mergeCell ref="J47:J52"/>
    <mergeCell ref="K47:K52"/>
    <mergeCell ref="J40:J41"/>
    <mergeCell ref="K40:K41"/>
    <mergeCell ref="B3:B44"/>
    <mergeCell ref="C3:C44"/>
    <mergeCell ref="B53:B60"/>
    <mergeCell ref="C53:C60"/>
    <mergeCell ref="K42:K46"/>
    <mergeCell ref="J42:J46"/>
    <mergeCell ref="K57:K60"/>
    <mergeCell ref="J6:J10"/>
    <mergeCell ref="K6:K10"/>
    <mergeCell ref="E53:E60"/>
    <mergeCell ref="J11:J15"/>
    <mergeCell ref="E11:E15"/>
    <mergeCell ref="E6:E10"/>
    <mergeCell ref="E16:E22"/>
    <mergeCell ref="E23:E26"/>
    <mergeCell ref="E27:E28"/>
    <mergeCell ref="B75:B76"/>
    <mergeCell ref="C75:C76"/>
    <mergeCell ref="B61:B74"/>
    <mergeCell ref="C61:C74"/>
    <mergeCell ref="E47:E52"/>
    <mergeCell ref="E61:E62"/>
  </mergeCells>
  <pageMargins left="0.70866141732283472" right="0.70866141732283472" top="0.74803149606299213" bottom="0.74803149606299213" header="0.31496062992125984" footer="0.31496062992125984"/>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E7"/>
  <sheetViews>
    <sheetView workbookViewId="0">
      <selection activeCell="E9" sqref="E9"/>
    </sheetView>
  </sheetViews>
  <sheetFormatPr baseColWidth="10" defaultColWidth="11.42578125" defaultRowHeight="15" x14ac:dyDescent="0.25"/>
  <sheetData>
    <row r="3" spans="2:5" x14ac:dyDescent="0.25">
      <c r="B3" t="s">
        <v>497</v>
      </c>
      <c r="E3" t="s">
        <v>498</v>
      </c>
    </row>
    <row r="4" spans="2:5" x14ac:dyDescent="0.25">
      <c r="B4" t="s">
        <v>499</v>
      </c>
      <c r="E4" t="s">
        <v>500</v>
      </c>
    </row>
    <row r="5" spans="2:5" x14ac:dyDescent="0.25">
      <c r="B5" t="s">
        <v>501</v>
      </c>
      <c r="E5" t="s">
        <v>502</v>
      </c>
    </row>
    <row r="6" spans="2:5" x14ac:dyDescent="0.25">
      <c r="B6" t="s">
        <v>503</v>
      </c>
      <c r="E6" t="s">
        <v>504</v>
      </c>
    </row>
    <row r="7" spans="2:5" x14ac:dyDescent="0.25">
      <c r="E7" t="s">
        <v>505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Hoja1</vt:lpstr>
      <vt:lpstr>Frente 1</vt:lpstr>
      <vt:lpstr>Frente 2</vt:lpstr>
      <vt:lpstr>Frente 3</vt:lpstr>
      <vt:lpstr>Frente 4</vt:lpstr>
      <vt:lpstr>Frente 5</vt:lpstr>
      <vt:lpstr>Frente 6</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NELLY PILAR UBAQUE GUTIERREZ</dc:creator>
  <cp:keywords/>
  <dc:description/>
  <cp:lastModifiedBy>A</cp:lastModifiedBy>
  <cp:revision/>
  <dcterms:created xsi:type="dcterms:W3CDTF">2018-03-05T15:56:57Z</dcterms:created>
  <dcterms:modified xsi:type="dcterms:W3CDTF">2019-04-04T18:05:23Z</dcterms:modified>
  <cp:category/>
  <cp:contentStatus/>
</cp:coreProperties>
</file>