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NUBAQUE.UCUNDINAMARCA\Dropbox\1. Plan de Accion\2019\"/>
    </mc:Choice>
  </mc:AlternateContent>
  <xr:revisionPtr revIDLastSave="0" documentId="13_ncr:1_{86A44E58-A5ED-47E0-9ED5-095A74968016}" xr6:coauthVersionLast="36" xr6:coauthVersionMax="36" xr10:uidLastSave="{00000000-0000-0000-0000-000000000000}"/>
  <bookViews>
    <workbookView xWindow="0" yWindow="0" windowWidth="4695" windowHeight="4170" firstSheet="1" activeTab="4" xr2:uid="{00000000-000D-0000-FFFF-FFFF00000000}"/>
  </bookViews>
  <sheets>
    <sheet name="Hoja1" sheetId="9" state="hidden" r:id="rId1"/>
    <sheet name="Frente 1" sheetId="2" r:id="rId2"/>
    <sheet name="Frente 2" sheetId="3" r:id="rId3"/>
    <sheet name="Frente 3" sheetId="5" r:id="rId4"/>
    <sheet name="Frente 4" sheetId="6" r:id="rId5"/>
    <sheet name="Frente 5" sheetId="7" r:id="rId6"/>
    <sheet name="Frente 6" sheetId="8" r:id="rId7"/>
    <sheet name="Hoja4" sheetId="4" state="hidden" r:id="rId8"/>
  </sheets>
  <definedNames>
    <definedName name="_xlnm._FilterDatabase" localSheetId="1" hidden="1">'Frente 1'!$K$2:$K$26</definedName>
    <definedName name="_xlnm._FilterDatabase" localSheetId="2" hidden="1">'Frente 2'!$J$2:$J$29</definedName>
    <definedName name="_xlnm._FilterDatabase" localSheetId="3" hidden="1">'Frente 3'!$K$2:$K$77</definedName>
    <definedName name="_xlnm._FilterDatabase" localSheetId="6" hidden="1">'Frente 6'!$I$2:$J$88</definedName>
    <definedName name="_Toc468444523" localSheetId="2">'Frente 2'!#REF!</definedName>
    <definedName name="_Toc468444524" localSheetId="2">'Frente 2'!#REF!</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75" i="8" l="1"/>
  <c r="H75" i="8" s="1"/>
  <c r="I56" i="5" l="1"/>
  <c r="H77" i="8" l="1"/>
  <c r="H73" i="8"/>
  <c r="H74" i="8"/>
  <c r="H72" i="8"/>
  <c r="K43" i="8"/>
  <c r="H66" i="8" l="1"/>
  <c r="K54" i="8"/>
  <c r="K36" i="8" l="1"/>
  <c r="K37" i="8"/>
  <c r="I35" i="5" l="1"/>
  <c r="I36" i="5"/>
  <c r="J36" i="5" l="1"/>
  <c r="J35" i="5"/>
  <c r="L6" i="6" l="1"/>
  <c r="M44" i="5"/>
  <c r="M45" i="5"/>
  <c r="L17" i="2"/>
  <c r="F67" i="8" l="1"/>
  <c r="G7" i="3"/>
  <c r="L11" i="2" l="1"/>
  <c r="K20" i="8"/>
  <c r="K9" i="3" l="1"/>
  <c r="K10" i="3"/>
  <c r="K11" i="3"/>
  <c r="K12" i="3"/>
  <c r="K13" i="3"/>
  <c r="K14" i="3"/>
  <c r="K15" i="3"/>
  <c r="K16" i="3"/>
  <c r="K17" i="3"/>
  <c r="K18" i="3"/>
  <c r="K19" i="3"/>
  <c r="K20" i="3"/>
  <c r="K23" i="3"/>
  <c r="G8" i="3"/>
  <c r="M64" i="5" l="1"/>
  <c r="M65" i="5"/>
  <c r="M37" i="5"/>
  <c r="M38" i="5"/>
  <c r="J64" i="5" l="1"/>
  <c r="J65" i="5"/>
  <c r="I13" i="3"/>
  <c r="K22" i="8" l="1"/>
  <c r="K26" i="8"/>
  <c r="K31" i="8"/>
  <c r="K16" i="8"/>
  <c r="K17" i="8"/>
  <c r="K18" i="8"/>
  <c r="K19" i="8"/>
  <c r="K21" i="8"/>
  <c r="K24" i="8"/>
  <c r="K25" i="8"/>
  <c r="K27" i="8"/>
  <c r="K28" i="8"/>
  <c r="K29" i="8"/>
  <c r="K30" i="8"/>
  <c r="K32" i="8"/>
  <c r="H14" i="8"/>
  <c r="K13" i="8"/>
  <c r="K14" i="8"/>
  <c r="K15" i="8"/>
  <c r="K33" i="8"/>
  <c r="K34" i="8"/>
  <c r="K35" i="8"/>
  <c r="K38" i="8"/>
  <c r="K39" i="8"/>
  <c r="K40" i="8"/>
  <c r="K41" i="8"/>
  <c r="K45" i="8"/>
  <c r="K46" i="8"/>
  <c r="K47" i="8"/>
  <c r="K48" i="8"/>
  <c r="K49" i="8"/>
  <c r="K50" i="8"/>
  <c r="K51" i="8"/>
  <c r="K52" i="8"/>
  <c r="K53" i="8"/>
  <c r="K55" i="8"/>
  <c r="K56" i="8"/>
  <c r="K58" i="8"/>
  <c r="K59" i="8"/>
  <c r="K60" i="8"/>
  <c r="K62" i="8"/>
  <c r="K63" i="8"/>
  <c r="K65" i="8"/>
  <c r="K66" i="8"/>
  <c r="K67" i="8"/>
  <c r="K68" i="8"/>
  <c r="K69" i="8"/>
  <c r="K70" i="8"/>
  <c r="K6" i="8"/>
  <c r="K7" i="8"/>
  <c r="K8" i="8"/>
  <c r="K9" i="8"/>
  <c r="K10" i="8"/>
  <c r="K11" i="8"/>
  <c r="K17" i="7" l="1"/>
  <c r="I17" i="7"/>
  <c r="H8" i="3" l="1"/>
  <c r="K8" i="3" l="1"/>
  <c r="I8" i="3"/>
  <c r="H60" i="8"/>
  <c r="H13" i="8"/>
  <c r="H15" i="8"/>
  <c r="H17" i="8"/>
  <c r="H18" i="8"/>
  <c r="H32" i="8"/>
  <c r="H33" i="8"/>
  <c r="H38" i="8"/>
  <c r="H39" i="8"/>
  <c r="H46" i="8"/>
  <c r="H47" i="8"/>
  <c r="H48" i="8"/>
  <c r="H49" i="8"/>
  <c r="H50" i="8"/>
  <c r="H51" i="8"/>
  <c r="H52" i="8"/>
  <c r="H53" i="8"/>
  <c r="H55" i="8"/>
  <c r="H56" i="8"/>
  <c r="H65" i="8"/>
  <c r="H67" i="8"/>
  <c r="H68" i="8"/>
  <c r="H12" i="8"/>
  <c r="H4" i="8"/>
  <c r="H3" i="8"/>
  <c r="I18" i="7"/>
  <c r="K18" i="7"/>
  <c r="I15" i="3"/>
  <c r="I16" i="3"/>
  <c r="I17" i="3"/>
  <c r="I18" i="3"/>
  <c r="I19" i="3"/>
  <c r="I20" i="3"/>
  <c r="I11" i="3"/>
  <c r="I12" i="3"/>
  <c r="I14" i="3"/>
  <c r="I10" i="3"/>
  <c r="I9" i="3"/>
  <c r="H6" i="8"/>
  <c r="H7" i="8"/>
  <c r="H8" i="8"/>
  <c r="H9" i="8"/>
  <c r="H10" i="8"/>
  <c r="H11" i="8"/>
  <c r="H5" i="8"/>
  <c r="H26" i="3"/>
  <c r="H27" i="6"/>
  <c r="H20" i="6"/>
  <c r="H28" i="3"/>
  <c r="I25" i="3"/>
  <c r="I27" i="3"/>
  <c r="I23" i="3"/>
  <c r="G5" i="7"/>
  <c r="K61" i="8" l="1"/>
  <c r="K13" i="7"/>
  <c r="K14" i="7"/>
  <c r="I13" i="7"/>
  <c r="K21" i="7"/>
  <c r="K20" i="7"/>
  <c r="I15" i="7"/>
  <c r="K15" i="7"/>
  <c r="G12" i="7"/>
  <c r="I5" i="7"/>
  <c r="I8" i="7"/>
  <c r="I9" i="7"/>
  <c r="K6" i="7"/>
  <c r="K7" i="7"/>
  <c r="K8" i="7"/>
  <c r="K9" i="7"/>
  <c r="K10" i="7"/>
  <c r="K11" i="7"/>
  <c r="I6" i="7"/>
  <c r="K4" i="7"/>
  <c r="G3" i="7"/>
  <c r="I15" i="6"/>
  <c r="L15" i="6"/>
  <c r="M47" i="5"/>
  <c r="J47" i="5"/>
  <c r="J52" i="5"/>
  <c r="M52" i="5"/>
  <c r="J51" i="5"/>
  <c r="M51" i="5"/>
  <c r="H27" i="5"/>
  <c r="J27" i="5" s="1"/>
  <c r="J5" i="5"/>
  <c r="I62" i="5"/>
  <c r="H62" i="5"/>
  <c r="J71" i="5"/>
  <c r="J67" i="5"/>
  <c r="J68" i="5"/>
  <c r="J69" i="5"/>
  <c r="M6" i="5" l="1"/>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9" i="5"/>
  <c r="M40" i="5"/>
  <c r="M49" i="5"/>
  <c r="M50" i="5"/>
  <c r="M54" i="5"/>
  <c r="M55" i="5"/>
  <c r="M58" i="5"/>
  <c r="M61" i="5"/>
  <c r="M62" i="5"/>
  <c r="M63" i="5"/>
  <c r="M66" i="5"/>
  <c r="M67" i="5"/>
  <c r="M68" i="5"/>
  <c r="M69" i="5"/>
  <c r="M70" i="5"/>
  <c r="M71" i="5"/>
  <c r="M72" i="5"/>
  <c r="M73" i="5"/>
  <c r="M74" i="5"/>
  <c r="M75" i="5"/>
  <c r="K6" i="3"/>
  <c r="K25" i="3"/>
  <c r="K27" i="3"/>
  <c r="L11" i="6"/>
  <c r="L12" i="6"/>
  <c r="L13" i="6"/>
  <c r="L14" i="6"/>
  <c r="L16" i="6"/>
  <c r="L17" i="6"/>
  <c r="L18" i="6"/>
  <c r="L19" i="6"/>
  <c r="L20" i="6"/>
  <c r="L21" i="6"/>
  <c r="L22" i="6"/>
  <c r="L23" i="6"/>
  <c r="L24" i="6"/>
  <c r="L25" i="6"/>
  <c r="L26" i="6"/>
  <c r="L27" i="6"/>
  <c r="L28" i="6"/>
  <c r="L8" i="6"/>
  <c r="I19" i="7" l="1"/>
  <c r="K19" i="7"/>
  <c r="K16" i="7" l="1"/>
  <c r="I16" i="7"/>
  <c r="J75" i="5"/>
  <c r="K22" i="3" l="1"/>
  <c r="I7" i="7" l="1"/>
  <c r="I11" i="7"/>
  <c r="I12" i="7"/>
  <c r="I14" i="7"/>
  <c r="I4" i="6"/>
  <c r="I5" i="6"/>
  <c r="I8" i="6"/>
  <c r="I9" i="6"/>
  <c r="I10" i="6"/>
  <c r="I11" i="6"/>
  <c r="I12" i="6"/>
  <c r="I13" i="6"/>
  <c r="I14" i="6"/>
  <c r="I16" i="6"/>
  <c r="I17" i="6"/>
  <c r="I23" i="6"/>
  <c r="I24" i="6"/>
  <c r="I26" i="6"/>
  <c r="I27" i="6"/>
  <c r="I28" i="6"/>
  <c r="I3" i="6"/>
  <c r="I4" i="3"/>
  <c r="I5" i="3"/>
  <c r="I19" i="2"/>
  <c r="I20" i="2"/>
  <c r="I21" i="2"/>
  <c r="I18" i="2"/>
  <c r="I14" i="2"/>
  <c r="I15" i="2"/>
  <c r="I13" i="2"/>
  <c r="I4" i="2"/>
  <c r="I5" i="2"/>
  <c r="I7" i="2"/>
  <c r="I8" i="2"/>
  <c r="I3" i="2"/>
  <c r="J6" i="5"/>
  <c r="J7" i="5"/>
  <c r="J8" i="5"/>
  <c r="J9" i="5"/>
  <c r="J10" i="5"/>
  <c r="J11" i="5"/>
  <c r="J13" i="5"/>
  <c r="J15" i="5"/>
  <c r="J16" i="5"/>
  <c r="J17" i="5"/>
  <c r="J18" i="5"/>
  <c r="J19" i="5"/>
  <c r="J20" i="5"/>
  <c r="J21" i="5"/>
  <c r="J22" i="5"/>
  <c r="J23" i="5"/>
  <c r="J24" i="5"/>
  <c r="J25" i="5"/>
  <c r="J26" i="5"/>
  <c r="J28" i="5"/>
  <c r="J29" i="5"/>
  <c r="J30" i="5"/>
  <c r="J31" i="5"/>
  <c r="J32" i="5"/>
  <c r="J33" i="5"/>
  <c r="J38" i="5"/>
  <c r="J39" i="5"/>
  <c r="J40" i="5"/>
  <c r="J49" i="5"/>
  <c r="J50" i="5"/>
  <c r="M53" i="5"/>
  <c r="J55" i="5"/>
  <c r="J58" i="5"/>
  <c r="J61" i="5"/>
  <c r="J62" i="5"/>
  <c r="J63" i="5"/>
  <c r="J66" i="5"/>
  <c r="J70" i="5"/>
  <c r="J72" i="5"/>
  <c r="J73" i="5"/>
  <c r="J74" i="5"/>
  <c r="J76" i="5"/>
  <c r="U57" i="5"/>
  <c r="U56" i="5"/>
  <c r="U54" i="5"/>
  <c r="U55" i="5"/>
  <c r="U53" i="5"/>
  <c r="K7" i="3" l="1"/>
  <c r="I4" i="5"/>
  <c r="G26" i="3" l="1"/>
  <c r="I26" i="3" l="1"/>
  <c r="K26" i="3"/>
  <c r="K4" i="8"/>
  <c r="K5" i="8"/>
  <c r="K12" i="8"/>
  <c r="K3" i="8"/>
  <c r="L4" i="6"/>
  <c r="L5" i="6"/>
  <c r="L10" i="6"/>
  <c r="L3" i="6"/>
  <c r="M76" i="5"/>
  <c r="M3" i="5"/>
  <c r="K4" i="3"/>
  <c r="L4" i="2"/>
  <c r="L5" i="2"/>
  <c r="L6" i="2"/>
  <c r="L7" i="2"/>
  <c r="L8" i="2"/>
  <c r="L9" i="2"/>
  <c r="L13" i="2"/>
  <c r="L15" i="2"/>
  <c r="L16" i="2"/>
  <c r="L18" i="2"/>
  <c r="L19" i="2"/>
  <c r="L20" i="2"/>
  <c r="L21" i="2"/>
  <c r="L3" i="2"/>
  <c r="K12" i="7"/>
  <c r="K3" i="7"/>
  <c r="I57" i="5"/>
  <c r="I46" i="5"/>
  <c r="I43" i="5"/>
  <c r="I42" i="5"/>
  <c r="I41" i="5"/>
  <c r="L74" i="8" l="1"/>
  <c r="H4" i="5"/>
  <c r="M4" i="5" s="1"/>
  <c r="J4" i="5" l="1"/>
  <c r="H24" i="3"/>
  <c r="L14" i="2"/>
  <c r="H21" i="3"/>
  <c r="K21" i="3" s="1"/>
  <c r="H3" i="3"/>
  <c r="K3" i="3" l="1"/>
  <c r="I3" i="3"/>
  <c r="I21" i="3"/>
  <c r="I19" i="6"/>
  <c r="H7" i="6"/>
  <c r="L7" i="6" l="1"/>
  <c r="I7" i="6"/>
  <c r="L10" i="2"/>
  <c r="M21" i="2" s="1"/>
  <c r="M5" i="5" l="1"/>
  <c r="K28" i="3"/>
  <c r="G24" i="3"/>
  <c r="K24" i="3" s="1"/>
  <c r="L28" i="3" s="1"/>
  <c r="I28" i="3" l="1"/>
  <c r="L9" i="6" l="1"/>
  <c r="M28" i="6" s="1"/>
  <c r="H60" i="5"/>
  <c r="M60" i="5" s="1"/>
  <c r="H59" i="5"/>
  <c r="M59" i="5" s="1"/>
  <c r="H57" i="5"/>
  <c r="M57" i="5" s="1"/>
  <c r="H56" i="5"/>
  <c r="M56" i="5" s="1"/>
  <c r="H46" i="5"/>
  <c r="M46" i="5" s="1"/>
  <c r="H43" i="5"/>
  <c r="M43" i="5" s="1"/>
  <c r="H42" i="5"/>
  <c r="M42" i="5" s="1"/>
  <c r="H41" i="5"/>
  <c r="M41" i="5" s="1"/>
  <c r="M36" i="5"/>
  <c r="M35" i="5"/>
  <c r="N76" i="5" l="1"/>
  <c r="K5" i="7"/>
  <c r="L21" i="7" s="1"/>
  <c r="J57" i="5"/>
  <c r="J60" i="5"/>
  <c r="J59" i="5"/>
</calcChain>
</file>

<file path=xl/sharedStrings.xml><?xml version="1.0" encoding="utf-8"?>
<sst xmlns="http://schemas.openxmlformats.org/spreadsheetml/2006/main" count="915" uniqueCount="527">
  <si>
    <t>Vicerrectoría Académica</t>
  </si>
  <si>
    <t>Planeación Institucional</t>
  </si>
  <si>
    <t>Meta</t>
  </si>
  <si>
    <t>Indicador</t>
  </si>
  <si>
    <t>Responsable</t>
  </si>
  <si>
    <t>Estrategia</t>
  </si>
  <si>
    <t>Objetivo Estratégico</t>
  </si>
  <si>
    <t>Construir de forma democrática, sensibilizar y presentar los documentos estratégicos</t>
  </si>
  <si>
    <t>Presentar condiciones iniciales para la acreditación institucional multicampus antes de 2023 y lograr la acreditación institucional antes de 2026.</t>
  </si>
  <si>
    <t>Presentar cada uno de los programas académicos a acreditación de alta calidad de acuerdo al plan de acreditación.</t>
  </si>
  <si>
    <t>Facultad de Ciencias del Deporte y la Educación Física</t>
  </si>
  <si>
    <t>Facultad de Ciencias Agropecuarias</t>
  </si>
  <si>
    <t>Diversificación de la oferta académica en pregrado y posgrado, por sede, seccionales y extensiones. Buscando la vocación y especialización de cada sede mediante las distintas metodologías que hoy existen.</t>
  </si>
  <si>
    <t xml:space="preserve">Realizar el estudio de la oferta y demanda para la renovación y apertura de programas nuevos que sean pertinentes en cada una de las regiones del departamento. </t>
  </si>
  <si>
    <t>Porcentaje de docentes con resultados de desempeño por encima de 4.0 percepción estudiantes.</t>
  </si>
  <si>
    <t>Porcentaje del personal administrativo evaluado con resultados por encima del nivel satisfactorio.</t>
  </si>
  <si>
    <t>ESTRATEGICO</t>
  </si>
  <si>
    <t>EFICACIA DE PROCESOS</t>
  </si>
  <si>
    <t>PRODUCTO O RESULTADO</t>
  </si>
  <si>
    <t xml:space="preserve">GESTIÓN </t>
  </si>
  <si>
    <t>CALIDAD</t>
  </si>
  <si>
    <t>MEN</t>
  </si>
  <si>
    <t>SUE</t>
  </si>
  <si>
    <t>SPADIES</t>
  </si>
  <si>
    <t>DIRECCIONAMIENTO ESTRATÉGICO</t>
  </si>
  <si>
    <t>Generar mecanismos para el desarrollo de una cultura en valores democráticos, libertad, solidaridad y civilidad en la comunidad académica.</t>
  </si>
  <si>
    <t>Promover un cambio de comportamiento de la comunidad educativa en el rediseño de nuevas costumbres y la reconfiguración de los valores y principios que sirvan como marco referencial.</t>
  </si>
  <si>
    <t>Facultad de Ciencias Sociales, Humanidades y Ciencias Políticas</t>
  </si>
  <si>
    <t>Oficina de Educación Virtual y a Distancia</t>
  </si>
  <si>
    <t>Establecer convenios académicos con instituciones de educación y entidades del sector público y/o privado nacionales, que propendan por el fortalecimiento cultural, científico, humanista.</t>
  </si>
  <si>
    <t>Gestión de la cooperación para el desarrollo de la cultura académica, científica y formativa.</t>
  </si>
  <si>
    <t>Entablar convenios y/o alianzas interinstitucionales que fortalezcan las relaciones humanas, el sentido de pertenencia y las actividades de sus miembros</t>
  </si>
  <si>
    <t>La Universidad fortalecerá la interacción social universitaria propendiendo por el mejoramiento de la calidad de vida de las comunidades</t>
  </si>
  <si>
    <t>Realizar interacción universitaria mediante la capacitación y formación, generando nuevas posibilidades de aprendizajes para satisfacer necesidades puntuales de la comunidad.</t>
  </si>
  <si>
    <t>Dirección de Interacción Universitaria</t>
  </si>
  <si>
    <t>La Universidad se constituirá como un campus multidimensional, abierto, incluyente, colaborativo y trascendente, para propiciar el desarrollo integral de la personalidad y las potencialidades del ser humano.</t>
  </si>
  <si>
    <t>Trazar un plan que permita evaluar y revisar las competencias de los estudiantes de los últimos semestres, con el fin de garantizar unos resultados óptimos en las pruebas de estado “Saber PRO”.</t>
  </si>
  <si>
    <t>Construir el plan estratégico de la Universidad a un horizonte de 10 años</t>
  </si>
  <si>
    <t xml:space="preserve">Construcción del plan de desarrollo al 2019. </t>
  </si>
  <si>
    <t>Fortalecer los canales de comunicación entre la comunidad universitaria y la comunidad en general, permitiendo la divulgación de información a nivel interno y externo.</t>
  </si>
  <si>
    <t xml:space="preserve">Promover la discusión y participación de la comunidad universitaria, y de otras comunidades de interés, sobre las prácticas, símbolos y valores democráticos e institucionales que deben ser parte del marco de referencia de dicha cultura. </t>
  </si>
  <si>
    <t>Establecer vías para la generación de una cultura académica científica y formadora para la vida.</t>
  </si>
  <si>
    <t>Diseñar e implementar el Plan de Desarrollo Físico.</t>
  </si>
  <si>
    <t xml:space="preserve">Porcentaje de alcance. </t>
  </si>
  <si>
    <t>Construcción Biblioteca y centro de investigación, sede Fusagasugá.</t>
  </si>
  <si>
    <t>Porcentaje de avance de la construcción.</t>
  </si>
  <si>
    <t xml:space="preserve">Construcción de la 1.ª etapa de la sede en la Extensión Zipaquirá. </t>
  </si>
  <si>
    <t xml:space="preserve">Adquisición del lote para la ampliación de la sede en la extensión Facatativá </t>
  </si>
  <si>
    <t xml:space="preserve">Mejorar y desarrollar la planta física, con el fin de contar con los espacios adecuados para el aprendizaje y el desarrollo integral del ser humano.  </t>
  </si>
  <si>
    <t>Mejorar los espacios académicos, bibliotecas, laboratorios, centros de cómputo, con el fin de potencializar el desarrollo del aprendizaje.</t>
  </si>
  <si>
    <t xml:space="preserve">Desarrollar el Centro Académico Deportivo –CAD-, como un impulsor del deporte a nivel regional y nacional.  </t>
  </si>
  <si>
    <t>Club Deportivo Ucundinamarca.</t>
  </si>
  <si>
    <t>Fortalecer la virtualidad como apoyo a los procesos de aprendizaje, con el fin de atender la de­manda educativa.</t>
  </si>
  <si>
    <t>Porcentaje de aulas virtuales consolidadas a partir de los lineamientos pedagógicos institucionales para cada uno de los núcleos temáticos.</t>
  </si>
  <si>
    <t>Fomentar el desarrollo y la actualización curricular de los programas de la Universidad.</t>
  </si>
  <si>
    <t>Actualizar los currículos de cada uno de los programas académicos, con el objetivo de revisar la pertinencia y coherencia.</t>
  </si>
  <si>
    <t>Rediseño del modelo pedagógico de acuerdo a los lineamientos institucionales.</t>
  </si>
  <si>
    <t>Lograr que la comunidad educativa en especial los profesores sea un estamento actuante, transformador, gestores del conocimiento, formadores para la vida y generadores de escenarios de paz y convivencia.</t>
  </si>
  <si>
    <t>Desarrollar programas de capacitación que permitan mejorar el desempeño de los profesores gestores de conocimiento y así convertirse en un agente actuante y transformador.</t>
  </si>
  <si>
    <t>Escuela de Alta Gerencia del Aprendizaje en funcionamiento.</t>
  </si>
  <si>
    <t>Elevar el nivel educativo de los profesores, propendiendo por la estabilidad laboral e incentivos por méritos</t>
  </si>
  <si>
    <t>Porcentaje de profesores con doctorado.</t>
  </si>
  <si>
    <t>Porcentaje de profesores con maestría.</t>
  </si>
  <si>
    <t>Porcentaje de profesores con categorización.</t>
  </si>
  <si>
    <t>La Universidad desarrollará acciones dirigidas al fortalecimiento del bienestar de toda la comunidad universitaria con una perspectiva multidimensional.</t>
  </si>
  <si>
    <t>Número de participantes de la comunidad universitaria en actividades, deportivas, recreativas y de aprovechamiento del tiempo libre.</t>
  </si>
  <si>
    <t>Promover un proceso de aprendizaje permanente que permita desarrollar las potencialidades humanas para una vida plena donde se afronte la realidad y se aprenda a vivir como un ser social.</t>
  </si>
  <si>
    <t>Fortalecer el Bienestar Universitario y ampliar la cobertura de programas socioeconómicos que garanticen la permanencia de estudiantes.</t>
  </si>
  <si>
    <t xml:space="preserve">Disminuir la deserción total de los estudiantes. </t>
  </si>
  <si>
    <t xml:space="preserve">Número de estudios realizados por facultad.  </t>
  </si>
  <si>
    <t>Exoneraciones de matrículas concedidas a estudiantes.</t>
  </si>
  <si>
    <t>Número de exoneraciones de matrícula.</t>
  </si>
  <si>
    <t>La Universidad creará espacios para incentivar la innovación y el emprendimiento en los estudiantes, graduados y empresarios de la región.</t>
  </si>
  <si>
    <t>Crear e implementar el Centro de Innovación, Tecnología y Gestión Organizacional –citgo–, como apoyo al desarrollo en temas de incubación y generación de ideas de negocio, emprendimiento y gestión empresarial.</t>
  </si>
  <si>
    <t>Formalizar el Centro de Innovación, Tecnología y Gestión Organizacional –citgo–.</t>
  </si>
  <si>
    <t>Número de centros.</t>
  </si>
  <si>
    <t xml:space="preserve">Propiciar y fortalecer el sentido de pertenencia de los graduados, mediante la participación activa en los procesos de la Universidad. </t>
  </si>
  <si>
    <t>Implementar estrategias que permitan la oportunidad y seguimiento laboral.</t>
  </si>
  <si>
    <t>Crear e implementar una bolsa de empleo para graduados y estudiantes.</t>
  </si>
  <si>
    <t>Construcción, consolidación, visibilización y socialización del direccionamiento estratégico con la comunidad universitaria.</t>
  </si>
  <si>
    <t xml:space="preserve">Redefinir las áreas de investigación de acuerdo a las necesidades de la región, con impacto social que traspase las fronteras.  </t>
  </si>
  <si>
    <t>Redefinir las líneas de Investigación translocal por facultad.</t>
  </si>
  <si>
    <t>Número de líneas de investigación translocal definidas por facultad.</t>
  </si>
  <si>
    <t>Crear y fomentar grupos y escenarios de investigación que visibilicen un impacto positivo mediante el desarrollo de ciencia, tecnología e innovación, a corto, mediano y largo plazo en las diferentes coyunturas sociales que aquejan al Departamento y al país.</t>
  </si>
  <si>
    <t>Convocatorias internas.</t>
  </si>
  <si>
    <t xml:space="preserve">Número de convocatorias internas. </t>
  </si>
  <si>
    <t>Convocatorias en alianzas.</t>
  </si>
  <si>
    <t xml:space="preserve">Número de convocatorias en alianzas. </t>
  </si>
  <si>
    <t xml:space="preserve"> Propiciar la formación científica y estratégica, la cual permitirá que la Universidad genere productos de alto impacto en la región, siendo referente para la solución de problemas locales, regionales, departamentales, nacionales y mundiales, priorizando los problemas que afectan el agua y la sostenibilidad de recursos no renovables.</t>
  </si>
  <si>
    <t xml:space="preserve">Fortalecer, ampliar y consolidar las redes, semilleros y grupos de investigación, con el fin de producir impacto en el entorno.
</t>
  </si>
  <si>
    <t>Fomentar el desarrollo de la investigación formativa desde el inicio de los programas, incentivando la participación en los semilleros de investigación.</t>
  </si>
  <si>
    <t>Fomento de los semilleros de investigación formalizados.</t>
  </si>
  <si>
    <t>Número  de estudiantes participantes activos en semilleros de investigación (datos acumulados).</t>
  </si>
  <si>
    <t>Eventos de socialización de proyectos de investigación de los semilleros.</t>
  </si>
  <si>
    <t>Número de eventos realizados.</t>
  </si>
  <si>
    <t>Publicación de libros producto de investigación</t>
  </si>
  <si>
    <t>Número de libros publicados con sello editorial (datos acumulados)</t>
  </si>
  <si>
    <t>Publicación de capítulos de libros producto de investigación</t>
  </si>
  <si>
    <t>Número de capítulos de libros publicados (Datos acumulados)</t>
  </si>
  <si>
    <t>Patentes registradas.</t>
  </si>
  <si>
    <t>Número de patentes registradas (datos acumulados).</t>
  </si>
  <si>
    <t>Ponencias presentadas por los semilleros de investigación.</t>
  </si>
  <si>
    <t>Número de ponencias presentadas por semilleritas (datos acumulados)</t>
  </si>
  <si>
    <t>Obras artísticas registradas.</t>
  </si>
  <si>
    <t>Número de obras artísticas registradas (datos acumulados)</t>
  </si>
  <si>
    <t>Macro-proyectos aprobados y financiados por la Universidad.</t>
  </si>
  <si>
    <t>Porcentaje de creación e implementación.</t>
  </si>
  <si>
    <t>Número de macro-proyectos aprobados y financiados.</t>
  </si>
  <si>
    <t>Artículos publicados en revistas no indexadas.</t>
  </si>
  <si>
    <t xml:space="preserve">Publicación de artículos en revistas indexadas por profesores de la Universidad. </t>
  </si>
  <si>
    <t xml:space="preserve">Generar productos de alto impacto en la región y generar relaciones interinstitucionales y alianzas estratégicas con universidades y centros de investigación, para hacer realidad la investigación translocal.
</t>
  </si>
  <si>
    <t>Generar producción intelectual de alta calidad, con el fin de fortalecer el reconocimiento a nivel nacional e internacional de las publicaciones institucionales.</t>
  </si>
  <si>
    <t>Promover la apropiación por parte de la sociedad, de los resultados obtenidos en las investigaciones, mediante la articulación de las políticas de investigación con las de proyección social de la Universidad.</t>
  </si>
  <si>
    <t>Realizar un encuentro anual de investigadores entre universidades.</t>
  </si>
  <si>
    <t>Número de encuentros anuales de investigadores entre universidades.</t>
  </si>
  <si>
    <t>Promover la actualización continua de los investigadores en metodologías y herramientas para la investigación.</t>
  </si>
  <si>
    <t>Establecimiento de la Universidad como centro de investigación y desarrollo agropecuario, social y productivo.</t>
  </si>
  <si>
    <t>Modificar el esquema académico-administrativo de las granjas agropecuarias de la Universidad de Cundinamarca, para convertirlas en centros de investigación.</t>
  </si>
  <si>
    <t xml:space="preserve">Conversión de las granjas de la universidad en centros de investigación. </t>
  </si>
  <si>
    <t>Proyectos desarrollados en los Centros de Investigación Experimental (granjas) de la Universidad.</t>
  </si>
  <si>
    <t>Promover la Universidad como destino y experiencia educativa, fomentando entre otras: las pasantías y los campos de verano para extranjeros.</t>
  </si>
  <si>
    <t>Incorporar nuestro claustro universitario al mundo, para dialogar con él, intercambiar saberes, ex­periencias y conocimientos.</t>
  </si>
  <si>
    <t>Gestionar la Internacionalización, coadyuvando a la movilidad académica de profesores, estudiantes e investigadores, para fortalecer los procesos de enseñanza-aprendizaje y romper las fronteras del saber.</t>
  </si>
  <si>
    <t>Internacionalización científica, mediante el establecimiento de alianzas para la conformación de redes de conocimiento.</t>
  </si>
  <si>
    <t>Fomentar e incentivar la cultura de investigación, en trabajo conjunto con grupos reconocidos a nivel internacional.</t>
  </si>
  <si>
    <t>Promover convenios internacionales con universidades acreditadas en sus países de origen.</t>
  </si>
  <si>
    <t>Promover e incentivar el bilingüismo en toda la comunidad universitaria</t>
  </si>
  <si>
    <t>Propiciar la enseñanza de otros idiomas, así como la creación de un instituto de lenguas extranjeras.</t>
  </si>
  <si>
    <t>Promover e incentivar el multilingüismo en la comunidad académica.</t>
  </si>
  <si>
    <t xml:space="preserve">Un centro de idiomas creado. </t>
  </si>
  <si>
    <t>Adoptar las buenas prácticas de la gestión universitaria.</t>
  </si>
  <si>
    <t>Diseñar, consolidar e institucionalizar un gobierno digital universitario.</t>
  </si>
  <si>
    <t xml:space="preserve"> La planeación, la evaluación, el seguimiento y el control deben ser permanentes, logrando certificar ante entes externos los procesos administrativos y académicos.
</t>
  </si>
  <si>
    <t xml:space="preserve">Alcanzar procesos certificados, que permitan la construcción y la constante transformación de la Universidad. </t>
  </si>
  <si>
    <t>Identificación de líneas estratégicas potenciadoras del talento humano para la obtención de objetivos y metas institucionales en armonía con el desarrollo personal.</t>
  </si>
  <si>
    <t>Diseñar, establecer y desarrollar un modelo de gestión de talento humano que responda a los fines que persigue la Universidad de Cundinamarca</t>
  </si>
  <si>
    <t>Autoevaluación continua de los procesos académicos y administrativos, como instrumento de mejora continua</t>
  </si>
  <si>
    <t>Realizar la evaluación permanente de los programas académicos, docentes y personal administrativo</t>
  </si>
  <si>
    <t xml:space="preserve">Centro Académico Deportivo de la UCundinamarca –CAD– </t>
  </si>
  <si>
    <t>Número de estudios realizados.</t>
  </si>
  <si>
    <t>Una bolsa de empleo creada e implementada.</t>
  </si>
  <si>
    <t xml:space="preserve">Facultad de Ciencias Administrativas, Económicas y Contables </t>
  </si>
  <si>
    <t>Número de participantes de la comunidad universitaria en programas de salud mental.</t>
  </si>
  <si>
    <t xml:space="preserve">Vinculación de estudiantes en el desarrollo de Monitorias </t>
  </si>
  <si>
    <t xml:space="preserve">Número de estudiantes monitores académicos vinculados </t>
  </si>
  <si>
    <t xml:space="preserve">Decanos de Facultad Universidad de Cundinamarca </t>
  </si>
  <si>
    <t xml:space="preserve">% de Avance </t>
  </si>
  <si>
    <t>% Avance de Compromiso Financiero</t>
  </si>
  <si>
    <t>META</t>
  </si>
  <si>
    <t xml:space="preserve">Reconstruir el Proyecto Educativo Institucional. </t>
  </si>
  <si>
    <t>Decanos de Facultad</t>
  </si>
  <si>
    <t>Investigación</t>
  </si>
  <si>
    <t>Desarrollo Académico</t>
  </si>
  <si>
    <t>Graduados</t>
  </si>
  <si>
    <t>Bienestar Universitario</t>
  </si>
  <si>
    <t xml:space="preserve">Planeación Institucional 
Bienes y Servicios </t>
  </si>
  <si>
    <t>Educación Virtual y a Distancia</t>
  </si>
  <si>
    <t>Apoyo Academico</t>
  </si>
  <si>
    <t>Internacionalización</t>
  </si>
  <si>
    <t>Comunicaciones</t>
  </si>
  <si>
    <t xml:space="preserve">Planeación Institucional </t>
  </si>
  <si>
    <t xml:space="preserve">Sistemas y Tecnologia </t>
  </si>
  <si>
    <t>Calidad</t>
  </si>
  <si>
    <t>Talento Humano</t>
  </si>
  <si>
    <t>Facultad de Ciencoas Sociales, Humanidades y Ciencias Políticas</t>
  </si>
  <si>
    <t xml:space="preserve">Evaluación permanente del personal administrativo </t>
  </si>
  <si>
    <t>Meta Plan Desarrollo</t>
  </si>
  <si>
    <t>Número de artículos publicados en revistas indexadas</t>
  </si>
  <si>
    <t>Número de artículos publicados en revistas no indexadas</t>
  </si>
  <si>
    <t xml:space="preserve">Número de revistas indexada en la Universidad. </t>
  </si>
  <si>
    <t>Cumplimiento 2018</t>
  </si>
  <si>
    <t>Generar estratégias que propicien el desarrollo inetgral de las dimensiones del ser humano</t>
  </si>
  <si>
    <t>Oficina de Desarrollo Académico</t>
  </si>
  <si>
    <t xml:space="preserve">Profesor gestor del conocimiento </t>
  </si>
  <si>
    <t xml:space="preserve">Reforma Curricular </t>
  </si>
  <si>
    <t xml:space="preserve">Programas socioeconómicos entregados a los estudiantes: </t>
  </si>
  <si>
    <t xml:space="preserve">Número de estudiantes beneficiados </t>
  </si>
  <si>
    <t xml:space="preserve">Estudiante creador de oportunidades </t>
  </si>
  <si>
    <t xml:space="preserve">Realizar la autoevaluación permanente de los programas académicos de Posgrados </t>
  </si>
  <si>
    <t xml:space="preserve">Sublineas del Frente Estratégico </t>
  </si>
  <si>
    <t xml:space="preserve">Graduados integrados y con sentido de pertenencia </t>
  </si>
  <si>
    <t xml:space="preserve">Realizar los Encuentros Dialogicos y Formativos dirigidos a los estudiantes de la universidad </t>
  </si>
  <si>
    <t xml:space="preserve">Implementar una Emisora on line institucional Ucundinamarca S21 </t>
  </si>
  <si>
    <t>Implementar recursos y estrategias para el fortalecimiento de los proyectos nivelatorios de: Inglés, habilidades lecto-escritoras y lógica-matemática dirigidas a estudiantes de 1 semestre, en IPA y IIPA.</t>
  </si>
  <si>
    <t xml:space="preserve">Convocatoria de profesores de carrera </t>
  </si>
  <si>
    <t>Promover la participación y el aprendizaje en la comunidad universitaria, mediante la participación activa en los campos de aprendizaje realizados por la Universidad.</t>
  </si>
  <si>
    <t xml:space="preserve">Implementar Acciones Afirmativas de la política de educación superior inclusiva de la universidad de Cundinamarca </t>
  </si>
  <si>
    <t xml:space="preserve">Tasa de graduación </t>
  </si>
  <si>
    <t xml:space="preserve">Tasa de permanencia </t>
  </si>
  <si>
    <t>Número de salones dotados con recursos académicos</t>
  </si>
  <si>
    <t>Número de ediciones bibliograficas por estudiante</t>
  </si>
  <si>
    <t>Número de software especializados por programa académico</t>
  </si>
  <si>
    <t xml:space="preserve">Número de bases de datos bibliograficas </t>
  </si>
  <si>
    <t xml:space="preserve">Uso y consulta de recursos bibliotecarios </t>
  </si>
  <si>
    <t xml:space="preserve">Número de participantes de escuelas deportivas </t>
  </si>
  <si>
    <t xml:space="preserve">Número de convenios activos </t>
  </si>
  <si>
    <t>Cumplimiento trimestral del plan de mantenimiento de los espacios académicos</t>
  </si>
  <si>
    <t>Número de equipos calibrados de acuerdo a la solictud de investigación</t>
  </si>
  <si>
    <t xml:space="preserve">Movilidad Académica de estudiantes entrante y saliente </t>
  </si>
  <si>
    <t xml:space="preserve">Movilidad Académica de docente entrante y saliente </t>
  </si>
  <si>
    <t xml:space="preserve">Modernización de la infraestructura tecnológica de las sedes de la universidad </t>
  </si>
  <si>
    <t xml:space="preserve">Mantenimiento de la certificación del Sistema de Gestión de la Calidad. </t>
  </si>
  <si>
    <t>Realizar campos de verano con enfoque internacional</t>
  </si>
  <si>
    <t xml:space="preserve">Número de campos de verano realizados </t>
  </si>
  <si>
    <t xml:space="preserve">Autoevaluación permanente de los docentes </t>
  </si>
  <si>
    <t>Oferta académica nueva posgrado a nivel de Especialización (Posgrados)</t>
  </si>
  <si>
    <t xml:space="preserve">Oferta académica nueva a nivel de pregrado. </t>
  </si>
  <si>
    <t>Fomentar la investigación de semilleristas sobre cultura, democracia y/o posconflicto.</t>
  </si>
  <si>
    <t xml:space="preserve">Implementar un Canal institucional transmisión vía youtube </t>
  </si>
  <si>
    <t>Realizar programas de educación continua al año. (participantes)</t>
  </si>
  <si>
    <t>Realizar programas de educación continua en modalidad virtual al año. (participantes)</t>
  </si>
  <si>
    <t>Soporte tecnologico en la construccion de aulas virtuales para los programas de pregrado y posgrado  (revisar con virtualidad)</t>
  </si>
  <si>
    <t>Profesores por formación académica en pregrado y posgrado.
Doctorado
Maestria
Especialización</t>
  </si>
  <si>
    <t>Realizar la categorización de los docentes</t>
  </si>
  <si>
    <t>Establecer incentivos por la producción académica, pago de asesorías y dirección de trabajos de grado a docentes</t>
  </si>
  <si>
    <t>Creación de un programa de estudio permanente de deserción de estudiantes</t>
  </si>
  <si>
    <t>Creación del estatuto del graduado</t>
  </si>
  <si>
    <t xml:space="preserve">Número de graduados inscritos en la base de datos </t>
  </si>
  <si>
    <t xml:space="preserve">Graduados </t>
  </si>
  <si>
    <t>Directores de Sede, Seccionales y Extensiones</t>
  </si>
  <si>
    <t xml:space="preserve">Interacción Universitaria </t>
  </si>
  <si>
    <t xml:space="preserve">Un documento aprobado </t>
  </si>
  <si>
    <t>Número de documentos aprobados</t>
  </si>
  <si>
    <t xml:space="preserve">revisar, diseñar, rediseñar y/o actualizar politicas, manuales y otros documentos institucionales </t>
  </si>
  <si>
    <t>Programas académicos de pregrado con acreditación de alta calidad</t>
  </si>
  <si>
    <t>Autoevaluación y Acreditación</t>
  </si>
  <si>
    <t>Oferta académica nueva posgrado a nivel de doctorado</t>
  </si>
  <si>
    <t>Oferta académica nueva posgrado a nivel de maestría</t>
  </si>
  <si>
    <t>Realizar la autoevaluación permanente de los programas académicos de Pregrado</t>
  </si>
  <si>
    <t>Seguimiento al cumplimiento de planes de mejoramiento construidos, revisados y consolidados</t>
  </si>
  <si>
    <t>lineamiento para la reorientación de los proyectos educativos de facultad –Plan de Desarrollo de Facultad –.</t>
  </si>
  <si>
    <t>lineamiento para la reorientación de los proyectos educativos de programas –Proyecto Educativo de Programa –.</t>
  </si>
  <si>
    <t xml:space="preserve">Número de proyectos de investigación desarrollados en los centros de estudios agroambientales </t>
  </si>
  <si>
    <t>E</t>
  </si>
  <si>
    <t>T</t>
  </si>
  <si>
    <t>O</t>
  </si>
  <si>
    <t>Ponencias con publicación  por profesores investigadores en eventos nacionales e internacionales (financiados por la Universidad).</t>
  </si>
  <si>
    <t>Tramites de procesos académicos y administrativos realizados en linea</t>
  </si>
  <si>
    <t>Número de ponencias presentadas</t>
  </si>
  <si>
    <t xml:space="preserve">Número de ponencias publicadas en eventos </t>
  </si>
  <si>
    <t>Renovación Registros Calificados de programas académicos 2019</t>
  </si>
  <si>
    <t xml:space="preserve">Número de proyectos de investigación avalados </t>
  </si>
  <si>
    <t>Número de modernizaciones realizadas a los laboratorios actuales</t>
  </si>
  <si>
    <t>Número de cursos nivelatorios realizados</t>
  </si>
  <si>
    <t>porcantaje de construcción de la sede Zipaquirá</t>
  </si>
  <si>
    <t>un lote adquirido</t>
  </si>
  <si>
    <t xml:space="preserve">un documento aprobado </t>
  </si>
  <si>
    <t>Porcentaje de profesores con especialización. (meta inversa)</t>
  </si>
  <si>
    <t xml:space="preserve">Realizar programas de educación deportivas </t>
  </si>
  <si>
    <t xml:space="preserve">Entablar convenios con instituciones, centros o escuelas deportivas </t>
  </si>
  <si>
    <t>Oficina Desarrollo Académico</t>
  </si>
  <si>
    <t>Un acto administrativo aprobado. 
(Revisar presupuesto y propuesta)</t>
  </si>
  <si>
    <t xml:space="preserve">Indice de grupos categorizados por COLCIENCIAS </t>
  </si>
  <si>
    <t xml:space="preserve">Porcentaje de aumento de recursos para investigación </t>
  </si>
  <si>
    <t xml:space="preserve">Rediseño y fortalecimiento de la intranet, como un medio interno accesible a todos los funcionarios, trabajadores oficiales y contratistas, con un medio de comunicación interna  </t>
  </si>
  <si>
    <t>porcentaje de funcionamiento de la intranet</t>
  </si>
  <si>
    <t xml:space="preserve">Número de buenas practicas documentadas </t>
  </si>
  <si>
    <t>Número de procesos académicos en línea 
(variación en 4 años)</t>
  </si>
  <si>
    <t xml:space="preserve">Número de documentos archivisticos realizados </t>
  </si>
  <si>
    <t>Porcentaje de contratos tramitados por el SECOP</t>
  </si>
  <si>
    <t>Porcentaje de cumplimiento al PAA</t>
  </si>
  <si>
    <t xml:space="preserve">Porcentaje de digitalización de documentos </t>
  </si>
  <si>
    <t>Creación e implementación del  “sello editorial UCundinamarca”</t>
  </si>
  <si>
    <t xml:space="preserve">medicion de del indice de ausentismo laboral </t>
  </si>
  <si>
    <t xml:space="preserve">Número de convenios activos entablados por la dirección de interacción universitaria </t>
  </si>
  <si>
    <t xml:space="preserve">Número de convenios activos entablados por las seccionales y extensiones </t>
  </si>
  <si>
    <t>Incremetar la matricula de estudiantes nuevos en los programas de Posgrado</t>
  </si>
  <si>
    <t>propuesta para el beneficio de apoyo posgradual (compartido con planeación)</t>
  </si>
  <si>
    <t>Mediciones de clima laboral y acciones de impacto </t>
  </si>
  <si>
    <t>estudios y analisis del personal de acuerdo a vinculación</t>
  </si>
  <si>
    <t>analisis de los resultados de las políticas de estimulos del personal (desarrollo académico - docentes)</t>
  </si>
  <si>
    <t xml:space="preserve">Número de actividades realizadas del Plan de Incentivos y Bienestar Laboral </t>
  </si>
  <si>
    <t xml:space="preserve">Diseñar un campus académico, generando espacios artísticos, culturales, musicales y deportivos; forjadores de paz, convivencia y salud mental. </t>
  </si>
  <si>
    <t xml:space="preserve">Porcantaje de implementación </t>
  </si>
  <si>
    <t xml:space="preserve">Graduados participes en proyectos de interacción social universitaria </t>
  </si>
  <si>
    <t xml:space="preserve">Número de participantes  </t>
  </si>
  <si>
    <t xml:space="preserve">Realizar un encuentro anual de graduados por nodo de la universidad de Cundinamarca </t>
  </si>
  <si>
    <t xml:space="preserve">Número de participantes </t>
  </si>
  <si>
    <t xml:space="preserve">Bases de datos </t>
  </si>
  <si>
    <t xml:space="preserve">Número de convenios firmados </t>
  </si>
  <si>
    <t xml:space="preserve">Convenios estratégicos y/o alianzas que beneficien a los graduados </t>
  </si>
  <si>
    <t>Implementación del Observatorio Laboral.</t>
  </si>
  <si>
    <t>Número de seguimientos de la implementación</t>
  </si>
  <si>
    <t>Seguimiento de la Tasa de empleabilidad de los graduados</t>
  </si>
  <si>
    <t xml:space="preserve">porcentaje del indice </t>
  </si>
  <si>
    <t xml:space="preserve">Mejoramiento de la clasificación de Colciencias de los grupos de investigación  </t>
  </si>
  <si>
    <t>Grupos de investigación registrados ante Colciencias.</t>
  </si>
  <si>
    <t>Investigadores de la Universidad reconocidos ante Colciencias.</t>
  </si>
  <si>
    <t xml:space="preserve">Investigadores de la Universidad categorizados en Colciencias </t>
  </si>
  <si>
    <t xml:space="preserve">Aumentar los recursos asignados para investigación </t>
  </si>
  <si>
    <t xml:space="preserve">Capacitaciones dirigidas a investigadores en temas de ciencia, tecnologia e innovación </t>
  </si>
  <si>
    <t xml:space="preserve">Investigación </t>
  </si>
  <si>
    <t xml:space="preserve">Número de encuentros </t>
  </si>
  <si>
    <t>Número de docentes extranjeros invitados</t>
  </si>
  <si>
    <t xml:space="preserve">Convenios internacionales </t>
  </si>
  <si>
    <t xml:space="preserve">Porcentaje de incremento de estudiantes nuevos matriculados por semestre a los programas de posgrado de la sede, seccionales y extensiones </t>
  </si>
  <si>
    <t>Número de participantes de la comunidad universitaria en programas artísticos, culturales y musicales.</t>
  </si>
  <si>
    <t>Realizar programas de proyección  social</t>
  </si>
  <si>
    <t xml:space="preserve">medición del impacto de los programas de proyección social y académico </t>
  </si>
  <si>
    <t xml:space="preserve">medición del impacto de los convenios académicos </t>
  </si>
  <si>
    <t xml:space="preserve">Reporte de número de participantes </t>
  </si>
  <si>
    <t>Encuentros con participación internacional en la Universidad de Cundinamarca.</t>
  </si>
  <si>
    <t xml:space="preserve">Reconocimientos nacionales e internacionales recibidos por parte de la comunidad académica en la disciplina </t>
  </si>
  <si>
    <t>creación del programa de inducción y cualificación para miembros de maximos organos de gobierno</t>
  </si>
  <si>
    <t xml:space="preserve">creación del programa de inducción y cualificación para el personal vinculado a la universidad </t>
  </si>
  <si>
    <t>Reportes y estudios emitidos por el sistema estadistico</t>
  </si>
  <si>
    <t xml:space="preserve">Proceso de indexación de la Revista de la Universidad. </t>
  </si>
  <si>
    <t xml:space="preserve">Publicaciones realizada por medio del sello editorial </t>
  </si>
  <si>
    <t xml:space="preserve">Realizar alianzas y/o convenios con centros de investigación y otras entidades </t>
  </si>
  <si>
    <t xml:space="preserve">Número de alianzas y/o convenios </t>
  </si>
  <si>
    <t xml:space="preserve">Espacios de participación y toma de decisiones académico-administrativas de la universidad </t>
  </si>
  <si>
    <t xml:space="preserve">Estratégias para la actualización de las bases de datos </t>
  </si>
  <si>
    <t>Número de  espacios generados 
(conversatorios, congreso, encuentro deportivo, revista, salidas académicas)</t>
  </si>
  <si>
    <t>Número de encuentros realizados 
(programa acreditables)</t>
  </si>
  <si>
    <t xml:space="preserve">Número de documentos 
Política de Investigación, Internacionalización, Interacción, Bienestar, inclusión, desarrollo fisico, planeación, talento humano, entre otros </t>
  </si>
  <si>
    <t xml:space="preserve">Número de profesores contratados </t>
  </si>
  <si>
    <t xml:space="preserve">Profesores contratados a 11 meses anualmente </t>
  </si>
  <si>
    <t xml:space="preserve">Número de consejerias realizadas </t>
  </si>
  <si>
    <t>Espacios para el fomento de los habitos y estilos de vida saludable</t>
  </si>
  <si>
    <t xml:space="preserve">Indice de permanencia </t>
  </si>
  <si>
    <t xml:space="preserve">Indice de graduación </t>
  </si>
  <si>
    <t xml:space="preserve">Número de Informes de impacto de las actividades presentados </t>
  </si>
  <si>
    <t>Asesorar a emprendedores en ideas de  negocio</t>
  </si>
  <si>
    <t>Asesorar a empresarios ya constituidos en gestión empresarial</t>
  </si>
  <si>
    <t xml:space="preserve">Medición del impacto de los graduados en el medio </t>
  </si>
  <si>
    <t xml:space="preserve">Institucional </t>
  </si>
  <si>
    <t xml:space="preserve">Desarrollo Académico
Planeación Institucional </t>
  </si>
  <si>
    <t xml:space="preserve">Informe de seguimiento a los resultados de Saber Pro en competencias genericas y especificas superior a la media nacional y del grupo de referencia </t>
  </si>
  <si>
    <t>Conformar e Implementación de la Escuela de gestión del conocimiento y el aprendizaje</t>
  </si>
  <si>
    <t xml:space="preserve">Tasa de deserción de los estudiantes de primer semestre. </t>
  </si>
  <si>
    <t xml:space="preserve">Tasa de Absorción </t>
  </si>
  <si>
    <t xml:space="preserve">Tasa de Repitencia </t>
  </si>
  <si>
    <t>Indice de absorción</t>
  </si>
  <si>
    <t>Indice de repitencia</t>
  </si>
  <si>
    <t>Número de seguimientos al año</t>
  </si>
  <si>
    <t>Alertas a la tasa de absorción y tasa de repitencia</t>
  </si>
  <si>
    <t>Número de asesorías</t>
  </si>
  <si>
    <t>Número de emprendedores asesorados</t>
  </si>
  <si>
    <t xml:space="preserve">Número de profesores participes de los programas ofrecidos en la escuela y  participes de eventos académicos </t>
  </si>
  <si>
    <t xml:space="preserve">Número de centros de computo actualizados por cada sede </t>
  </si>
  <si>
    <t>Número de docentes nacional participantes en intercambio</t>
  </si>
  <si>
    <t>Número de estudiantes nacional participantes  en intercambio</t>
  </si>
  <si>
    <t>Número de administrativos de planta nacional participantes en intercambio</t>
  </si>
  <si>
    <t>Número de docentes internacionales participantes en intercambio</t>
  </si>
  <si>
    <t>Número de estudiantes nacionales e internacional participantes en pasantia</t>
  </si>
  <si>
    <t xml:space="preserve">Movilidad Académica de  administrativos de planta nacional entrante y saliente </t>
  </si>
  <si>
    <t>Número de convenios firmados y activos</t>
  </si>
  <si>
    <t>Proyectos conjuntos de investigación internacional</t>
  </si>
  <si>
    <t xml:space="preserve">Seguimiento a los ejecicios realizados para internacionalización de currículo </t>
  </si>
  <si>
    <t xml:space="preserve">Número de seguimientos a la articulación con ciencia, tecnologia e innovación en cuanto a investigación conjunta </t>
  </si>
  <si>
    <t xml:space="preserve">Número de seguimientoa realizados </t>
  </si>
  <si>
    <t>Número de estudiantes internacionales participantes en intercambio</t>
  </si>
  <si>
    <t xml:space="preserve">Articulación con interacción universitaria, en el programa de voluntariado </t>
  </si>
  <si>
    <t>Número de voluntarios movilizados</t>
  </si>
  <si>
    <t>Número de reconocimientos</t>
  </si>
  <si>
    <t>Avance de implementación del Modelo de Planeación
(Planeación)</t>
  </si>
  <si>
    <t>(Gobierno Digital)</t>
  </si>
  <si>
    <t>(Gestión Financiera y presupuestal)</t>
  </si>
  <si>
    <t>(Plan de Austeridad)</t>
  </si>
  <si>
    <t>(Compras)</t>
  </si>
  <si>
    <t>(Plan Anticorrupción y Atención al Ciudadano)</t>
  </si>
  <si>
    <t>(Archivo)</t>
  </si>
  <si>
    <t>(Comunicaciones)</t>
  </si>
  <si>
    <t>Talento Humano 
(Desarrollar y gestionar estrategicamente el talento humano)</t>
  </si>
  <si>
    <t>Promover la capacitación del personal en temas de gestión de la calidad, gestión seguridad y salud en el trabajo, gestión ambiental, gestión de seguridad de la información </t>
  </si>
  <si>
    <t>Número de participantes</t>
  </si>
  <si>
    <t>Diseñar una RUTA PARA EL MEJORAMIENTO DE RESULTADOS SABER PRO</t>
  </si>
  <si>
    <t>Instalación y puesta en marcha de los sistema de Video Conferencia y Carteleras Informativas Digitales en tiempo real al 100 % para las Seccionales, Extensiones,  Oficina Bogotá y Sede Principal de la Universidad de  Cundinamarca.</t>
  </si>
  <si>
    <t>Cambio en el Dominio a nivel institucional incluyendo los Servicios de Corre Electrónico, plataforma y sistemas Activy Directory al  100%</t>
  </si>
  <si>
    <t>Implementacion de un sistema de monitoreo de servicios criticos, backup de informacion administrativa, adquisicion de stock de respaldo para la infraestructura tecnologica alojada en datacenter y actualizacion de las licencias de motor de base de datos.</t>
  </si>
  <si>
    <t>Sostenimiento del Licenciamiento Corporativo y actualizacion, soporte de la plataforma academico administrativa (Academusoft y Gestasoft) de la Universidad de Cundinamarca al 100%</t>
  </si>
  <si>
    <t>Implementación de la Red Social Corporativa YAMMER u otra al 100%</t>
  </si>
  <si>
    <t>Fortalecimiento y actualización de recursos informáticos de la Universidad de Cundinamarca.</t>
  </si>
  <si>
    <t>Fortalecimiento de la cobertura WiFi en el campus Fusagasugá  e implementación del Portal Cautivo al interior del campus 100%</t>
  </si>
  <si>
    <t xml:space="preserve">Porcentaje de cumplimiento del plan de medios </t>
  </si>
  <si>
    <t xml:space="preserve">Implementación del programa de protocolo de actividades </t>
  </si>
  <si>
    <t>Número de programas presentados ante el cna
(licenciaturas)
(musica - zootecnia - electronica)</t>
  </si>
  <si>
    <t>Número de documentos presentados a registro calificado
(Humanidades - Educación IPECAL)
(Educación - RUDECOLOMBIA)</t>
  </si>
  <si>
    <t xml:space="preserve">Ciencia, Tecnología e Innovación </t>
  </si>
  <si>
    <t>Ciudadania S21 
Comunciación y pensamiento critico
Lengua extranjera</t>
  </si>
  <si>
    <t>Facultad de Ciencias Sociales, Humanidades y Ciencias Políticas
Dirección de Ciencias, Tecnologia e innovación</t>
  </si>
  <si>
    <t xml:space="preserve">Actividades culturales realizadas en las decanaturas, seccionales y extensiones </t>
  </si>
  <si>
    <t xml:space="preserve">Emprendimiento e Innovación </t>
  </si>
  <si>
    <t>Ciencias Administrativas, Economicas y contables</t>
  </si>
  <si>
    <t xml:space="preserve">Pensamiento matematico </t>
  </si>
  <si>
    <t>Diseñar y consolidar los Campos de Aprendizaje Institucionales</t>
  </si>
  <si>
    <t xml:space="preserve">Diseñar y consolidar los Campos de Aprendizaje Culturales </t>
  </si>
  <si>
    <t xml:space="preserve">Serenata por Cundinamarca </t>
  </si>
  <si>
    <t>Arcilla</t>
  </si>
  <si>
    <t xml:space="preserve">Internacionalización </t>
  </si>
  <si>
    <t>(Almacen)</t>
  </si>
  <si>
    <t>(Recursos Físicos)</t>
  </si>
  <si>
    <t xml:space="preserve">Implementación del sistema de gestión ambiental </t>
  </si>
  <si>
    <t xml:space="preserve">Implementación del sistema de gestión de seguridad y protección de la información </t>
  </si>
  <si>
    <t xml:space="preserve">Directores de Seccionales y Extensiones </t>
  </si>
  <si>
    <t xml:space="preserve">porcentaje de implementación </t>
  </si>
  <si>
    <t xml:space="preserve">Implementación del sistema integrado de gestión </t>
  </si>
  <si>
    <t>Facultad de Educación</t>
  </si>
  <si>
    <t>Cibercultura Ucundinamarca generación siglo 21</t>
  </si>
  <si>
    <t xml:space="preserve">Facultad de Ingenieria </t>
  </si>
  <si>
    <t>Desarrollo de los Campos de Aprendizaje Disciplinar</t>
  </si>
  <si>
    <t xml:space="preserve">La ingenieria como agente trasnformador de la generación siglo 21 </t>
  </si>
  <si>
    <t>Número de documentos presentados a registro calificado.
Salud (1)
Humanidades (1) Psicología
Ingenieria (1 - UPTC)(1 Virtual)
Especialización (1)</t>
  </si>
  <si>
    <t>Número de documentos presentados a registro calificado
ALD Psicolgía Zipaquirá
Ingenieria de Software - Soacha 
ALD Ingenieria Industrial - Chía
Ing. Geomatica - Fusagasugá</t>
  </si>
  <si>
    <t>Número de registros presentados a renovación 
Agropecuarias (4)</t>
  </si>
  <si>
    <t>Cultura y Territorio</t>
  </si>
  <si>
    <t xml:space="preserve">Número de planes de mejoramiento </t>
  </si>
  <si>
    <t>Redignificar los currículos, para lograr que sean flexibles, sistemáticos y pertinentes, orientarlos a las disciplinas, los valores para la vida, la democracia y la libertad, hacia el em­prendimiento e insertar el enfoque  internacional. (revisar con desarrollo académico)
Salud (1)
Sistemas (Fusa y Faca)
Agropecuarias (4)</t>
  </si>
  <si>
    <t xml:space="preserve">Número de proyectos 
</t>
  </si>
  <si>
    <t>Reporte de número de publicaciones internacionales  conjuntas 
(Agropecuarias 2)
(Humanidades (1)</t>
  </si>
  <si>
    <t>Reportes y estudios realizados financieros, administrativos y académicos</t>
  </si>
  <si>
    <t>Cumplimiento del Plan de Mantenimiento preventivo y correctivo de infraestructura</t>
  </si>
  <si>
    <t xml:space="preserve">Cumplimiento del Plan de Mantenimiento preventivo y correctivo de equipo automotor </t>
  </si>
  <si>
    <t>Número de Actividades realizadas (travesia por Cundinamarca, Día de la Familia Udecina, muestra artistica, Catedra de rectores)</t>
  </si>
  <si>
    <t>Directores de Seccionales y extensiones 
(Fusa - Bienestar Universitario)</t>
  </si>
  <si>
    <t>Vicerrectoría Académica
(Comité del Profesor)</t>
  </si>
  <si>
    <t xml:space="preserve">Responsable del Cumplimiento </t>
  </si>
  <si>
    <t>Responsable del Reporte</t>
  </si>
  <si>
    <t xml:space="preserve">Decanos de Facultad </t>
  </si>
  <si>
    <t xml:space="preserve">Porcentaje del programa creado </t>
  </si>
  <si>
    <t xml:space="preserve">Porcentaje de cumplimiento a la ejecución presupuestal pasiva </t>
  </si>
  <si>
    <t>Directores de Seccionales y Extensiones</t>
  </si>
  <si>
    <t>Dirección Financiera</t>
  </si>
  <si>
    <t xml:space="preserve">Responsables de Rubro </t>
  </si>
  <si>
    <t xml:space="preserve">Seguimiento a los indicadores financieros de la universidad </t>
  </si>
  <si>
    <t xml:space="preserve">Diseño e implementacion del Sistema de Información y Estaditstico </t>
  </si>
  <si>
    <t>Porcantaje de avance en el cumplimiento del plan de impresos y comunicaciones</t>
  </si>
  <si>
    <t xml:space="preserve">Porcentaje de cumplimiento al Plan Institucional de Capacitación </t>
  </si>
  <si>
    <t xml:space="preserve">Número de apoyos de doctorado anuales </t>
  </si>
  <si>
    <t xml:space="preserve">Número de apoyos de maestría anuales </t>
  </si>
  <si>
    <t>Profesores beneficiados con apoyo en posgraduales</t>
  </si>
  <si>
    <t>Tesorero
Responsables de Estampillas</t>
  </si>
  <si>
    <t xml:space="preserve">Número de analisis realizados a los mecanismos de control fiscal </t>
  </si>
  <si>
    <t xml:space="preserve">Estudio de sustentabilidad financiera a largo plazo </t>
  </si>
  <si>
    <t>Planeación Institucional 
Dirección Financiera</t>
  </si>
  <si>
    <t>Contabilidad 
Presupuesto 
Tesoreria</t>
  </si>
  <si>
    <t>Número de estudios de administracion financiera desglosados por sede, seccionales, extensiones y programa académico</t>
  </si>
  <si>
    <t xml:space="preserve">Dirección de Bienes y Servicios </t>
  </si>
  <si>
    <t xml:space="preserve">reducudir el número de resmas de papel utilizadas por cada oficina </t>
  </si>
  <si>
    <t xml:space="preserve">Reducir el consumo de agua por sede </t>
  </si>
  <si>
    <t>Reducir el consumo de kw/hora de energía por sede</t>
  </si>
  <si>
    <t xml:space="preserve">Disminuir de los pagos totales por concepto de alquiler de espacos físicos </t>
  </si>
  <si>
    <t>Inducciones y reinducciones especficas realizadas al año:
Planeación, Compras, Financiera</t>
  </si>
  <si>
    <t xml:space="preserve">Porcentaje de cumplimiento a la ejecución presupuestal activa </t>
  </si>
  <si>
    <t xml:space="preserve">Porcentaje de cumplimiento a la ejecución presupuestal pasiva de la Seccional Girardot </t>
  </si>
  <si>
    <t>Director de Seccional Girardot</t>
  </si>
  <si>
    <t xml:space="preserve">Seguimiento a la sostenibilidad financiera de los fondos, CAD; FCTI de la universidad </t>
  </si>
  <si>
    <t>Proyectos Especiales
Ciencia, Tecnología e Innovación
Convenios Académico 
CAD</t>
  </si>
  <si>
    <t>Porcentaje de cumplimiento al plan de trabajo del Sistema de Seguridad y Salud en el Trabajo</t>
  </si>
  <si>
    <t>Implementación del Sistema de Seguridad y Salud en el Trabajo</t>
  </si>
  <si>
    <t xml:space="preserve">Virtual </t>
  </si>
  <si>
    <t>Decanos de Facultad
Virtual</t>
  </si>
  <si>
    <t xml:space="preserve">Mediación tecnologíca de los campos de aprendizaje institucional </t>
  </si>
  <si>
    <t xml:space="preserve">Mediación tecnologicos de los campos de aprendizaje disciplinares de las facultades </t>
  </si>
  <si>
    <t xml:space="preserve">Número de campos mediados </t>
  </si>
  <si>
    <t>Número de proyectos educativos realizados ene l marco del MEDIT en el Laboratorio del Profesor Siglo 21</t>
  </si>
  <si>
    <t xml:space="preserve">Sostenimiento a la acreditación de la licenciatura en 
Ciencias Sociales </t>
  </si>
  <si>
    <t>Seguimiento al cumplimiento de planes de mejoramiento construidos, revisados y consolidados
Salud (1)
Humanidades (2)
Ingenieria (7)
Agropecuarias (4)
Educación (1)</t>
  </si>
  <si>
    <t>Número de documentos presentados a registro calificado.
Salud (1)
Ingenieria (2 - convenio con la UDisitrital)
Agropecuarias (1)
(Educación - convenio IPECAL - 1)</t>
  </si>
  <si>
    <t>Dos actividades culturales realizadas por las facultad</t>
  </si>
  <si>
    <t xml:space="preserve">Paz-ciencia </t>
  </si>
  <si>
    <t xml:space="preserve">Facultad de Ciencias  Agropecuarias </t>
  </si>
  <si>
    <t xml:space="preserve">Inducciones y reinducciones especficas realizadas al año en seccionales y extensiones </t>
  </si>
  <si>
    <t xml:space="preserve">Número de capacitaciones realizadas </t>
  </si>
  <si>
    <t xml:space="preserve">Número de actividades de implementación, socialización y capacitación realizadas en seccionales y extensiones </t>
  </si>
  <si>
    <t xml:space="preserve">Cumplimiento de las actividades de Mantenimiento preventivo y correctivo de infraestructura en seccionales y extensiones </t>
  </si>
  <si>
    <t xml:space="preserve">Cumplimiento de las actividades de Mantenimiento preventivo y correctivo de equipo automotor en seccionales y extensiones  </t>
  </si>
  <si>
    <t>Recursos Físicos
Directores de Seccionales y Extensiones</t>
  </si>
  <si>
    <t>Almacen
Directores de Seccionales y Extensiones</t>
  </si>
  <si>
    <t xml:space="preserve">reporte de Caracterización de la población universitaria </t>
  </si>
  <si>
    <t xml:space="preserve">Reponsable de Cumplimiento </t>
  </si>
  <si>
    <t>Responsable de reporte</t>
  </si>
  <si>
    <t>Dirección de Posgrados 
Directores de Seccionales y Extensiones</t>
  </si>
  <si>
    <t>Admisiones y Registro</t>
  </si>
  <si>
    <t xml:space="preserve">Dirección de Posgrados </t>
  </si>
  <si>
    <t xml:space="preserve">Dirección Talento Humano </t>
  </si>
  <si>
    <t xml:space="preserve">Metas Cumplidos </t>
  </si>
  <si>
    <t>Metas Pendientes</t>
  </si>
  <si>
    <t xml:space="preserve">Plan Rectoral </t>
  </si>
  <si>
    <t xml:space="preserve">Metas de Plan de Acción Anual </t>
  </si>
  <si>
    <t xml:space="preserve">Metas Estratégicas Nuevas </t>
  </si>
  <si>
    <t xml:space="preserve">Los campos de aprendizaje entran este año de forma estructurada, durante las vigencias 2016, 2017 y 2018 se realizaban como actividades. A partir de esta vigencia poseen estructura y articulación curricular. </t>
  </si>
  <si>
    <t xml:space="preserve">Las metas de Interacción han sido superadas, sin embargo son metas que deben seguir y buscar la forma de estructuraralas con mayores retos para la institución </t>
  </si>
  <si>
    <t>Fortalecer los espacios académicos (laboratorios, centros de computo y areas de practica)</t>
  </si>
  <si>
    <t xml:space="preserve">Fortalecer las bibliotecas de la universidad de Cundinamarca </t>
  </si>
  <si>
    <t>Porcentaje deserción primer semestre (meta de medición inversa)</t>
  </si>
  <si>
    <t>Tasa total de deserción de estudiantes anual (meta de medición inversa)</t>
  </si>
  <si>
    <t xml:space="preserve">Creación del programa de seguimiento a tasa de permanencia, absorición, repitencia y graduación  </t>
  </si>
  <si>
    <t>Número de participantes nodo norte (pedir reporte por programa)</t>
  </si>
  <si>
    <t>Número de participantes nodo centro (pedir reporte por programa)</t>
  </si>
  <si>
    <t>Número de participantes nodo sur (pedir reporte por programa)</t>
  </si>
  <si>
    <t>Número de proyectos presentados por las alianzas (CONVOCATORIA COLCIENCIIAS)</t>
  </si>
  <si>
    <t>Diseñar y consolidar los Campos de Aprendizaje</t>
  </si>
  <si>
    <t xml:space="preserve">Número de documentos formalizados </t>
  </si>
  <si>
    <t>Número de programas académicos con reignificación curricular</t>
  </si>
  <si>
    <t>Dirección de Bienes y Servicios</t>
  </si>
  <si>
    <t>Compras</t>
  </si>
  <si>
    <t>Recursos Físicos</t>
  </si>
  <si>
    <t>Evaluación de satisfacción del usuario</t>
  </si>
  <si>
    <t>Suscribir alianzas estratégicas mediante convenios de cooperación y/o asociación.</t>
  </si>
  <si>
    <t xml:space="preserve">Procurar la desconcentración de los procesos administrativos y la sostenibilidad
financiera será una prioridad. </t>
  </si>
  <si>
    <t>Fortalecer los recursos propios a través de la celebración de convenios interinstitucionales</t>
  </si>
  <si>
    <t xml:space="preserve">Establecer relaciones interinstitucionales con otras entidades del sector público. </t>
  </si>
  <si>
    <t>Alianzas mediante convenios marco y
específicos que permitan presentar un plan estratégico a desarrollar por parte de la UDEC frente a la Gobernación y al Estado en general.</t>
  </si>
  <si>
    <t xml:space="preserve">Número de entidades públicas vinculadas
formalmente al desarrollo de los objetivos misionales de la U. Cundinamarca. </t>
  </si>
  <si>
    <t xml:space="preserve">Número de alianzas estratégicas mediante
convenios empresariales. </t>
  </si>
  <si>
    <t xml:space="preserve">En materia de Postconflicto vincular aliados para el desarrollo de proyectos. </t>
  </si>
  <si>
    <t xml:space="preserve">una acción por oficina implementada </t>
  </si>
  <si>
    <t xml:space="preserve">•La Universidad generará programas para fortalecer los vínculos con sus graduados y/o egresados y creará mecanismos para integrarlos de manera activa a la comunidad académica. </t>
  </si>
  <si>
    <t xml:space="preserve">Articulación con investigación para el seguimiento del impacto de graduados   </t>
  </si>
  <si>
    <t>Cumplimiento de gestión de recursos por Ley Tributaria No. 1819 de 2016 por concepto de transferencia de Cooperativas (expresado en millones)</t>
  </si>
  <si>
    <t xml:space="preserve">Número de incentivos otorgados </t>
  </si>
  <si>
    <t xml:space="preserve">Archivo Documental </t>
  </si>
  <si>
    <t xml:space="preserve">Número de estratégias del componente atención al ciudadano </t>
  </si>
  <si>
    <t xml:space="preserve">Número de mecanismos del componente transparencia implementados </t>
  </si>
  <si>
    <t>Número de tramites racionalizados (SUIT) 
Aplazamiento del semestre 
Reingreso a un programa académico
Transferencia de estudiantes de pregrado
Grados de pregrado y posgrado</t>
  </si>
  <si>
    <t xml:space="preserve">Número de estratégias del componente rendición de cuentas </t>
  </si>
  <si>
    <t>Atenciónm al Ciudadano</t>
  </si>
  <si>
    <t>Planeación, Compras, Financiera</t>
  </si>
  <si>
    <t>Oficina de Calidad</t>
  </si>
  <si>
    <t>Mantenimiento de la Certificación SGC</t>
  </si>
  <si>
    <t>Elaboración de la política de administracion del riesgo</t>
  </si>
  <si>
    <t xml:space="preserve"> Reportes de administración del Riesgo</t>
  </si>
  <si>
    <t xml:space="preserve">Porcentaje de implementación del decreto 1072 </t>
  </si>
  <si>
    <t>Seguridad y Salud en el Trabajo</t>
  </si>
  <si>
    <t>Proyectos Especiales</t>
  </si>
  <si>
    <t xml:space="preserve">Talento Humano
Planeación Institucional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</si>
</sst>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_(&quot;$&quot;\ * \(#,##0.00\);_(&quot;$&quot;\ * &quot;-&quot;??_);_(@_)"/>
    <numFmt numFmtId="164" formatCode="_-&quot;$&quot;* #,##0.00_-;\-&quot;$&quot;* #,##0.00_-;_-&quot;$&quot;* &quot;-&quot;??_-;_-@_-"/>
    <numFmt numFmtId="165" formatCode="0.0"/>
    <numFmt numFmtId="166" formatCode="0.0%"/>
  </numFmts>
  <fonts count="27" x14ac:knownFonts="1">
    <font>
      <sz val="11"/>
      <color theme="1"/>
      <name val="Calibri"/>
      <family val="2"/>
      <scheme val="minor"/>
    </font>
    <font>
      <sz val="11"/>
      <color theme="1"/>
      <name val="Calibri"/>
      <family val="2"/>
      <scheme val="minor"/>
    </font>
    <font>
      <b/>
      <sz val="10"/>
      <color theme="1"/>
      <name val="Arial Narrow"/>
      <family val="2"/>
    </font>
    <font>
      <sz val="10"/>
      <color rgb="FF000000"/>
      <name val="Arial Narrow"/>
      <family val="2"/>
    </font>
    <font>
      <sz val="10"/>
      <color theme="1"/>
      <name val="Arial Narrow"/>
      <family val="2"/>
    </font>
    <font>
      <sz val="10"/>
      <color theme="0"/>
      <name val="Arial Narrow"/>
      <family val="2"/>
    </font>
    <font>
      <b/>
      <sz val="10"/>
      <color theme="0"/>
      <name val="Arial Narrow"/>
      <family val="2"/>
    </font>
    <font>
      <b/>
      <sz val="10"/>
      <color rgb="FFFFFFFF"/>
      <name val="Arial Narrow"/>
      <family val="2"/>
    </font>
    <font>
      <sz val="10"/>
      <name val="Arial Narrow"/>
      <family val="2"/>
    </font>
    <font>
      <b/>
      <sz val="11"/>
      <color theme="0"/>
      <name val="Calibri"/>
      <family val="2"/>
      <scheme val="minor"/>
    </font>
    <font>
      <sz val="11"/>
      <color theme="1"/>
      <name val="Segoe UI"/>
      <family val="2"/>
    </font>
    <font>
      <b/>
      <sz val="14"/>
      <color theme="0"/>
      <name val="Calibri"/>
      <family val="2"/>
      <scheme val="minor"/>
    </font>
    <font>
      <b/>
      <sz val="16"/>
      <color rgb="FF003E3D"/>
      <name val="Calibri"/>
      <family val="2"/>
      <scheme val="minor"/>
    </font>
    <font>
      <b/>
      <sz val="20"/>
      <color rgb="FF003E3D"/>
      <name val="Calibri"/>
      <family val="2"/>
      <scheme val="minor"/>
    </font>
    <font>
      <b/>
      <sz val="20"/>
      <name val="Calibri"/>
      <family val="2"/>
      <scheme val="minor"/>
    </font>
    <font>
      <b/>
      <sz val="10"/>
      <color rgb="FF000000"/>
      <name val="Arial Narrow"/>
      <family val="2"/>
    </font>
    <font>
      <b/>
      <sz val="11"/>
      <color theme="1"/>
      <name val="Calibri"/>
      <family val="2"/>
      <scheme val="minor"/>
    </font>
    <font>
      <sz val="10"/>
      <color theme="1"/>
      <name val="Segoe UI"/>
      <family val="2"/>
    </font>
    <font>
      <b/>
      <sz val="11"/>
      <color rgb="FFFF0000"/>
      <name val="Arial Narrow"/>
      <family val="2"/>
    </font>
    <font>
      <sz val="10"/>
      <color rgb="FFFF0000"/>
      <name val="Arial Narrow"/>
      <family val="2"/>
    </font>
    <font>
      <b/>
      <sz val="12"/>
      <color theme="1"/>
      <name val="Arial Narrow"/>
      <family val="2"/>
    </font>
    <font>
      <b/>
      <sz val="11"/>
      <color theme="1"/>
      <name val="Arial Narrow"/>
      <family val="2"/>
    </font>
    <font>
      <sz val="11"/>
      <color theme="1"/>
      <name val="Arial Narrow"/>
      <family val="2"/>
    </font>
    <font>
      <b/>
      <sz val="12"/>
      <color rgb="FFFF0000"/>
      <name val="Arial Narrow"/>
      <family val="2"/>
    </font>
    <font>
      <b/>
      <sz val="18"/>
      <color rgb="FFFFFFFF"/>
      <name val="Calibri"/>
      <family val="2"/>
    </font>
    <font>
      <sz val="18"/>
      <color rgb="FF000000"/>
      <name val="Calibri"/>
      <family val="2"/>
    </font>
    <font>
      <sz val="12"/>
      <color theme="1"/>
      <name val="Arial Narrow"/>
      <family val="2"/>
    </font>
  </fonts>
  <fills count="13">
    <fill>
      <patternFill patternType="none"/>
    </fill>
    <fill>
      <patternFill patternType="gray125"/>
    </fill>
    <fill>
      <patternFill patternType="solid">
        <fgColor rgb="FFEDE395"/>
        <bgColor indexed="64"/>
      </patternFill>
    </fill>
    <fill>
      <patternFill patternType="solid">
        <fgColor rgb="FF0F3D38"/>
        <bgColor indexed="64"/>
      </patternFill>
    </fill>
    <fill>
      <patternFill patternType="solid">
        <fgColor theme="0" tint="-4.9989318521683403E-2"/>
        <bgColor indexed="64"/>
      </patternFill>
    </fill>
    <fill>
      <patternFill patternType="solid">
        <fgColor rgb="FF003E3D"/>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4" tint="0.59999389629810485"/>
        <bgColor indexed="64"/>
      </patternFill>
    </fill>
  </fills>
  <borders count="18">
    <border>
      <left/>
      <right/>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236">
    <xf numFmtId="0" fontId="0" fillId="0" borderId="0" xfId="0"/>
    <xf numFmtId="0" fontId="6"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4" fillId="0" borderId="0" xfId="0" applyFont="1"/>
    <xf numFmtId="0" fontId="2" fillId="0" borderId="0" xfId="0" applyFont="1"/>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Border="1"/>
    <xf numFmtId="0" fontId="6" fillId="0" borderId="0" xfId="0" applyFont="1" applyAlignment="1">
      <alignment horizontal="center" vertical="center"/>
    </xf>
    <xf numFmtId="0" fontId="0" fillId="0" borderId="0" xfId="0" applyFont="1"/>
    <xf numFmtId="0" fontId="0" fillId="0" borderId="0" xfId="0" applyAlignment="1">
      <alignment horizontal="center"/>
    </xf>
    <xf numFmtId="0" fontId="0" fillId="0" borderId="0" xfId="0" applyAlignment="1">
      <alignment horizontal="center" vertical="center"/>
    </xf>
    <xf numFmtId="0" fontId="9" fillId="0" borderId="0" xfId="0" applyFont="1" applyAlignment="1">
      <alignment horizontal="center" vertical="center"/>
    </xf>
    <xf numFmtId="0" fontId="0" fillId="4" borderId="0" xfId="0" applyFill="1"/>
    <xf numFmtId="0" fontId="0" fillId="0" borderId="0" xfId="0" applyFill="1"/>
    <xf numFmtId="0" fontId="11" fillId="5" borderId="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0" fillId="4" borderId="0" xfId="0" applyFill="1" applyBorder="1"/>
    <xf numFmtId="0" fontId="12" fillId="4" borderId="7" xfId="0" applyFont="1" applyFill="1" applyBorder="1"/>
    <xf numFmtId="166" fontId="13" fillId="4" borderId="7" xfId="1" applyNumberFormat="1" applyFont="1" applyFill="1" applyBorder="1" applyAlignment="1"/>
    <xf numFmtId="164" fontId="13" fillId="4" borderId="3" xfId="2" applyFont="1" applyFill="1" applyBorder="1" applyAlignment="1"/>
    <xf numFmtId="166" fontId="13" fillId="4" borderId="3" xfId="1" applyNumberFormat="1" applyFont="1" applyFill="1" applyBorder="1" applyAlignment="1"/>
    <xf numFmtId="0" fontId="12" fillId="4" borderId="4" xfId="0" applyFont="1" applyFill="1" applyBorder="1" applyAlignment="1"/>
    <xf numFmtId="166" fontId="13" fillId="4" borderId="4" xfId="1" applyNumberFormat="1" applyFont="1" applyFill="1" applyBorder="1" applyAlignment="1"/>
    <xf numFmtId="0" fontId="12" fillId="4" borderId="5" xfId="0" applyFont="1" applyFill="1" applyBorder="1" applyAlignment="1"/>
    <xf numFmtId="166" fontId="13" fillId="4" borderId="5" xfId="1" applyNumberFormat="1" applyFont="1" applyFill="1" applyBorder="1" applyAlignment="1"/>
    <xf numFmtId="44" fontId="14" fillId="4" borderId="3" xfId="0" applyNumberFormat="1" applyFont="1" applyFill="1" applyBorder="1" applyAlignment="1"/>
    <xf numFmtId="0" fontId="11" fillId="5" borderId="7" xfId="0" applyFont="1" applyFill="1" applyBorder="1" applyAlignment="1">
      <alignment horizontal="center" vertical="center"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2" fillId="2" borderId="3" xfId="0" applyFont="1" applyFill="1" applyBorder="1" applyAlignment="1">
      <alignment horizontal="center" vertical="center" wrapText="1"/>
    </xf>
    <xf numFmtId="9" fontId="2" fillId="2" borderId="3"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0" borderId="0" xfId="0" applyFont="1" applyAlignment="1">
      <alignment horizontal="center" vertical="center"/>
    </xf>
    <xf numFmtId="0" fontId="16" fillId="0" borderId="0" xfId="0" applyFont="1"/>
    <xf numFmtId="9" fontId="2" fillId="2" borderId="3" xfId="1" applyFont="1" applyFill="1" applyBorder="1" applyAlignment="1">
      <alignment horizontal="center" vertical="center" wrapText="1"/>
    </xf>
    <xf numFmtId="0" fontId="7" fillId="3" borderId="10" xfId="0"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4" fillId="2" borderId="3" xfId="0" applyFont="1" applyFill="1" applyBorder="1" applyAlignment="1">
      <alignment horizontal="center" vertical="center" textRotation="90" wrapText="1"/>
    </xf>
    <xf numFmtId="0" fontId="4" fillId="2" borderId="3" xfId="0" applyFont="1" applyFill="1" applyBorder="1"/>
    <xf numFmtId="9" fontId="4" fillId="0" borderId="0" xfId="1" applyFont="1" applyAlignment="1">
      <alignment horizontal="center" vertical="center"/>
    </xf>
    <xf numFmtId="9" fontId="5" fillId="0" borderId="0" xfId="1" applyFont="1" applyAlignment="1">
      <alignment horizontal="center" vertical="center"/>
    </xf>
    <xf numFmtId="9" fontId="0" fillId="0" borderId="0" xfId="1" applyFont="1" applyAlignment="1">
      <alignment horizontal="center" vertical="center"/>
    </xf>
    <xf numFmtId="9" fontId="4" fillId="0" borderId="0" xfId="0" applyNumberFormat="1" applyFont="1"/>
    <xf numFmtId="9" fontId="5" fillId="6" borderId="0" xfId="0" applyNumberFormat="1" applyFont="1" applyFill="1"/>
    <xf numFmtId="0" fontId="4" fillId="2" borderId="3" xfId="0" applyFont="1" applyFill="1" applyBorder="1" applyAlignment="1">
      <alignment horizontal="center" vertical="center"/>
    </xf>
    <xf numFmtId="0" fontId="4" fillId="2" borderId="3" xfId="0" applyFont="1" applyFill="1" applyBorder="1" applyAlignment="1">
      <alignment horizontal="center"/>
    </xf>
    <xf numFmtId="9" fontId="5" fillId="0" borderId="0" xfId="0" applyNumberFormat="1" applyFont="1"/>
    <xf numFmtId="166" fontId="20" fillId="8" borderId="3" xfId="1" applyNumberFormat="1" applyFont="1" applyFill="1" applyBorder="1" applyAlignment="1">
      <alignment horizontal="center" vertical="center" wrapText="1"/>
    </xf>
    <xf numFmtId="166" fontId="0" fillId="0" borderId="0" xfId="0" applyNumberFormat="1"/>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90" wrapText="1"/>
    </xf>
    <xf numFmtId="0" fontId="0" fillId="2" borderId="3" xfId="0" applyFont="1" applyFill="1" applyBorder="1" applyAlignment="1">
      <alignment horizontal="center" vertical="center" textRotation="255" wrapText="1"/>
    </xf>
    <xf numFmtId="0" fontId="10" fillId="2" borderId="3" xfId="0" applyFont="1" applyFill="1" applyBorder="1" applyAlignment="1">
      <alignment horizontal="center" vertical="center" textRotation="255"/>
    </xf>
    <xf numFmtId="0" fontId="4" fillId="0" borderId="0" xfId="0" applyFont="1" applyAlignment="1">
      <alignment horizontal="center"/>
    </xf>
    <xf numFmtId="0" fontId="4" fillId="2" borderId="8" xfId="0" applyFont="1" applyFill="1" applyBorder="1" applyAlignment="1">
      <alignment horizontal="center" vertical="center" wrapText="1"/>
    </xf>
    <xf numFmtId="0" fontId="4" fillId="9" borderId="4" xfId="0" applyFont="1" applyFill="1" applyBorder="1" applyAlignment="1">
      <alignment horizontal="center" vertical="center"/>
    </xf>
    <xf numFmtId="0" fontId="4" fillId="2" borderId="11" xfId="0" applyFont="1" applyFill="1" applyBorder="1" applyAlignment="1">
      <alignment horizontal="center" vertical="center" wrapText="1"/>
    </xf>
    <xf numFmtId="9" fontId="2" fillId="2" borderId="3" xfId="0" applyNumberFormat="1" applyFont="1" applyFill="1" applyBorder="1" applyAlignment="1">
      <alignment horizontal="center" vertical="center"/>
    </xf>
    <xf numFmtId="0" fontId="4" fillId="2" borderId="10" xfId="0" applyFont="1" applyFill="1" applyBorder="1" applyAlignment="1">
      <alignment horizontal="center" vertical="center" wrapText="1"/>
    </xf>
    <xf numFmtId="0" fontId="4" fillId="9" borderId="6" xfId="0" applyFont="1" applyFill="1" applyBorder="1" applyAlignment="1">
      <alignment horizontal="center" vertical="center"/>
    </xf>
    <xf numFmtId="0" fontId="4" fillId="9" borderId="3" xfId="0" applyFont="1" applyFill="1" applyBorder="1" applyAlignment="1">
      <alignment horizontal="center" vertical="center"/>
    </xf>
    <xf numFmtId="0" fontId="4" fillId="2" borderId="6" xfId="0" applyFont="1" applyFill="1" applyBorder="1" applyAlignment="1">
      <alignment horizontal="center" vertical="center" textRotation="90" wrapText="1"/>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16" fontId="0" fillId="0" borderId="0" xfId="0" applyNumberFormat="1"/>
    <xf numFmtId="0" fontId="4" fillId="2" borderId="4" xfId="0" applyFont="1" applyFill="1" applyBorder="1" applyAlignment="1">
      <alignment vertical="center" textRotation="90" wrapText="1"/>
    </xf>
    <xf numFmtId="0" fontId="4" fillId="2" borderId="6" xfId="0" applyFont="1" applyFill="1" applyBorder="1" applyAlignment="1">
      <alignment vertical="center" textRotation="90" wrapText="1"/>
    </xf>
    <xf numFmtId="2" fontId="4" fillId="0" borderId="0" xfId="0" applyNumberFormat="1" applyFont="1"/>
    <xf numFmtId="0" fontId="4" fillId="7" borderId="0" xfId="0" applyFont="1" applyFill="1"/>
    <xf numFmtId="0" fontId="21" fillId="2" borderId="4" xfId="0" applyFont="1" applyFill="1" applyBorder="1" applyAlignment="1">
      <alignment horizontal="center" vertical="center" wrapText="1"/>
    </xf>
    <xf numFmtId="0" fontId="21" fillId="2" borderId="3" xfId="0" applyFont="1" applyFill="1" applyBorder="1" applyAlignment="1">
      <alignment horizontal="center" vertical="center" wrapText="1"/>
    </xf>
    <xf numFmtId="9" fontId="22" fillId="2" borderId="3" xfId="0" applyNumberFormat="1" applyFont="1" applyFill="1" applyBorder="1" applyAlignment="1">
      <alignment horizontal="center" vertical="center" wrapText="1"/>
    </xf>
    <xf numFmtId="0" fontId="10" fillId="2" borderId="3" xfId="0" applyFont="1" applyFill="1" applyBorder="1" applyAlignment="1">
      <alignment horizontal="justify" vertical="center" textRotation="90"/>
    </xf>
    <xf numFmtId="0" fontId="4" fillId="2" borderId="7" xfId="0" applyFont="1" applyFill="1" applyBorder="1" applyAlignment="1">
      <alignment horizontal="center" vertical="center" wrapText="1"/>
    </xf>
    <xf numFmtId="0" fontId="6" fillId="0" borderId="0" xfId="0" applyNumberFormat="1" applyFont="1" applyAlignment="1">
      <alignment horizontal="center" vertical="center"/>
    </xf>
    <xf numFmtId="0" fontId="2" fillId="2" borderId="7" xfId="0" applyFont="1" applyFill="1" applyBorder="1" applyAlignment="1">
      <alignment horizontal="center" vertical="center" wrapText="1"/>
    </xf>
    <xf numFmtId="0" fontId="4" fillId="2" borderId="4" xfId="0" applyFont="1" applyFill="1" applyBorder="1" applyAlignment="1">
      <alignment vertical="center" wrapText="1"/>
    </xf>
    <xf numFmtId="0" fontId="16" fillId="2" borderId="3" xfId="0" applyFont="1" applyFill="1" applyBorder="1" applyAlignment="1">
      <alignment horizontal="center" vertical="center"/>
    </xf>
    <xf numFmtId="0" fontId="2" fillId="2" borderId="3" xfId="1"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166" fontId="20" fillId="9" borderId="3" xfId="1" applyNumberFormat="1" applyFont="1" applyFill="1" applyBorder="1" applyAlignment="1">
      <alignment horizontal="center" vertical="center" wrapText="1"/>
    </xf>
    <xf numFmtId="9" fontId="2" fillId="2" borderId="4" xfId="1" applyFont="1" applyFill="1" applyBorder="1" applyAlignment="1">
      <alignment horizontal="center" vertical="center" wrapText="1"/>
    </xf>
    <xf numFmtId="9" fontId="2" fillId="2" borderId="4"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0" fontId="0" fillId="2" borderId="4" xfId="0" applyFill="1" applyBorder="1" applyAlignment="1">
      <alignment horizontal="center" vertical="center" wrapText="1"/>
    </xf>
    <xf numFmtId="164" fontId="0" fillId="0" borderId="0" xfId="2" applyFont="1"/>
    <xf numFmtId="9" fontId="6" fillId="3" borderId="3" xfId="0" applyNumberFormat="1" applyFont="1" applyFill="1" applyBorder="1" applyAlignment="1">
      <alignment horizontal="center" vertical="center" wrapText="1"/>
    </xf>
    <xf numFmtId="9" fontId="2" fillId="2" borderId="3" xfId="1" applyNumberFormat="1" applyFont="1" applyFill="1" applyBorder="1" applyAlignment="1">
      <alignment horizontal="center" vertical="center" wrapText="1"/>
    </xf>
    <xf numFmtId="9" fontId="16" fillId="0" borderId="0" xfId="0" applyNumberFormat="1" applyFont="1" applyAlignment="1">
      <alignment horizontal="center"/>
    </xf>
    <xf numFmtId="9" fontId="16" fillId="0" borderId="0" xfId="0" applyNumberFormat="1" applyFont="1"/>
    <xf numFmtId="0" fontId="0" fillId="2" borderId="3" xfId="0" applyFont="1" applyFill="1" applyBorder="1" applyAlignment="1">
      <alignment horizontal="center" vertical="center" wrapText="1"/>
    </xf>
    <xf numFmtId="0" fontId="4" fillId="10" borderId="3" xfId="0" applyFont="1" applyFill="1" applyBorder="1" applyAlignment="1">
      <alignment horizontal="center" vertical="center" textRotation="255" wrapText="1"/>
    </xf>
    <xf numFmtId="0" fontId="3" fillId="10" borderId="3"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1" fillId="10" borderId="3" xfId="0" applyFont="1" applyFill="1" applyBorder="1" applyAlignment="1">
      <alignment horizontal="center" vertical="center" wrapText="1"/>
    </xf>
    <xf numFmtId="0" fontId="18" fillId="10" borderId="3" xfId="0" applyFont="1" applyFill="1" applyBorder="1" applyAlignment="1">
      <alignment horizontal="center" vertical="center" wrapText="1"/>
    </xf>
    <xf numFmtId="166" fontId="20" fillId="10" borderId="3" xfId="1" applyNumberFormat="1" applyFont="1" applyFill="1" applyBorder="1" applyAlignment="1">
      <alignment horizontal="center" vertical="center" wrapText="1"/>
    </xf>
    <xf numFmtId="0" fontId="3" fillId="10" borderId="4" xfId="0" applyFont="1" applyFill="1" applyBorder="1" applyAlignment="1">
      <alignment horizontal="center" vertical="center" wrapText="1"/>
    </xf>
    <xf numFmtId="9" fontId="2" fillId="2" borderId="7" xfId="1"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7" fillId="3" borderId="0" xfId="0" applyFont="1" applyFill="1" applyBorder="1" applyAlignment="1">
      <alignment horizontal="center" vertical="center"/>
    </xf>
    <xf numFmtId="0" fontId="4" fillId="9" borderId="12" xfId="0" applyFont="1" applyFill="1" applyBorder="1" applyAlignment="1">
      <alignment horizontal="center" vertical="center"/>
    </xf>
    <xf numFmtId="0" fontId="8" fillId="9" borderId="4" xfId="0" applyFont="1" applyFill="1" applyBorder="1" applyAlignment="1">
      <alignment horizontal="center" vertical="center"/>
    </xf>
    <xf numFmtId="0" fontId="4" fillId="0" borderId="0" xfId="0" applyFont="1" applyAlignment="1">
      <alignment horizontal="center" vertical="center" wrapText="1"/>
    </xf>
    <xf numFmtId="9" fontId="2" fillId="2" borderId="6" xfId="0" applyNumberFormat="1" applyFont="1" applyFill="1" applyBorder="1" applyAlignment="1">
      <alignment horizontal="center" vertical="center" wrapText="1"/>
    </xf>
    <xf numFmtId="9" fontId="4" fillId="2" borderId="3" xfId="0" applyNumberFormat="1" applyFont="1" applyFill="1" applyBorder="1" applyAlignment="1">
      <alignment horizontal="center" vertical="center" wrapText="1"/>
    </xf>
    <xf numFmtId="9" fontId="4" fillId="6" borderId="0" xfId="0" applyNumberFormat="1" applyFont="1" applyFill="1"/>
    <xf numFmtId="0" fontId="4" fillId="6" borderId="0" xfId="0" applyFont="1" applyFill="1"/>
    <xf numFmtId="9" fontId="4" fillId="0" borderId="0" xfId="1" applyFont="1" applyFill="1" applyAlignment="1">
      <alignment horizontal="center" vertical="center"/>
    </xf>
    <xf numFmtId="0" fontId="4" fillId="0" borderId="0" xfId="0" applyFont="1" applyFill="1"/>
    <xf numFmtId="0" fontId="4" fillId="2" borderId="6"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2" borderId="6" xfId="0" applyFont="1" applyFill="1" applyBorder="1" applyAlignment="1">
      <alignment horizontal="center" textRotation="90"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9" fontId="4" fillId="2" borderId="4" xfId="0" applyNumberFormat="1" applyFont="1" applyFill="1" applyBorder="1" applyAlignment="1">
      <alignment horizontal="center" vertical="center" wrapText="1"/>
    </xf>
    <xf numFmtId="9" fontId="4" fillId="2" borderId="6" xfId="0" applyNumberFormat="1" applyFont="1" applyFill="1" applyBorder="1" applyAlignment="1">
      <alignment horizontal="center" vertical="center" wrapText="1"/>
    </xf>
    <xf numFmtId="9" fontId="4" fillId="2" borderId="5" xfId="0" applyNumberFormat="1" applyFont="1" applyFill="1" applyBorder="1" applyAlignment="1">
      <alignment horizontal="center" vertical="center" wrapText="1"/>
    </xf>
    <xf numFmtId="0" fontId="0" fillId="2" borderId="3" xfId="0" applyFont="1" applyFill="1" applyBorder="1" applyAlignment="1">
      <alignment horizontal="center" vertical="center"/>
    </xf>
    <xf numFmtId="166" fontId="20" fillId="2" borderId="3" xfId="1" applyNumberFormat="1" applyFont="1" applyFill="1" applyBorder="1" applyAlignment="1">
      <alignment horizontal="center" vertical="center" wrapText="1"/>
    </xf>
    <xf numFmtId="166" fontId="23" fillId="11" borderId="3" xfId="1" applyNumberFormat="1" applyFont="1" applyFill="1" applyBorder="1" applyAlignment="1">
      <alignment horizontal="center" vertical="center" wrapText="1"/>
    </xf>
    <xf numFmtId="166" fontId="20" fillId="11" borderId="3" xfId="1" applyNumberFormat="1" applyFont="1" applyFill="1" applyBorder="1" applyAlignment="1">
      <alignment horizontal="center" vertical="center" wrapText="1"/>
    </xf>
    <xf numFmtId="0" fontId="19" fillId="9" borderId="4" xfId="0" applyFont="1" applyFill="1" applyBorder="1" applyAlignment="1">
      <alignment horizontal="center" vertical="center"/>
    </xf>
    <xf numFmtId="9" fontId="2" fillId="2" borderId="11" xfId="0" applyNumberFormat="1" applyFont="1" applyFill="1" applyBorder="1" applyAlignment="1">
      <alignment horizontal="center" vertical="center" wrapText="1"/>
    </xf>
    <xf numFmtId="0" fontId="4" fillId="11" borderId="4" xfId="0" applyFont="1" applyFill="1" applyBorder="1" applyAlignment="1">
      <alignment horizontal="center" vertical="center"/>
    </xf>
    <xf numFmtId="0" fontId="19" fillId="11" borderId="4" xfId="0" applyFont="1" applyFill="1" applyBorder="1" applyAlignment="1">
      <alignment horizontal="center" vertical="center"/>
    </xf>
    <xf numFmtId="0" fontId="4" fillId="12" borderId="6" xfId="0" applyFont="1" applyFill="1" applyBorder="1" applyAlignment="1">
      <alignment horizontal="center" vertical="center" wrapText="1"/>
    </xf>
    <xf numFmtId="166" fontId="20" fillId="12" borderId="3" xfId="1" applyNumberFormat="1" applyFont="1" applyFill="1" applyBorder="1" applyAlignment="1">
      <alignment horizontal="center" vertical="center" wrapText="1"/>
    </xf>
    <xf numFmtId="166" fontId="23" fillId="12" borderId="3" xfId="1" applyNumberFormat="1" applyFont="1" applyFill="1" applyBorder="1" applyAlignment="1">
      <alignment horizontal="center" vertical="center" wrapText="1"/>
    </xf>
    <xf numFmtId="0" fontId="4" fillId="12" borderId="0" xfId="0" applyFont="1" applyFill="1"/>
    <xf numFmtId="0" fontId="4" fillId="10" borderId="0" xfId="0" applyFont="1" applyFill="1"/>
    <xf numFmtId="0" fontId="4" fillId="2" borderId="0" xfId="0" applyFont="1" applyFill="1"/>
    <xf numFmtId="0" fontId="4" fillId="11" borderId="0" xfId="0" applyFont="1" applyFill="1"/>
    <xf numFmtId="0" fontId="4" fillId="10" borderId="3" xfId="0" applyFont="1" applyFill="1" applyBorder="1" applyAlignment="1">
      <alignment horizontal="center" vertical="center"/>
    </xf>
    <xf numFmtId="0" fontId="4" fillId="11" borderId="6" xfId="0" applyFont="1" applyFill="1" applyBorder="1" applyAlignment="1">
      <alignment horizontal="center" vertical="center"/>
    </xf>
    <xf numFmtId="166" fontId="20" fillId="2" borderId="8" xfId="1"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xf>
    <xf numFmtId="3" fontId="2" fillId="2" borderId="3" xfId="0" applyNumberFormat="1" applyFont="1" applyFill="1" applyBorder="1" applyAlignment="1">
      <alignment horizontal="center" vertical="center" wrapText="1"/>
    </xf>
    <xf numFmtId="165" fontId="2" fillId="2" borderId="3"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xf>
    <xf numFmtId="166" fontId="20" fillId="9" borderId="8" xfId="1" applyNumberFormat="1" applyFont="1" applyFill="1" applyBorder="1" applyAlignment="1">
      <alignment horizontal="center" vertical="center" wrapText="1"/>
    </xf>
    <xf numFmtId="166" fontId="20" fillId="11" borderId="8" xfId="1" applyNumberFormat="1" applyFont="1" applyFill="1" applyBorder="1" applyAlignment="1">
      <alignment horizontal="center" vertical="center" wrapText="1"/>
    </xf>
    <xf numFmtId="0" fontId="4" fillId="12" borderId="12" xfId="0" applyFont="1" applyFill="1" applyBorder="1" applyAlignment="1">
      <alignment horizontal="center" vertical="center"/>
    </xf>
    <xf numFmtId="166" fontId="20" fillId="12" borderId="8" xfId="1" applyNumberFormat="1" applyFont="1" applyFill="1" applyBorder="1" applyAlignment="1">
      <alignment horizontal="center" vertical="center" wrapText="1"/>
    </xf>
    <xf numFmtId="166" fontId="20" fillId="10" borderId="8" xfId="1" applyNumberFormat="1" applyFont="1" applyFill="1" applyBorder="1" applyAlignment="1">
      <alignment horizontal="center" vertical="center" wrapText="1"/>
    </xf>
    <xf numFmtId="0" fontId="4" fillId="9" borderId="11" xfId="0" applyFont="1" applyFill="1" applyBorder="1" applyAlignment="1">
      <alignment horizontal="center" vertical="center"/>
    </xf>
    <xf numFmtId="0" fontId="4" fillId="12" borderId="3" xfId="0" applyFont="1" applyFill="1" applyBorder="1" applyAlignment="1">
      <alignment horizontal="center" vertical="center"/>
    </xf>
    <xf numFmtId="0" fontId="19" fillId="12" borderId="4" xfId="0" applyFont="1" applyFill="1" applyBorder="1" applyAlignment="1">
      <alignment horizontal="center" vertical="center"/>
    </xf>
    <xf numFmtId="0" fontId="19" fillId="12" borderId="6" xfId="0" applyFont="1" applyFill="1" applyBorder="1" applyAlignment="1">
      <alignment horizontal="center" vertical="center"/>
    </xf>
    <xf numFmtId="0" fontId="19" fillId="12" borderId="5" xfId="0" applyFont="1" applyFill="1" applyBorder="1" applyAlignment="1">
      <alignment horizontal="center" vertical="center"/>
    </xf>
    <xf numFmtId="0" fontId="19" fillId="11" borderId="5" xfId="0" applyFont="1" applyFill="1" applyBorder="1" applyAlignment="1">
      <alignment horizontal="center" vertical="center"/>
    </xf>
    <xf numFmtId="0" fontId="8" fillId="12" borderId="3" xfId="0" applyFont="1" applyFill="1" applyBorder="1" applyAlignment="1">
      <alignment horizontal="center" vertical="center"/>
    </xf>
    <xf numFmtId="0" fontId="8" fillId="2" borderId="5" xfId="0" applyFont="1" applyFill="1" applyBorder="1" applyAlignment="1">
      <alignment horizontal="center" vertical="center"/>
    </xf>
    <xf numFmtId="0" fontId="4" fillId="11" borderId="3" xfId="0" applyFont="1" applyFill="1" applyBorder="1" applyAlignment="1">
      <alignment horizontal="center" vertical="center"/>
    </xf>
    <xf numFmtId="0" fontId="4" fillId="11" borderId="5" xfId="0" applyFont="1" applyFill="1" applyBorder="1" applyAlignment="1">
      <alignment horizontal="center" vertical="center"/>
    </xf>
    <xf numFmtId="9" fontId="4" fillId="0" borderId="0" xfId="1" applyFont="1"/>
    <xf numFmtId="9" fontId="0" fillId="0" borderId="0" xfId="1" applyFont="1"/>
    <xf numFmtId="0" fontId="4" fillId="2" borderId="4" xfId="0" applyFont="1" applyFill="1" applyBorder="1" applyAlignment="1">
      <alignment horizontal="center" vertical="center" textRotation="255" wrapText="1"/>
    </xf>
    <xf numFmtId="0" fontId="2" fillId="2" borderId="8"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6" xfId="0" applyFont="1" applyFill="1" applyBorder="1" applyAlignment="1">
      <alignment horizontal="center" vertical="center" textRotation="90" wrapText="1"/>
    </xf>
    <xf numFmtId="2" fontId="2" fillId="2" borderId="3" xfId="0" applyNumberFormat="1" applyFont="1" applyFill="1" applyBorder="1" applyAlignment="1">
      <alignment horizontal="center" vertical="center" wrapText="1"/>
    </xf>
    <xf numFmtId="1" fontId="2" fillId="2" borderId="3" xfId="1" applyNumberFormat="1" applyFont="1" applyFill="1" applyBorder="1" applyAlignment="1">
      <alignment horizontal="center" vertical="center" wrapText="1"/>
    </xf>
    <xf numFmtId="9" fontId="24" fillId="0" borderId="15" xfId="0" applyNumberFormat="1" applyFont="1" applyFill="1" applyBorder="1" applyAlignment="1">
      <alignment horizontal="center" vertical="center" wrapText="1" readingOrder="1"/>
    </xf>
    <xf numFmtId="9" fontId="25" fillId="0" borderId="16" xfId="0" applyNumberFormat="1" applyFont="1" applyFill="1" applyBorder="1" applyAlignment="1">
      <alignment horizontal="center" vertical="center" wrapText="1" readingOrder="1"/>
    </xf>
    <xf numFmtId="9" fontId="25" fillId="0" borderId="17" xfId="0" applyNumberFormat="1" applyFont="1" applyFill="1" applyBorder="1" applyAlignment="1">
      <alignment horizontal="center" vertical="center" wrapText="1" readingOrder="1"/>
    </xf>
    <xf numFmtId="9" fontId="0" fillId="0" borderId="0" xfId="0" applyNumberFormat="1" applyFill="1"/>
    <xf numFmtId="0" fontId="4" fillId="2" borderId="3" xfId="0" applyFont="1" applyFill="1" applyBorder="1" applyAlignment="1">
      <alignment vertical="center" wrapText="1"/>
    </xf>
    <xf numFmtId="166" fontId="20" fillId="8" borderId="4" xfId="1" applyNumberFormat="1" applyFont="1" applyFill="1" applyBorder="1" applyAlignment="1">
      <alignment horizontal="center" vertical="center" wrapText="1"/>
    </xf>
    <xf numFmtId="2" fontId="16" fillId="0" borderId="0" xfId="0" applyNumberFormat="1" applyFont="1" applyAlignment="1">
      <alignment horizontal="center"/>
    </xf>
    <xf numFmtId="1" fontId="2"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6" xfId="0" applyFont="1" applyFill="1" applyBorder="1" applyAlignment="1">
      <alignment horizontal="center" vertical="center" textRotation="90" wrapText="1"/>
    </xf>
    <xf numFmtId="0" fontId="4" fillId="10" borderId="3" xfId="0" applyFont="1" applyFill="1" applyBorder="1" applyAlignment="1">
      <alignment horizontal="center" vertical="center" wrapText="1"/>
    </xf>
    <xf numFmtId="0" fontId="4" fillId="2" borderId="3"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4" xfId="0" applyFont="1" applyFill="1" applyBorder="1" applyAlignment="1">
      <alignment horizontal="center" vertical="center" textRotation="90"/>
    </xf>
    <xf numFmtId="0" fontId="4" fillId="2" borderId="6" xfId="0" applyFont="1" applyFill="1" applyBorder="1" applyAlignment="1">
      <alignment horizontal="center" vertical="center" textRotation="90"/>
    </xf>
    <xf numFmtId="0" fontId="0" fillId="2" borderId="10" xfId="0" applyFont="1" applyFill="1" applyBorder="1" applyAlignment="1">
      <alignment horizontal="center" vertical="center" textRotation="90" wrapText="1"/>
    </xf>
    <xf numFmtId="0" fontId="0" fillId="2" borderId="9" xfId="0" applyFont="1" applyFill="1" applyBorder="1" applyAlignment="1">
      <alignment horizontal="center" vertical="center" textRotation="90" wrapText="1"/>
    </xf>
    <xf numFmtId="0" fontId="4" fillId="2" borderId="7" xfId="0" applyFont="1" applyFill="1" applyBorder="1" applyAlignment="1">
      <alignment horizontal="center" vertical="center" textRotation="90" wrapText="1"/>
    </xf>
    <xf numFmtId="0" fontId="17" fillId="2" borderId="4" xfId="0" applyFont="1" applyFill="1" applyBorder="1" applyAlignment="1">
      <alignment horizontal="center" vertical="center" textRotation="90" wrapText="1"/>
    </xf>
    <xf numFmtId="0" fontId="17" fillId="2" borderId="6" xfId="0" applyFont="1" applyFill="1" applyBorder="1" applyAlignment="1">
      <alignment horizontal="center" vertical="center" textRotation="90" wrapText="1"/>
    </xf>
    <xf numFmtId="0" fontId="17" fillId="2" borderId="5" xfId="0" applyFont="1" applyFill="1" applyBorder="1" applyAlignment="1">
      <alignment horizontal="center" vertical="center" textRotation="90"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xf numFmtId="0" fontId="5" fillId="0" borderId="0" xfId="0" applyFont="1"/>
    <xf numFmtId="0" fontId="22"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6" xfId="0" applyFont="1" applyFill="1" applyBorder="1" applyAlignment="1">
      <alignment horizontal="center" vertical="center" wrapText="1"/>
    </xf>
    <xf numFmtId="9" fontId="21" fillId="2" borderId="3" xfId="1" applyFont="1" applyFill="1" applyBorder="1" applyAlignment="1">
      <alignment horizontal="center" vertical="center" wrapText="1"/>
    </xf>
    <xf numFmtId="9" fontId="22" fillId="2" borderId="3" xfId="1" applyFont="1" applyFill="1" applyBorder="1" applyAlignment="1">
      <alignment horizontal="center" vertical="center" wrapText="1"/>
    </xf>
    <xf numFmtId="0" fontId="4" fillId="2" borderId="5" xfId="0" applyFont="1" applyFill="1" applyBorder="1" applyAlignment="1">
      <alignment horizontal="center" vertical="center" textRotation="255" wrapText="1"/>
    </xf>
    <xf numFmtId="0" fontId="4" fillId="2" borderId="1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1" fontId="2" fillId="2" borderId="11"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9" fontId="2" fillId="2" borderId="5"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10" fontId="2" fillId="2" borderId="3" xfId="0" applyNumberFormat="1" applyFont="1" applyFill="1" applyBorder="1" applyAlignment="1">
      <alignment horizontal="center" vertical="center"/>
    </xf>
    <xf numFmtId="0" fontId="4" fillId="2" borderId="12" xfId="0" applyFont="1" applyFill="1" applyBorder="1" applyAlignment="1">
      <alignment horizontal="center" vertical="center" wrapText="1"/>
    </xf>
    <xf numFmtId="9" fontId="2" fillId="2" borderId="3" xfId="1" applyFont="1" applyFill="1" applyBorder="1" applyAlignment="1">
      <alignment horizontal="center" vertical="center"/>
    </xf>
    <xf numFmtId="166" fontId="2" fillId="2" borderId="3" xfId="0" applyNumberFormat="1" applyFont="1" applyFill="1" applyBorder="1" applyAlignment="1">
      <alignment horizontal="center" vertical="center"/>
    </xf>
    <xf numFmtId="0" fontId="4" fillId="2" borderId="7" xfId="0" applyFont="1" applyFill="1" applyBorder="1" applyAlignment="1">
      <alignment horizontal="center" vertical="center" textRotation="255" wrapText="1"/>
    </xf>
    <xf numFmtId="0" fontId="4" fillId="2" borderId="1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3" fontId="4" fillId="2" borderId="4" xfId="0" applyNumberFormat="1" applyFont="1" applyFill="1" applyBorder="1" applyAlignment="1">
      <alignment horizontal="center" vertical="center" wrapText="1"/>
    </xf>
    <xf numFmtId="3" fontId="4" fillId="2" borderId="5" xfId="0" applyNumberFormat="1" applyFont="1" applyFill="1" applyBorder="1" applyAlignment="1">
      <alignment horizontal="center" vertical="center" wrapText="1"/>
    </xf>
    <xf numFmtId="0" fontId="26" fillId="2" borderId="4" xfId="0" applyFont="1" applyFill="1" applyBorder="1" applyAlignment="1">
      <alignment horizontal="center" vertical="center" textRotation="90" wrapText="1"/>
    </xf>
    <xf numFmtId="0" fontId="26" fillId="2" borderId="6" xfId="0" applyFont="1" applyFill="1" applyBorder="1" applyAlignment="1">
      <alignment horizontal="center" vertical="center" textRotation="90" wrapText="1"/>
    </xf>
    <xf numFmtId="0" fontId="26" fillId="2" borderId="5" xfId="0" applyFont="1" applyFill="1" applyBorder="1" applyAlignment="1">
      <alignment horizontal="center" vertical="center" textRotation="90" wrapText="1"/>
    </xf>
    <xf numFmtId="0" fontId="17" fillId="2" borderId="3" xfId="0" applyFont="1" applyFill="1" applyBorder="1" applyAlignment="1">
      <alignment horizontal="center" vertical="center" textRotation="255" wrapText="1"/>
    </xf>
    <xf numFmtId="9" fontId="16" fillId="2" borderId="3" xfId="0" applyNumberFormat="1" applyFont="1" applyFill="1" applyBorder="1" applyAlignment="1">
      <alignment horizontal="center" vertical="center"/>
    </xf>
    <xf numFmtId="0" fontId="2" fillId="2" borderId="7" xfId="1"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4" fillId="2" borderId="3" xfId="0" applyFont="1" applyFill="1" applyBorder="1" applyAlignment="1">
      <alignment horizontal="left" vertical="center" wrapText="1"/>
    </xf>
    <xf numFmtId="9" fontId="15" fillId="2" borderId="3" xfId="1" applyNumberFormat="1" applyFont="1" applyFill="1" applyBorder="1" applyAlignment="1">
      <alignment horizontal="center" vertical="center" wrapText="1"/>
    </xf>
  </cellXfs>
  <cellStyles count="3">
    <cellStyle name="Moneda" xfId="2" builtinId="4"/>
    <cellStyle name="Normal" xfId="0" builtinId="0"/>
    <cellStyle name="Porcentaje" xfId="1" builtinId="5"/>
  </cellStyles>
  <dxfs count="0"/>
  <tableStyles count="0" defaultTableStyle="TableStyleMedium2" defaultPivotStyle="PivotStyleLight16"/>
  <colors>
    <mruColors>
      <color rgb="FFEDE395"/>
      <color rgb="FFFF4747"/>
      <color rgb="FF0F3D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3884084</xdr:colOff>
      <xdr:row>0</xdr:row>
      <xdr:rowOff>137582</xdr:rowOff>
    </xdr:from>
    <xdr:to>
      <xdr:col>3</xdr:col>
      <xdr:colOff>1799167</xdr:colOff>
      <xdr:row>4</xdr:row>
      <xdr:rowOff>105833</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582584" y="137582"/>
          <a:ext cx="4811183" cy="704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800" b="1">
              <a:solidFill>
                <a:srgbClr val="003E3D"/>
              </a:solidFill>
            </a:rPr>
            <a:t>Seguimiento</a:t>
          </a:r>
          <a:r>
            <a:rPr lang="es-CO" sz="1800" b="1" baseline="0">
              <a:solidFill>
                <a:srgbClr val="003E3D"/>
              </a:solidFill>
            </a:rPr>
            <a:t> Plan de Acción </a:t>
          </a:r>
        </a:p>
        <a:p>
          <a:pPr algn="ctr"/>
          <a:r>
            <a:rPr lang="es-CO" sz="1800" b="1" baseline="0">
              <a:solidFill>
                <a:srgbClr val="003E3D"/>
              </a:solidFill>
            </a:rPr>
            <a:t>Vigencia 2017</a:t>
          </a:r>
          <a:endParaRPr lang="es-CO" sz="2000" b="1">
            <a:solidFill>
              <a:srgbClr val="003E3D"/>
            </a:solidFill>
          </a:endParaRPr>
        </a:p>
      </xdr:txBody>
    </xdr:sp>
    <xdr:clientData/>
  </xdr:twoCellAnchor>
  <xdr:twoCellAnchor editAs="oneCell">
    <xdr:from>
      <xdr:col>1</xdr:col>
      <xdr:colOff>10583</xdr:colOff>
      <xdr:row>0</xdr:row>
      <xdr:rowOff>84668</xdr:rowOff>
    </xdr:from>
    <xdr:to>
      <xdr:col>1</xdr:col>
      <xdr:colOff>3092451</xdr:colOff>
      <xdr:row>4</xdr:row>
      <xdr:rowOff>170981</xdr:rowOff>
    </xdr:to>
    <xdr:pic>
      <xdr:nvPicPr>
        <xdr:cNvPr id="3" name="Imagen 2" descr="UCundinamarca">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759" r="10000" b="10219"/>
        <a:stretch/>
      </xdr:blipFill>
      <xdr:spPr bwMode="auto">
        <a:xfrm>
          <a:off x="709083" y="84668"/>
          <a:ext cx="3081868" cy="822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
  <sheetViews>
    <sheetView topLeftCell="A3" zoomScale="80" zoomScaleNormal="80" workbookViewId="0">
      <selection activeCell="C8" sqref="C8"/>
    </sheetView>
  </sheetViews>
  <sheetFormatPr baseColWidth="10" defaultRowHeight="15" x14ac:dyDescent="0.25"/>
  <cols>
    <col min="2" max="2" width="48.5703125" customWidth="1"/>
    <col min="3" max="4" width="25.42578125" customWidth="1"/>
    <col min="5" max="5" width="31.5703125" customWidth="1"/>
    <col min="6" max="6" width="20.5703125" customWidth="1"/>
  </cols>
  <sheetData>
    <row r="1" spans="1:8" x14ac:dyDescent="0.25">
      <c r="A1" s="15"/>
      <c r="B1" s="15"/>
      <c r="C1" s="15"/>
      <c r="D1" s="15"/>
      <c r="E1" s="15"/>
      <c r="F1" s="15"/>
      <c r="G1" s="15"/>
      <c r="H1" s="16"/>
    </row>
    <row r="2" spans="1:8" x14ac:dyDescent="0.25">
      <c r="A2" s="15"/>
      <c r="B2" s="15"/>
      <c r="C2" s="15"/>
      <c r="D2" s="15"/>
      <c r="E2" s="15"/>
      <c r="F2" s="15"/>
      <c r="G2" s="15"/>
      <c r="H2" s="16"/>
    </row>
    <row r="3" spans="1:8" x14ac:dyDescent="0.25">
      <c r="A3" s="15"/>
      <c r="B3" s="15"/>
      <c r="C3" s="15"/>
      <c r="D3" s="15"/>
      <c r="E3" s="15"/>
      <c r="F3" s="15"/>
      <c r="G3" s="15"/>
      <c r="H3" s="16"/>
    </row>
    <row r="4" spans="1:8" x14ac:dyDescent="0.25">
      <c r="A4" s="15"/>
      <c r="B4" s="15"/>
      <c r="C4" s="15"/>
      <c r="D4" s="15"/>
      <c r="E4" s="15"/>
      <c r="F4" s="15"/>
      <c r="G4" s="15"/>
      <c r="H4" s="16"/>
    </row>
    <row r="5" spans="1:8" x14ac:dyDescent="0.25">
      <c r="A5" s="15"/>
      <c r="B5" s="15"/>
      <c r="C5" s="15"/>
      <c r="D5" s="15"/>
      <c r="E5" s="15"/>
      <c r="F5" s="15"/>
      <c r="G5" s="15"/>
      <c r="H5" s="16"/>
    </row>
    <row r="6" spans="1:8" ht="56.25" x14ac:dyDescent="0.25">
      <c r="A6" s="15"/>
      <c r="B6" s="30" t="s">
        <v>145</v>
      </c>
      <c r="C6" s="30" t="s">
        <v>146</v>
      </c>
      <c r="D6" s="17" t="s">
        <v>147</v>
      </c>
      <c r="E6" s="18" t="s">
        <v>148</v>
      </c>
      <c r="F6" s="19"/>
      <c r="G6" s="15"/>
      <c r="H6" s="16"/>
    </row>
    <row r="7" spans="1:8" ht="26.25" x14ac:dyDescent="0.4">
      <c r="A7" s="20"/>
      <c r="B7" s="21"/>
      <c r="C7" s="22"/>
      <c r="D7" s="23"/>
      <c r="E7" s="23"/>
      <c r="F7" s="24"/>
      <c r="G7" s="15"/>
      <c r="H7" s="16"/>
    </row>
    <row r="8" spans="1:8" ht="26.25" x14ac:dyDescent="0.4">
      <c r="A8" s="20"/>
      <c r="B8" s="21"/>
      <c r="C8" s="22"/>
      <c r="D8" s="23"/>
      <c r="E8" s="23"/>
      <c r="F8" s="24"/>
      <c r="G8" s="15"/>
      <c r="H8" s="16"/>
    </row>
    <row r="9" spans="1:8" ht="26.25" x14ac:dyDescent="0.4">
      <c r="A9" s="20"/>
      <c r="B9" s="21"/>
      <c r="C9" s="22"/>
      <c r="D9" s="23"/>
      <c r="E9" s="23"/>
      <c r="F9" s="24"/>
      <c r="G9" s="15"/>
      <c r="H9" s="16"/>
    </row>
    <row r="10" spans="1:8" ht="26.25" x14ac:dyDescent="0.4">
      <c r="A10" s="20"/>
      <c r="B10" s="25"/>
      <c r="C10" s="26"/>
      <c r="D10" s="23"/>
      <c r="E10" s="23"/>
      <c r="F10" s="24"/>
      <c r="G10" s="15"/>
      <c r="H10" s="16"/>
    </row>
    <row r="11" spans="1:8" ht="26.25" x14ac:dyDescent="0.4">
      <c r="A11" s="20"/>
      <c r="B11" s="27"/>
      <c r="C11" s="28"/>
      <c r="D11" s="23"/>
      <c r="E11" s="23"/>
      <c r="F11" s="24"/>
      <c r="G11" s="15"/>
      <c r="H11" s="16"/>
    </row>
    <row r="12" spans="1:8" ht="26.25" x14ac:dyDescent="0.4">
      <c r="A12" s="20"/>
      <c r="B12" s="21"/>
      <c r="C12" s="22"/>
      <c r="D12" s="23"/>
      <c r="E12" s="23"/>
      <c r="F12" s="24"/>
      <c r="G12" s="15"/>
      <c r="H12" s="16"/>
    </row>
    <row r="13" spans="1:8" ht="26.25" x14ac:dyDescent="0.4">
      <c r="A13" s="20"/>
      <c r="B13" s="21"/>
      <c r="C13" s="22"/>
      <c r="D13" s="23"/>
      <c r="E13" s="23"/>
      <c r="F13" s="24"/>
      <c r="G13" s="15"/>
      <c r="H13" s="16"/>
    </row>
    <row r="14" spans="1:8" ht="26.25" x14ac:dyDescent="0.4">
      <c r="A14" s="20"/>
      <c r="B14" s="21"/>
      <c r="C14" s="22"/>
      <c r="D14" s="23"/>
      <c r="E14" s="23"/>
      <c r="F14" s="24"/>
      <c r="G14" s="15"/>
      <c r="H14" s="16"/>
    </row>
    <row r="15" spans="1:8" ht="26.25" x14ac:dyDescent="0.4">
      <c r="A15" s="20"/>
      <c r="B15" s="21"/>
      <c r="C15" s="24"/>
      <c r="D15" s="23"/>
      <c r="E15" s="29"/>
      <c r="F15" s="24"/>
      <c r="G15" s="15"/>
      <c r="H15" s="16"/>
    </row>
    <row r="16" spans="1:8" x14ac:dyDescent="0.25">
      <c r="A16" s="16"/>
      <c r="B16" s="16"/>
      <c r="C16" s="16"/>
      <c r="D16" s="16"/>
      <c r="E16" s="16"/>
      <c r="F16" s="16"/>
      <c r="G16" s="16"/>
      <c r="H16" s="1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31"/>
  <sheetViews>
    <sheetView zoomScaleNormal="100" workbookViewId="0">
      <selection activeCell="E13" sqref="E13"/>
    </sheetView>
  </sheetViews>
  <sheetFormatPr baseColWidth="10" defaultColWidth="11.42578125" defaultRowHeight="12.75" x14ac:dyDescent="0.2"/>
  <cols>
    <col min="1" max="1" width="1.7109375" style="3" customWidth="1"/>
    <col min="2" max="3" width="17.140625" style="3" customWidth="1"/>
    <col min="4" max="4" width="8.85546875" style="3" hidden="1" customWidth="1"/>
    <col min="5" max="5" width="49.140625" style="60" customWidth="1"/>
    <col min="6" max="6" width="45.7109375" style="60" customWidth="1"/>
    <col min="7" max="8" width="17.140625" style="4" hidden="1" customWidth="1"/>
    <col min="9" max="9" width="17.140625" style="4" customWidth="1"/>
    <col min="10" max="10" width="32.140625" style="4" hidden="1" customWidth="1"/>
    <col min="11" max="11" width="28.28515625" style="3" customWidth="1"/>
    <col min="12" max="12" width="0" style="44" hidden="1" customWidth="1"/>
    <col min="13" max="13" width="0" style="3" hidden="1" customWidth="1"/>
    <col min="14" max="16384" width="11.42578125" style="3"/>
  </cols>
  <sheetData>
    <row r="2" spans="2:13" ht="38.450000000000003" customHeight="1" x14ac:dyDescent="0.2">
      <c r="B2" s="2" t="s">
        <v>5</v>
      </c>
      <c r="C2" s="2" t="s">
        <v>6</v>
      </c>
      <c r="D2" s="7"/>
      <c r="E2" s="7" t="s">
        <v>2</v>
      </c>
      <c r="F2" s="7" t="s">
        <v>3</v>
      </c>
      <c r="G2" s="1" t="s">
        <v>166</v>
      </c>
      <c r="H2" s="2" t="s">
        <v>170</v>
      </c>
      <c r="I2" s="2">
        <v>2019</v>
      </c>
      <c r="J2" s="2"/>
      <c r="K2" s="2" t="s">
        <v>4</v>
      </c>
      <c r="L2" s="45">
        <v>1</v>
      </c>
    </row>
    <row r="3" spans="2:13" s="119" customFormat="1" ht="31.5" hidden="1" customHeight="1" x14ac:dyDescent="0.2">
      <c r="B3" s="185" t="s">
        <v>79</v>
      </c>
      <c r="C3" s="185" t="s">
        <v>7</v>
      </c>
      <c r="D3" s="101" t="s">
        <v>233</v>
      </c>
      <c r="E3" s="102" t="s">
        <v>149</v>
      </c>
      <c r="F3" s="103" t="s">
        <v>221</v>
      </c>
      <c r="G3" s="104">
        <v>1</v>
      </c>
      <c r="H3" s="105">
        <v>1</v>
      </c>
      <c r="I3" s="106">
        <f>+G3-H3</f>
        <v>0</v>
      </c>
      <c r="J3" s="106"/>
      <c r="K3" s="123" t="s">
        <v>0</v>
      </c>
      <c r="L3" s="107">
        <f>IF((H3/G3)&lt;100%,(H3/G3),100%)</f>
        <v>1</v>
      </c>
      <c r="M3" s="118"/>
    </row>
    <row r="4" spans="2:13" s="119" customFormat="1" ht="31.5" hidden="1" customHeight="1" x14ac:dyDescent="0.2">
      <c r="B4" s="186"/>
      <c r="C4" s="186"/>
      <c r="D4" s="101" t="s">
        <v>233</v>
      </c>
      <c r="E4" s="102" t="s">
        <v>37</v>
      </c>
      <c r="F4" s="103" t="s">
        <v>221</v>
      </c>
      <c r="G4" s="104">
        <v>1</v>
      </c>
      <c r="H4" s="105">
        <v>1</v>
      </c>
      <c r="I4" s="106">
        <f t="shared" ref="I4:I15" si="0">+G4-H4</f>
        <v>0</v>
      </c>
      <c r="J4" s="106"/>
      <c r="K4" s="187" t="s">
        <v>1</v>
      </c>
      <c r="L4" s="107">
        <f t="shared" ref="L4:L21" si="1">IF((H4/G4)&lt;100%,(H4/G4),100%)</f>
        <v>1</v>
      </c>
    </row>
    <row r="5" spans="2:13" s="119" customFormat="1" ht="31.5" hidden="1" customHeight="1" x14ac:dyDescent="0.2">
      <c r="B5" s="186"/>
      <c r="C5" s="186"/>
      <c r="D5" s="101" t="s">
        <v>233</v>
      </c>
      <c r="E5" s="108" t="s">
        <v>38</v>
      </c>
      <c r="F5" s="103" t="s">
        <v>221</v>
      </c>
      <c r="G5" s="104">
        <v>1</v>
      </c>
      <c r="H5" s="105">
        <v>1</v>
      </c>
      <c r="I5" s="106">
        <f t="shared" si="0"/>
        <v>0</v>
      </c>
      <c r="J5" s="106"/>
      <c r="K5" s="187"/>
      <c r="L5" s="107">
        <f t="shared" si="1"/>
        <v>1</v>
      </c>
    </row>
    <row r="6" spans="2:13" ht="70.5" customHeight="1" x14ac:dyDescent="0.2">
      <c r="B6" s="186"/>
      <c r="C6" s="186"/>
      <c r="D6" s="56" t="s">
        <v>233</v>
      </c>
      <c r="E6" s="127" t="s">
        <v>230</v>
      </c>
      <c r="F6" s="80" t="s">
        <v>222</v>
      </c>
      <c r="G6" s="41">
        <v>7</v>
      </c>
      <c r="H6" s="77">
        <v>0</v>
      </c>
      <c r="I6" s="77">
        <v>7</v>
      </c>
      <c r="J6" s="77"/>
      <c r="K6" s="127" t="s">
        <v>225</v>
      </c>
      <c r="L6" s="135">
        <f t="shared" si="1"/>
        <v>0</v>
      </c>
    </row>
    <row r="7" spans="2:13" s="121" customFormat="1" ht="40.5" hidden="1" customHeight="1" x14ac:dyDescent="0.2">
      <c r="B7" s="186"/>
      <c r="C7" s="186"/>
      <c r="D7" s="56" t="s">
        <v>233</v>
      </c>
      <c r="E7" s="126" t="s">
        <v>231</v>
      </c>
      <c r="F7" s="65" t="s">
        <v>222</v>
      </c>
      <c r="G7" s="41">
        <v>32</v>
      </c>
      <c r="H7" s="77">
        <v>32</v>
      </c>
      <c r="I7" s="77">
        <f t="shared" si="0"/>
        <v>0</v>
      </c>
      <c r="J7" s="77"/>
      <c r="K7" s="127" t="s">
        <v>152</v>
      </c>
      <c r="L7" s="107">
        <f t="shared" si="1"/>
        <v>1</v>
      </c>
      <c r="M7" s="120"/>
    </row>
    <row r="8" spans="2:13" s="121" customFormat="1" ht="41.25" hidden="1" customHeight="1" x14ac:dyDescent="0.2">
      <c r="B8" s="186"/>
      <c r="C8" s="186"/>
      <c r="D8" s="56" t="s">
        <v>233</v>
      </c>
      <c r="E8" s="126" t="s">
        <v>56</v>
      </c>
      <c r="F8" s="80" t="s">
        <v>221</v>
      </c>
      <c r="G8" s="41">
        <v>1</v>
      </c>
      <c r="H8" s="77">
        <v>1</v>
      </c>
      <c r="I8" s="77">
        <f t="shared" si="0"/>
        <v>0</v>
      </c>
      <c r="J8" s="77"/>
      <c r="K8" s="127" t="s">
        <v>0</v>
      </c>
      <c r="L8" s="107">
        <f t="shared" si="1"/>
        <v>1</v>
      </c>
    </row>
    <row r="9" spans="2:13" s="121" customFormat="1" ht="67.5" hidden="1" customHeight="1" x14ac:dyDescent="0.2">
      <c r="B9" s="186"/>
      <c r="C9" s="186"/>
      <c r="D9" s="56" t="s">
        <v>234</v>
      </c>
      <c r="E9" s="126" t="s">
        <v>223</v>
      </c>
      <c r="F9" s="65" t="s">
        <v>314</v>
      </c>
      <c r="G9" s="41">
        <v>20</v>
      </c>
      <c r="H9" s="77">
        <v>25</v>
      </c>
      <c r="I9" s="77">
        <v>20</v>
      </c>
      <c r="J9" s="77"/>
      <c r="K9" s="127" t="s">
        <v>326</v>
      </c>
      <c r="L9" s="107">
        <f t="shared" si="1"/>
        <v>1</v>
      </c>
    </row>
    <row r="10" spans="2:13" ht="46.5" customHeight="1" x14ac:dyDescent="0.2">
      <c r="B10" s="185" t="s">
        <v>8</v>
      </c>
      <c r="C10" s="185" t="s">
        <v>9</v>
      </c>
      <c r="D10" s="56" t="s">
        <v>233</v>
      </c>
      <c r="E10" s="126" t="s">
        <v>224</v>
      </c>
      <c r="F10" s="80" t="s">
        <v>376</v>
      </c>
      <c r="G10" s="33">
        <v>8</v>
      </c>
      <c r="H10" s="77">
        <v>4</v>
      </c>
      <c r="I10" s="77">
        <v>6</v>
      </c>
      <c r="J10" s="76"/>
      <c r="K10" s="126" t="s">
        <v>225</v>
      </c>
      <c r="L10" s="134">
        <f t="shared" si="1"/>
        <v>0.5</v>
      </c>
    </row>
    <row r="11" spans="2:13" ht="36.75" customHeight="1" x14ac:dyDescent="0.2">
      <c r="B11" s="186"/>
      <c r="C11" s="186"/>
      <c r="D11" s="56" t="s">
        <v>233</v>
      </c>
      <c r="E11" s="128"/>
      <c r="F11" s="80" t="s">
        <v>456</v>
      </c>
      <c r="G11" s="33">
        <v>4</v>
      </c>
      <c r="H11" s="77">
        <v>4</v>
      </c>
      <c r="I11" s="77">
        <v>1</v>
      </c>
      <c r="J11" s="76"/>
      <c r="K11" s="126" t="s">
        <v>225</v>
      </c>
      <c r="L11" s="134">
        <f t="shared" si="1"/>
        <v>1</v>
      </c>
    </row>
    <row r="12" spans="2:13" ht="48" customHeight="1" x14ac:dyDescent="0.2">
      <c r="B12" s="189"/>
      <c r="C12" s="189"/>
      <c r="D12" s="56" t="s">
        <v>234</v>
      </c>
      <c r="E12" s="126" t="s">
        <v>240</v>
      </c>
      <c r="F12" s="80" t="s">
        <v>404</v>
      </c>
      <c r="G12" s="33">
        <v>12</v>
      </c>
      <c r="H12" s="76"/>
      <c r="I12" s="76">
        <v>12</v>
      </c>
      <c r="J12" s="76"/>
      <c r="K12" s="126" t="s">
        <v>225</v>
      </c>
      <c r="L12" s="133"/>
    </row>
    <row r="13" spans="2:13" ht="92.25" customHeight="1" x14ac:dyDescent="0.2">
      <c r="B13" s="185" t="s">
        <v>12</v>
      </c>
      <c r="C13" s="185" t="s">
        <v>13</v>
      </c>
      <c r="D13" s="56" t="s">
        <v>233</v>
      </c>
      <c r="E13" s="127" t="s">
        <v>226</v>
      </c>
      <c r="F13" s="80" t="s">
        <v>377</v>
      </c>
      <c r="G13" s="33">
        <v>2</v>
      </c>
      <c r="H13" s="76">
        <v>0</v>
      </c>
      <c r="I13" s="77">
        <f t="shared" si="0"/>
        <v>2</v>
      </c>
      <c r="J13" s="202" t="s">
        <v>418</v>
      </c>
      <c r="K13" s="127" t="s">
        <v>225</v>
      </c>
      <c r="L13" s="134">
        <f t="shared" si="1"/>
        <v>0</v>
      </c>
    </row>
    <row r="14" spans="2:13" ht="92.25" customHeight="1" x14ac:dyDescent="0.2">
      <c r="B14" s="186"/>
      <c r="C14" s="186"/>
      <c r="D14" s="56" t="s">
        <v>233</v>
      </c>
      <c r="E14" s="127" t="s">
        <v>227</v>
      </c>
      <c r="F14" s="80" t="s">
        <v>458</v>
      </c>
      <c r="G14" s="33">
        <v>5</v>
      </c>
      <c r="H14" s="76">
        <v>0</v>
      </c>
      <c r="I14" s="77">
        <f t="shared" si="0"/>
        <v>5</v>
      </c>
      <c r="J14" s="202" t="s">
        <v>418</v>
      </c>
      <c r="K14" s="126" t="s">
        <v>225</v>
      </c>
      <c r="L14" s="134">
        <f t="shared" si="1"/>
        <v>0</v>
      </c>
    </row>
    <row r="15" spans="2:13" ht="92.25" customHeight="1" x14ac:dyDescent="0.2">
      <c r="B15" s="186"/>
      <c r="C15" s="186"/>
      <c r="D15" s="56" t="s">
        <v>234</v>
      </c>
      <c r="E15" s="127" t="s">
        <v>205</v>
      </c>
      <c r="F15" s="80" t="s">
        <v>402</v>
      </c>
      <c r="G15" s="33">
        <v>5</v>
      </c>
      <c r="H15" s="76">
        <v>0</v>
      </c>
      <c r="I15" s="77">
        <f t="shared" si="0"/>
        <v>5</v>
      </c>
      <c r="J15" s="202" t="s">
        <v>418</v>
      </c>
      <c r="K15" s="126" t="s">
        <v>225</v>
      </c>
      <c r="L15" s="134">
        <f t="shared" si="1"/>
        <v>0</v>
      </c>
    </row>
    <row r="16" spans="2:13" ht="92.25" customHeight="1" x14ac:dyDescent="0.2">
      <c r="B16" s="186"/>
      <c r="C16" s="186"/>
      <c r="D16" s="56" t="s">
        <v>234</v>
      </c>
      <c r="E16" s="126" t="s">
        <v>206</v>
      </c>
      <c r="F16" s="203" t="s">
        <v>403</v>
      </c>
      <c r="G16" s="33">
        <v>5</v>
      </c>
      <c r="H16" s="76">
        <v>0</v>
      </c>
      <c r="I16" s="77">
        <v>5</v>
      </c>
      <c r="J16" s="202" t="s">
        <v>418</v>
      </c>
      <c r="K16" s="126" t="s">
        <v>225</v>
      </c>
      <c r="L16" s="134">
        <f t="shared" si="1"/>
        <v>0</v>
      </c>
    </row>
    <row r="17" spans="2:13" ht="48" customHeight="1" x14ac:dyDescent="0.2">
      <c r="B17" s="68"/>
      <c r="C17" s="68"/>
      <c r="D17" s="56" t="s">
        <v>234</v>
      </c>
      <c r="E17" s="126" t="s">
        <v>266</v>
      </c>
      <c r="F17" s="203" t="s">
        <v>295</v>
      </c>
      <c r="G17" s="33">
        <v>1</v>
      </c>
      <c r="H17" s="76">
        <v>0</v>
      </c>
      <c r="I17" s="77">
        <v>200</v>
      </c>
      <c r="J17" s="204" t="s">
        <v>472</v>
      </c>
      <c r="K17" s="126" t="s">
        <v>473</v>
      </c>
      <c r="L17" s="142">
        <f>IF((H17/G17)&lt;100%,(H17/G17),100%)</f>
        <v>0</v>
      </c>
    </row>
    <row r="18" spans="2:13" ht="102" customHeight="1" x14ac:dyDescent="0.2">
      <c r="B18" s="188" t="s">
        <v>136</v>
      </c>
      <c r="C18" s="188" t="s">
        <v>137</v>
      </c>
      <c r="D18" s="56" t="s">
        <v>234</v>
      </c>
      <c r="E18" s="127" t="s">
        <v>228</v>
      </c>
      <c r="F18" s="127" t="s">
        <v>457</v>
      </c>
      <c r="G18" s="36">
        <v>32</v>
      </c>
      <c r="H18" s="76">
        <v>0</v>
      </c>
      <c r="I18" s="76">
        <f>+G18-H18</f>
        <v>32</v>
      </c>
      <c r="J18" s="202" t="s">
        <v>418</v>
      </c>
      <c r="K18" s="127" t="s">
        <v>225</v>
      </c>
      <c r="L18" s="133">
        <f t="shared" si="1"/>
        <v>0</v>
      </c>
    </row>
    <row r="19" spans="2:13" ht="39.75" customHeight="1" x14ac:dyDescent="0.2">
      <c r="B19" s="188"/>
      <c r="C19" s="188"/>
      <c r="D19" s="56" t="s">
        <v>234</v>
      </c>
      <c r="E19" s="127" t="s">
        <v>178</v>
      </c>
      <c r="F19" s="127" t="s">
        <v>229</v>
      </c>
      <c r="G19" s="33">
        <v>7</v>
      </c>
      <c r="H19" s="77">
        <v>0</v>
      </c>
      <c r="I19" s="76">
        <f t="shared" ref="I19:I21" si="2">+G19-H19</f>
        <v>7</v>
      </c>
      <c r="J19" s="205" t="s">
        <v>474</v>
      </c>
      <c r="K19" s="122" t="s">
        <v>225</v>
      </c>
      <c r="L19" s="133">
        <f>IF((H19/G19)&lt;100%,(H19/G19),100%)</f>
        <v>0</v>
      </c>
    </row>
    <row r="20" spans="2:13" ht="34.5" customHeight="1" x14ac:dyDescent="0.2">
      <c r="B20" s="188"/>
      <c r="C20" s="188"/>
      <c r="D20" s="56" t="s">
        <v>235</v>
      </c>
      <c r="E20" s="126" t="s">
        <v>204</v>
      </c>
      <c r="F20" s="127" t="s">
        <v>14</v>
      </c>
      <c r="G20" s="34">
        <v>0.8</v>
      </c>
      <c r="H20" s="78"/>
      <c r="I20" s="206">
        <f t="shared" si="2"/>
        <v>0.8</v>
      </c>
      <c r="J20" s="207" t="s">
        <v>418</v>
      </c>
      <c r="K20" s="127" t="s">
        <v>475</v>
      </c>
      <c r="L20" s="133">
        <f t="shared" si="1"/>
        <v>0</v>
      </c>
    </row>
    <row r="21" spans="2:13" ht="34.5" customHeight="1" x14ac:dyDescent="0.2">
      <c r="B21" s="188"/>
      <c r="C21" s="188"/>
      <c r="D21" s="56" t="s">
        <v>235</v>
      </c>
      <c r="E21" s="127" t="s">
        <v>165</v>
      </c>
      <c r="F21" s="127" t="s">
        <v>15</v>
      </c>
      <c r="G21" s="34">
        <v>0.76</v>
      </c>
      <c r="H21" s="78"/>
      <c r="I21" s="206">
        <f t="shared" si="2"/>
        <v>0.76</v>
      </c>
      <c r="J21" s="207" t="s">
        <v>418</v>
      </c>
      <c r="K21" s="127" t="s">
        <v>475</v>
      </c>
      <c r="L21" s="133">
        <f t="shared" si="1"/>
        <v>0</v>
      </c>
      <c r="M21" s="169">
        <f>(L3+L4+L5+L6+L7+L8+L9+L10+L11+L13+L14+L15+L16)/13</f>
        <v>0.57692307692307687</v>
      </c>
    </row>
    <row r="22" spans="2:13" ht="13.5" thickBot="1" x14ac:dyDescent="0.25">
      <c r="H22" s="3"/>
      <c r="I22" s="3"/>
      <c r="J22" s="3"/>
      <c r="K22" s="5"/>
    </row>
    <row r="23" spans="2:13" hidden="1" x14ac:dyDescent="0.2">
      <c r="K23" s="6"/>
    </row>
    <row r="24" spans="2:13" hidden="1" x14ac:dyDescent="0.2">
      <c r="B24" s="143"/>
      <c r="C24" s="3" t="s">
        <v>480</v>
      </c>
      <c r="K24" s="6"/>
    </row>
    <row r="25" spans="2:13" ht="13.5" hidden="1" thickBot="1" x14ac:dyDescent="0.25">
      <c r="B25" s="145"/>
      <c r="C25" s="3" t="s">
        <v>479</v>
      </c>
      <c r="K25" s="5"/>
    </row>
    <row r="26" spans="2:13" ht="13.5" hidden="1" thickBot="1" x14ac:dyDescent="0.25">
      <c r="B26" s="144"/>
      <c r="C26" s="3" t="s">
        <v>476</v>
      </c>
      <c r="D26" s="3" t="s">
        <v>478</v>
      </c>
      <c r="K26" s="5"/>
    </row>
    <row r="27" spans="2:13" hidden="1" x14ac:dyDescent="0.2">
      <c r="B27" s="146"/>
      <c r="C27" s="3" t="s">
        <v>477</v>
      </c>
      <c r="D27" s="3" t="s">
        <v>478</v>
      </c>
    </row>
    <row r="28" spans="2:13" hidden="1" x14ac:dyDescent="0.2"/>
    <row r="29" spans="2:13" hidden="1" x14ac:dyDescent="0.2"/>
    <row r="30" spans="2:13" hidden="1" x14ac:dyDescent="0.2"/>
    <row r="31" spans="2:13" hidden="1" x14ac:dyDescent="0.2"/>
  </sheetData>
  <sheetProtection algorithmName="SHA-512" hashValue="9pmw24Y9qnu8TUsPaJzyE6EdQIbL+npDwmiiZYKhLdUFasu9P1EVfrDtFfUhZPjX8zLF4PrCqpETcBQI6rF/Kg==" saltValue="9L9nfbcSTGaSgsrj2DQpjA==" spinCount="100000" sheet="1" selectLockedCells="1" selectUnlockedCells="1"/>
  <autoFilter ref="K2:K26" xr:uid="{00000000-0009-0000-0000-000001000000}"/>
  <mergeCells count="9">
    <mergeCell ref="C3:C9"/>
    <mergeCell ref="B3:B9"/>
    <mergeCell ref="K4:K5"/>
    <mergeCell ref="B18:B21"/>
    <mergeCell ref="C18:C21"/>
    <mergeCell ref="C13:C16"/>
    <mergeCell ref="B13:B16"/>
    <mergeCell ref="C10:C12"/>
    <mergeCell ref="B10:B12"/>
  </mergeCells>
  <pageMargins left="0.70866141732283472" right="0.70866141732283472" top="0.74803149606299213" bottom="0.74803149606299213" header="0.31496062992125984" footer="0.31496062992125984"/>
  <pageSetup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35"/>
  <sheetViews>
    <sheetView zoomScaleNormal="100" workbookViewId="0">
      <selection activeCell="E13" sqref="E13"/>
    </sheetView>
  </sheetViews>
  <sheetFormatPr baseColWidth="10" defaultColWidth="10.85546875" defaultRowHeight="12.75" x14ac:dyDescent="0.2"/>
  <cols>
    <col min="1" max="1" width="2.42578125" style="3" customWidth="1"/>
    <col min="2" max="3" width="17.140625" style="3" customWidth="1"/>
    <col min="4" max="4" width="8" style="3" hidden="1" customWidth="1"/>
    <col min="5" max="5" width="49.140625" style="8" customWidth="1"/>
    <col min="6" max="6" width="47.140625" style="8" customWidth="1"/>
    <col min="7" max="7" width="11.42578125" style="37" hidden="1" customWidth="1"/>
    <col min="8" max="8" width="11.7109375" style="4" hidden="1" customWidth="1"/>
    <col min="9" max="9" width="17.140625" style="4" customWidth="1"/>
    <col min="10" max="10" width="25.42578125" style="3" customWidth="1"/>
    <col min="11" max="11" width="10.85546875" style="3" hidden="1" customWidth="1"/>
    <col min="12" max="12" width="0" style="3" hidden="1" customWidth="1"/>
    <col min="13" max="16384" width="10.85546875" style="3"/>
  </cols>
  <sheetData>
    <row r="2" spans="2:11" ht="32.25" customHeight="1" x14ac:dyDescent="0.2">
      <c r="B2" s="2" t="s">
        <v>5</v>
      </c>
      <c r="C2" s="2" t="s">
        <v>6</v>
      </c>
      <c r="D2" s="2"/>
      <c r="E2" s="2" t="s">
        <v>2</v>
      </c>
      <c r="F2" s="7" t="s">
        <v>3</v>
      </c>
      <c r="G2" s="1" t="s">
        <v>166</v>
      </c>
      <c r="H2" s="2" t="s">
        <v>170</v>
      </c>
      <c r="I2" s="2">
        <v>2019</v>
      </c>
      <c r="J2" s="2" t="s">
        <v>4</v>
      </c>
      <c r="K2" s="48">
        <v>1</v>
      </c>
    </row>
    <row r="3" spans="2:11" ht="46.5" hidden="1" customHeight="1" x14ac:dyDescent="0.2">
      <c r="B3" s="186" t="s">
        <v>25</v>
      </c>
      <c r="C3" s="124" t="s">
        <v>26</v>
      </c>
      <c r="D3" s="208" t="s">
        <v>234</v>
      </c>
      <c r="E3" s="128" t="s">
        <v>207</v>
      </c>
      <c r="F3" s="209" t="s">
        <v>241</v>
      </c>
      <c r="G3" s="172">
        <v>3</v>
      </c>
      <c r="H3" s="33">
        <f>7+1</f>
        <v>8</v>
      </c>
      <c r="I3" s="210">
        <f>+G3-H3</f>
        <v>-5</v>
      </c>
      <c r="J3" s="128" t="s">
        <v>151</v>
      </c>
      <c r="K3" s="107">
        <f t="shared" ref="K3:K28" si="0">IF((H3/G3)&lt;100%,(H3/G3),100%)</f>
        <v>1</v>
      </c>
    </row>
    <row r="4" spans="2:11" ht="40.5" customHeight="1" x14ac:dyDescent="0.2">
      <c r="B4" s="186"/>
      <c r="C4" s="185" t="s">
        <v>39</v>
      </c>
      <c r="D4" s="56" t="s">
        <v>235</v>
      </c>
      <c r="E4" s="127" t="s">
        <v>208</v>
      </c>
      <c r="F4" s="63" t="s">
        <v>273</v>
      </c>
      <c r="G4" s="137">
        <v>1</v>
      </c>
      <c r="H4" s="92">
        <v>0.7</v>
      </c>
      <c r="I4" s="92">
        <f>+G4-H4</f>
        <v>0.30000000000000004</v>
      </c>
      <c r="J4" s="70" t="s">
        <v>159</v>
      </c>
      <c r="K4" s="133">
        <f>IF((H5/G5)&lt;100%,(H5/G5),100%)</f>
        <v>1</v>
      </c>
    </row>
    <row r="5" spans="2:11" ht="40.5" hidden="1" customHeight="1" x14ac:dyDescent="0.2">
      <c r="B5" s="186"/>
      <c r="C5" s="186"/>
      <c r="D5" s="56" t="s">
        <v>235</v>
      </c>
      <c r="E5" s="127" t="s">
        <v>182</v>
      </c>
      <c r="F5" s="63" t="s">
        <v>273</v>
      </c>
      <c r="G5" s="137">
        <v>1</v>
      </c>
      <c r="H5" s="92">
        <v>1</v>
      </c>
      <c r="I5" s="92">
        <f>+G5-H5</f>
        <v>0</v>
      </c>
      <c r="J5" s="49" t="s">
        <v>159</v>
      </c>
      <c r="K5" s="133"/>
    </row>
    <row r="6" spans="2:11" ht="45.75" customHeight="1" x14ac:dyDescent="0.2">
      <c r="B6" s="185" t="s">
        <v>41</v>
      </c>
      <c r="C6" s="185" t="s">
        <v>40</v>
      </c>
      <c r="D6" s="171" t="s">
        <v>234</v>
      </c>
      <c r="E6" s="126" t="s">
        <v>181</v>
      </c>
      <c r="F6" s="126" t="s">
        <v>406</v>
      </c>
      <c r="G6" s="35">
        <v>64</v>
      </c>
      <c r="H6" s="33">
        <v>34</v>
      </c>
      <c r="I6" s="35">
        <v>34</v>
      </c>
      <c r="J6" s="69" t="s">
        <v>150</v>
      </c>
      <c r="K6" s="134">
        <f t="shared" si="0"/>
        <v>0.53125</v>
      </c>
    </row>
    <row r="7" spans="2:11" ht="55.5" customHeight="1" x14ac:dyDescent="0.2">
      <c r="B7" s="188"/>
      <c r="C7" s="188"/>
      <c r="D7" s="56" t="s">
        <v>234</v>
      </c>
      <c r="E7" s="126" t="s">
        <v>381</v>
      </c>
      <c r="F7" s="127" t="s">
        <v>413</v>
      </c>
      <c r="G7" s="35">
        <f>4*7*2</f>
        <v>56</v>
      </c>
      <c r="H7" s="33">
        <v>28</v>
      </c>
      <c r="I7" s="33">
        <v>28</v>
      </c>
      <c r="J7" s="127" t="s">
        <v>414</v>
      </c>
      <c r="K7" s="133">
        <f t="shared" si="0"/>
        <v>0.5</v>
      </c>
    </row>
    <row r="8" spans="2:11" ht="33.75" hidden="1" customHeight="1" x14ac:dyDescent="0.2">
      <c r="B8" s="186"/>
      <c r="C8" s="189"/>
      <c r="D8" s="208" t="s">
        <v>233</v>
      </c>
      <c r="E8" s="126" t="s">
        <v>492</v>
      </c>
      <c r="F8" s="122" t="s">
        <v>459</v>
      </c>
      <c r="G8" s="35">
        <f>2*7*4</f>
        <v>56</v>
      </c>
      <c r="H8" s="33">
        <f>4*7*3</f>
        <v>84</v>
      </c>
      <c r="I8" s="211">
        <f>+G8-H8</f>
        <v>-28</v>
      </c>
      <c r="J8" s="122" t="s">
        <v>451</v>
      </c>
      <c r="K8" s="107">
        <f t="shared" si="0"/>
        <v>1</v>
      </c>
    </row>
    <row r="9" spans="2:11" ht="48" customHeight="1" x14ac:dyDescent="0.2">
      <c r="B9" s="186"/>
      <c r="C9" s="185" t="s">
        <v>185</v>
      </c>
      <c r="D9" s="56" t="s">
        <v>233</v>
      </c>
      <c r="E9" s="122" t="s">
        <v>385</v>
      </c>
      <c r="F9" s="126" t="s">
        <v>379</v>
      </c>
      <c r="G9" s="184">
        <v>3</v>
      </c>
      <c r="H9" s="93">
        <v>0</v>
      </c>
      <c r="I9" s="184">
        <f>+G9-H9</f>
        <v>3</v>
      </c>
      <c r="J9" s="126" t="s">
        <v>27</v>
      </c>
      <c r="K9" s="142">
        <f t="shared" si="0"/>
        <v>0</v>
      </c>
    </row>
    <row r="10" spans="2:11" ht="67.5" customHeight="1" x14ac:dyDescent="0.2">
      <c r="B10" s="174"/>
      <c r="C10" s="186"/>
      <c r="D10" s="56" t="s">
        <v>233</v>
      </c>
      <c r="E10" s="122"/>
      <c r="F10" s="63" t="s">
        <v>378</v>
      </c>
      <c r="G10" s="212">
        <v>1</v>
      </c>
      <c r="H10" s="93">
        <v>0</v>
      </c>
      <c r="I10" s="184">
        <f>+G10-H10</f>
        <v>1</v>
      </c>
      <c r="J10" s="126" t="s">
        <v>380</v>
      </c>
      <c r="K10" s="142">
        <f t="shared" si="0"/>
        <v>0</v>
      </c>
    </row>
    <row r="11" spans="2:11" ht="41.25" customHeight="1" x14ac:dyDescent="0.2">
      <c r="B11" s="174"/>
      <c r="C11" s="186"/>
      <c r="D11" s="56" t="s">
        <v>233</v>
      </c>
      <c r="E11" s="122"/>
      <c r="F11" s="63" t="s">
        <v>382</v>
      </c>
      <c r="G11" s="213">
        <v>1</v>
      </c>
      <c r="H11" s="93">
        <v>0</v>
      </c>
      <c r="I11" s="184">
        <f t="shared" ref="I11:I20" si="1">+G11-H11</f>
        <v>1</v>
      </c>
      <c r="J11" s="126" t="s">
        <v>383</v>
      </c>
      <c r="K11" s="142">
        <f t="shared" si="0"/>
        <v>0</v>
      </c>
    </row>
    <row r="12" spans="2:11" ht="41.25" customHeight="1" x14ac:dyDescent="0.2">
      <c r="B12" s="174"/>
      <c r="C12" s="186"/>
      <c r="D12" s="56" t="s">
        <v>233</v>
      </c>
      <c r="E12" s="122"/>
      <c r="F12" s="63" t="s">
        <v>384</v>
      </c>
      <c r="G12" s="213">
        <v>1</v>
      </c>
      <c r="H12" s="93">
        <v>0</v>
      </c>
      <c r="I12" s="184">
        <f t="shared" si="1"/>
        <v>1</v>
      </c>
      <c r="J12" s="126" t="s">
        <v>397</v>
      </c>
      <c r="K12" s="142">
        <f t="shared" si="0"/>
        <v>0</v>
      </c>
    </row>
    <row r="13" spans="2:11" ht="36.75" customHeight="1" x14ac:dyDescent="0.2">
      <c r="B13" s="174"/>
      <c r="C13" s="186"/>
      <c r="D13" s="56" t="s">
        <v>233</v>
      </c>
      <c r="E13" s="128"/>
      <c r="F13" s="63" t="s">
        <v>452</v>
      </c>
      <c r="G13" s="213">
        <v>6</v>
      </c>
      <c r="H13" s="93">
        <v>0</v>
      </c>
      <c r="I13" s="184">
        <f t="shared" si="1"/>
        <v>6</v>
      </c>
      <c r="J13" s="126" t="s">
        <v>450</v>
      </c>
      <c r="K13" s="142">
        <f t="shared" si="0"/>
        <v>0</v>
      </c>
    </row>
    <row r="14" spans="2:11" ht="43.5" customHeight="1" x14ac:dyDescent="0.2">
      <c r="B14" s="174"/>
      <c r="C14" s="186"/>
      <c r="D14" s="56" t="s">
        <v>233</v>
      </c>
      <c r="E14" s="126" t="s">
        <v>386</v>
      </c>
      <c r="F14" s="63" t="s">
        <v>387</v>
      </c>
      <c r="G14" s="213">
        <v>1</v>
      </c>
      <c r="H14" s="93">
        <v>0</v>
      </c>
      <c r="I14" s="184">
        <f t="shared" si="1"/>
        <v>1</v>
      </c>
      <c r="J14" s="126" t="s">
        <v>27</v>
      </c>
      <c r="K14" s="142">
        <f t="shared" si="0"/>
        <v>0</v>
      </c>
    </row>
    <row r="15" spans="2:11" ht="31.5" customHeight="1" x14ac:dyDescent="0.2">
      <c r="B15" s="174"/>
      <c r="C15" s="186"/>
      <c r="D15" s="56" t="s">
        <v>233</v>
      </c>
      <c r="E15" s="122"/>
      <c r="F15" s="63" t="s">
        <v>388</v>
      </c>
      <c r="G15" s="213">
        <v>1</v>
      </c>
      <c r="H15" s="93">
        <v>0</v>
      </c>
      <c r="I15" s="184">
        <f t="shared" si="1"/>
        <v>1</v>
      </c>
      <c r="J15" s="126" t="s">
        <v>383</v>
      </c>
      <c r="K15" s="142">
        <f t="shared" si="0"/>
        <v>0</v>
      </c>
    </row>
    <row r="16" spans="2:11" ht="31.5" customHeight="1" x14ac:dyDescent="0.2">
      <c r="B16" s="174"/>
      <c r="C16" s="186"/>
      <c r="D16" s="56" t="s">
        <v>233</v>
      </c>
      <c r="E16" s="122"/>
      <c r="F16" s="63" t="s">
        <v>398</v>
      </c>
      <c r="G16" s="213">
        <v>1</v>
      </c>
      <c r="H16" s="93">
        <v>0</v>
      </c>
      <c r="I16" s="184">
        <f t="shared" si="1"/>
        <v>1</v>
      </c>
      <c r="J16" s="69" t="s">
        <v>399</v>
      </c>
      <c r="K16" s="142">
        <f t="shared" si="0"/>
        <v>0</v>
      </c>
    </row>
    <row r="17" spans="2:12" ht="31.5" customHeight="1" x14ac:dyDescent="0.2">
      <c r="B17" s="174"/>
      <c r="C17" s="186"/>
      <c r="D17" s="56" t="s">
        <v>233</v>
      </c>
      <c r="E17" s="122"/>
      <c r="F17" s="63" t="s">
        <v>405</v>
      </c>
      <c r="G17" s="213">
        <v>3</v>
      </c>
      <c r="H17" s="93">
        <v>0</v>
      </c>
      <c r="I17" s="184">
        <f t="shared" si="1"/>
        <v>3</v>
      </c>
      <c r="J17" s="126" t="s">
        <v>11</v>
      </c>
      <c r="K17" s="142">
        <f t="shared" si="0"/>
        <v>0</v>
      </c>
    </row>
    <row r="18" spans="2:12" ht="31.5" customHeight="1" x14ac:dyDescent="0.2">
      <c r="B18" s="174"/>
      <c r="C18" s="186"/>
      <c r="D18" s="56" t="s">
        <v>233</v>
      </c>
      <c r="E18" s="122"/>
      <c r="F18" s="63"/>
      <c r="G18" s="213">
        <v>1</v>
      </c>
      <c r="H18" s="93">
        <v>0</v>
      </c>
      <c r="I18" s="184">
        <f t="shared" si="1"/>
        <v>1</v>
      </c>
      <c r="J18" s="69" t="s">
        <v>450</v>
      </c>
      <c r="K18" s="142">
        <f t="shared" si="0"/>
        <v>0</v>
      </c>
    </row>
    <row r="19" spans="2:12" ht="31.5" customHeight="1" x14ac:dyDescent="0.2">
      <c r="B19" s="174"/>
      <c r="C19" s="186"/>
      <c r="D19" s="56" t="s">
        <v>233</v>
      </c>
      <c r="E19" s="122"/>
      <c r="F19" s="63" t="s">
        <v>460</v>
      </c>
      <c r="G19" s="213">
        <v>1</v>
      </c>
      <c r="H19" s="93">
        <v>0</v>
      </c>
      <c r="I19" s="184">
        <f t="shared" si="1"/>
        <v>1</v>
      </c>
      <c r="J19" s="126" t="s">
        <v>397</v>
      </c>
      <c r="K19" s="142">
        <f t="shared" si="0"/>
        <v>0</v>
      </c>
    </row>
    <row r="20" spans="2:12" ht="31.5" customHeight="1" x14ac:dyDescent="0.2">
      <c r="B20" s="174"/>
      <c r="C20" s="189"/>
      <c r="D20" s="56" t="s">
        <v>233</v>
      </c>
      <c r="E20" s="127" t="s">
        <v>400</v>
      </c>
      <c r="F20" s="63" t="s">
        <v>401</v>
      </c>
      <c r="G20" s="213">
        <v>4</v>
      </c>
      <c r="H20" s="93">
        <v>0</v>
      </c>
      <c r="I20" s="184">
        <f t="shared" si="1"/>
        <v>4</v>
      </c>
      <c r="J20" s="69" t="s">
        <v>399</v>
      </c>
      <c r="K20" s="142">
        <f t="shared" si="0"/>
        <v>0</v>
      </c>
    </row>
    <row r="21" spans="2:12" ht="17.25" hidden="1" customHeight="1" x14ac:dyDescent="0.2">
      <c r="B21" s="185" t="s">
        <v>30</v>
      </c>
      <c r="C21" s="185" t="s">
        <v>31</v>
      </c>
      <c r="D21" s="171" t="s">
        <v>234</v>
      </c>
      <c r="E21" s="126" t="s">
        <v>29</v>
      </c>
      <c r="F21" s="63" t="s">
        <v>264</v>
      </c>
      <c r="G21" s="172">
        <v>105</v>
      </c>
      <c r="H21" s="33">
        <f>141+57</f>
        <v>198</v>
      </c>
      <c r="I21" s="35">
        <f t="shared" ref="I21:I28" si="2">+G21-H21</f>
        <v>-93</v>
      </c>
      <c r="J21" s="126" t="s">
        <v>34</v>
      </c>
      <c r="K21" s="107">
        <f t="shared" si="0"/>
        <v>1</v>
      </c>
    </row>
    <row r="22" spans="2:12" ht="62.25" customHeight="1" x14ac:dyDescent="0.2">
      <c r="B22" s="188"/>
      <c r="C22" s="188"/>
      <c r="D22" s="171" t="s">
        <v>234</v>
      </c>
      <c r="E22" s="122" t="s">
        <v>29</v>
      </c>
      <c r="F22" s="127" t="s">
        <v>265</v>
      </c>
      <c r="G22" s="172">
        <v>1</v>
      </c>
      <c r="H22" s="33"/>
      <c r="I22" s="33">
        <v>7</v>
      </c>
      <c r="J22" s="127" t="s">
        <v>394</v>
      </c>
      <c r="K22" s="133">
        <f t="shared" si="0"/>
        <v>0</v>
      </c>
    </row>
    <row r="23" spans="2:12" ht="37.5" customHeight="1" x14ac:dyDescent="0.2">
      <c r="B23" s="189"/>
      <c r="C23" s="189"/>
      <c r="D23" s="171" t="s">
        <v>233</v>
      </c>
      <c r="E23" s="128"/>
      <c r="F23" s="128" t="s">
        <v>299</v>
      </c>
      <c r="G23" s="172">
        <v>1</v>
      </c>
      <c r="H23" s="33"/>
      <c r="I23" s="211">
        <f t="shared" si="2"/>
        <v>1</v>
      </c>
      <c r="J23" s="122" t="s">
        <v>34</v>
      </c>
      <c r="K23" s="141">
        <f t="shared" si="0"/>
        <v>0</v>
      </c>
    </row>
    <row r="24" spans="2:12" ht="29.45" customHeight="1" x14ac:dyDescent="0.2">
      <c r="B24" s="188" t="s">
        <v>32</v>
      </c>
      <c r="C24" s="188" t="s">
        <v>33</v>
      </c>
      <c r="D24" s="56" t="s">
        <v>234</v>
      </c>
      <c r="E24" s="126" t="s">
        <v>297</v>
      </c>
      <c r="F24" s="127" t="s">
        <v>300</v>
      </c>
      <c r="G24" s="33">
        <f>3500+4000+4500+5000</f>
        <v>17000</v>
      </c>
      <c r="H24" s="33">
        <f>6753+7600+9277+13675+28564</f>
        <v>65869</v>
      </c>
      <c r="I24" s="35">
        <v>5000</v>
      </c>
      <c r="J24" s="126" t="s">
        <v>34</v>
      </c>
      <c r="K24" s="107">
        <f t="shared" si="0"/>
        <v>1</v>
      </c>
    </row>
    <row r="25" spans="2:12" ht="29.45" customHeight="1" x14ac:dyDescent="0.2">
      <c r="B25" s="188"/>
      <c r="C25" s="188"/>
      <c r="D25" s="56" t="s">
        <v>233</v>
      </c>
      <c r="E25" s="128"/>
      <c r="F25" s="127" t="s">
        <v>298</v>
      </c>
      <c r="G25" s="33">
        <v>1</v>
      </c>
      <c r="H25" s="33">
        <v>0</v>
      </c>
      <c r="I25" s="35">
        <f t="shared" si="2"/>
        <v>1</v>
      </c>
      <c r="J25" s="122"/>
      <c r="K25" s="141">
        <f t="shared" si="0"/>
        <v>0</v>
      </c>
    </row>
    <row r="26" spans="2:12" ht="31.5" customHeight="1" x14ac:dyDescent="0.2">
      <c r="B26" s="188"/>
      <c r="C26" s="188"/>
      <c r="D26" s="56" t="s">
        <v>234</v>
      </c>
      <c r="E26" s="126" t="s">
        <v>209</v>
      </c>
      <c r="F26" s="127" t="s">
        <v>300</v>
      </c>
      <c r="G26" s="33">
        <f>2500+3000+3500+4000</f>
        <v>13000</v>
      </c>
      <c r="H26" s="33">
        <f>1944+2738+416+1287+3240</f>
        <v>9625</v>
      </c>
      <c r="I26" s="35">
        <f t="shared" si="2"/>
        <v>3375</v>
      </c>
      <c r="J26" s="122"/>
      <c r="K26" s="135">
        <f t="shared" si="0"/>
        <v>0.74038461538461542</v>
      </c>
    </row>
    <row r="27" spans="2:12" ht="31.5" customHeight="1" x14ac:dyDescent="0.2">
      <c r="B27" s="188"/>
      <c r="C27" s="188"/>
      <c r="D27" s="56" t="s">
        <v>233</v>
      </c>
      <c r="E27" s="128"/>
      <c r="F27" s="127" t="s">
        <v>298</v>
      </c>
      <c r="G27" s="33">
        <v>1</v>
      </c>
      <c r="H27" s="33">
        <v>0</v>
      </c>
      <c r="I27" s="35">
        <f t="shared" si="2"/>
        <v>1</v>
      </c>
      <c r="J27" s="128"/>
      <c r="K27" s="141">
        <f t="shared" si="0"/>
        <v>0</v>
      </c>
    </row>
    <row r="28" spans="2:12" ht="48" customHeight="1" x14ac:dyDescent="0.2">
      <c r="B28" s="188"/>
      <c r="C28" s="188"/>
      <c r="D28" s="56" t="s">
        <v>233</v>
      </c>
      <c r="E28" s="127" t="s">
        <v>210</v>
      </c>
      <c r="F28" s="127" t="s">
        <v>365</v>
      </c>
      <c r="G28" s="33">
        <v>200</v>
      </c>
      <c r="H28" s="33">
        <f>36+27</f>
        <v>63</v>
      </c>
      <c r="I28" s="33">
        <f t="shared" si="2"/>
        <v>137</v>
      </c>
      <c r="J28" s="127" t="s">
        <v>28</v>
      </c>
      <c r="K28" s="133">
        <f t="shared" si="0"/>
        <v>0.315</v>
      </c>
      <c r="L28" s="169" t="e">
        <f>(K3+K6+K8+K21+K22+#REF!+K24+K26)/8</f>
        <v>#REF!</v>
      </c>
    </row>
    <row r="29" spans="2:12" x14ac:dyDescent="0.2">
      <c r="K29" s="47"/>
    </row>
    <row r="30" spans="2:12" ht="12.95" hidden="1" customHeight="1" x14ac:dyDescent="0.2">
      <c r="B30" s="143"/>
      <c r="C30" s="3" t="s">
        <v>480</v>
      </c>
      <c r="E30" s="198" t="s">
        <v>481</v>
      </c>
      <c r="F30" s="198"/>
      <c r="G30" s="198"/>
      <c r="H30" s="198"/>
      <c r="I30" s="198"/>
      <c r="J30" s="198"/>
      <c r="K30" s="198"/>
    </row>
    <row r="31" spans="2:12" hidden="1" x14ac:dyDescent="0.2">
      <c r="B31" s="145"/>
      <c r="C31" s="3" t="s">
        <v>479</v>
      </c>
      <c r="E31" s="199"/>
      <c r="F31" s="199" t="s">
        <v>482</v>
      </c>
      <c r="G31" s="10"/>
      <c r="H31" s="200"/>
      <c r="I31" s="200"/>
      <c r="J31" s="201"/>
      <c r="K31" s="201"/>
    </row>
    <row r="32" spans="2:12" hidden="1" x14ac:dyDescent="0.2">
      <c r="B32" s="144"/>
      <c r="C32" s="3" t="s">
        <v>476</v>
      </c>
      <c r="D32" s="3" t="s">
        <v>478</v>
      </c>
    </row>
    <row r="33" spans="2:4" hidden="1" x14ac:dyDescent="0.2">
      <c r="B33" s="146"/>
      <c r="C33" s="3" t="s">
        <v>477</v>
      </c>
      <c r="D33" s="3" t="s">
        <v>478</v>
      </c>
    </row>
    <row r="34" spans="2:4" hidden="1" x14ac:dyDescent="0.2"/>
    <row r="35" spans="2:4" hidden="1" x14ac:dyDescent="0.2"/>
  </sheetData>
  <sheetProtection algorithmName="SHA-512" hashValue="uaemMv2pF0aTE1R+a2mSjztBIBlRZ8Mc4awjr8f7TQU6ROosHu7X38KNyIiEzm1a7W8fHNgx7bQz7K5LyPnryQ==" saltValue="i1Djauz/x5wVTGlFwFqLgg==" spinCount="100000" sheet="1" selectLockedCells="1" selectUnlockedCells="1"/>
  <autoFilter ref="J2:J29" xr:uid="{00000000-0009-0000-0000-000002000000}"/>
  <mergeCells count="10">
    <mergeCell ref="E30:K30"/>
    <mergeCell ref="C21:C23"/>
    <mergeCell ref="B21:B23"/>
    <mergeCell ref="C6:C8"/>
    <mergeCell ref="C4:C5"/>
    <mergeCell ref="B24:B28"/>
    <mergeCell ref="B3:B5"/>
    <mergeCell ref="B6:B9"/>
    <mergeCell ref="C24:C28"/>
    <mergeCell ref="C9:C20"/>
  </mergeCells>
  <pageMargins left="0.70866141732283472" right="0.70866141732283472" top="0.74803149606299213" bottom="0.74803149606299213" header="0.31496062992125984" footer="0.31496062992125984"/>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U83"/>
  <sheetViews>
    <sheetView zoomScaleNormal="100" workbookViewId="0">
      <selection activeCell="E13" sqref="E13"/>
    </sheetView>
  </sheetViews>
  <sheetFormatPr baseColWidth="10" defaultColWidth="10.85546875" defaultRowHeight="12.75" x14ac:dyDescent="0.2"/>
  <cols>
    <col min="1" max="1" width="1.28515625" style="3" customWidth="1"/>
    <col min="2" max="2" width="15.42578125" style="3" hidden="1" customWidth="1"/>
    <col min="3" max="4" width="17.140625" style="3" customWidth="1"/>
    <col min="5" max="5" width="8.28515625" style="3" hidden="1" customWidth="1"/>
    <col min="6" max="6" width="49.140625" style="8" customWidth="1"/>
    <col min="7" max="7" width="47.5703125" style="8" customWidth="1"/>
    <col min="8" max="8" width="8.140625" style="37" hidden="1" customWidth="1"/>
    <col min="9" max="9" width="11.85546875" style="10" hidden="1" customWidth="1"/>
    <col min="10" max="10" width="17.140625" style="10" customWidth="1"/>
    <col min="11" max="11" width="26.140625" style="115" customWidth="1"/>
    <col min="12" max="12" width="20.5703125" style="8" hidden="1" customWidth="1"/>
    <col min="13" max="13" width="15.5703125" style="3" hidden="1" customWidth="1"/>
    <col min="14" max="19" width="10.85546875" style="3"/>
    <col min="20" max="21" width="0" style="3" hidden="1" customWidth="1"/>
    <col min="22" max="16384" width="10.85546875" style="3"/>
  </cols>
  <sheetData>
    <row r="2" spans="2:13" ht="30" customHeight="1" x14ac:dyDescent="0.2">
      <c r="B2" s="7" t="s">
        <v>179</v>
      </c>
      <c r="C2" s="7" t="s">
        <v>5</v>
      </c>
      <c r="D2" s="7" t="s">
        <v>6</v>
      </c>
      <c r="E2" s="7"/>
      <c r="F2" s="7" t="s">
        <v>2</v>
      </c>
      <c r="G2" s="40" t="s">
        <v>3</v>
      </c>
      <c r="H2" s="1" t="s">
        <v>166</v>
      </c>
      <c r="I2" s="7" t="s">
        <v>170</v>
      </c>
      <c r="J2" s="7">
        <v>2019</v>
      </c>
      <c r="K2" s="7" t="s">
        <v>416</v>
      </c>
      <c r="L2" s="112" t="s">
        <v>417</v>
      </c>
      <c r="M2" s="51">
        <v>1</v>
      </c>
    </row>
    <row r="3" spans="2:13" ht="45.95" customHeight="1" x14ac:dyDescent="0.2">
      <c r="B3" s="43"/>
      <c r="C3" s="186" t="s">
        <v>35</v>
      </c>
      <c r="D3" s="173" t="s">
        <v>171</v>
      </c>
      <c r="E3" s="56" t="s">
        <v>233</v>
      </c>
      <c r="F3" s="63" t="s">
        <v>186</v>
      </c>
      <c r="G3" s="80" t="s">
        <v>507</v>
      </c>
      <c r="H3" s="41">
        <v>15</v>
      </c>
      <c r="I3" s="35">
        <v>10</v>
      </c>
      <c r="J3" s="33">
        <v>10</v>
      </c>
      <c r="K3" s="127" t="s">
        <v>325</v>
      </c>
      <c r="L3" s="49"/>
      <c r="M3" s="133">
        <f t="shared" ref="M3:M76" si="0">IF((I3/H3)&lt;100%,(I3/H3),100%)</f>
        <v>0.66666666666666663</v>
      </c>
    </row>
    <row r="4" spans="2:13" ht="62.25" hidden="1" customHeight="1" x14ac:dyDescent="0.2">
      <c r="B4" s="50"/>
      <c r="C4" s="186"/>
      <c r="D4" s="185" t="s">
        <v>36</v>
      </c>
      <c r="E4" s="56" t="s">
        <v>234</v>
      </c>
      <c r="F4" s="61" t="s">
        <v>183</v>
      </c>
      <c r="G4" s="80" t="s">
        <v>243</v>
      </c>
      <c r="H4" s="33">
        <f>1+2+2+2+1+1+1+2+2+1</f>
        <v>15</v>
      </c>
      <c r="I4" s="33">
        <f>1+2+5+3+1+4+3</f>
        <v>19</v>
      </c>
      <c r="J4" s="33">
        <f t="shared" ref="J4:J76" si="1">+H4-I4</f>
        <v>-4</v>
      </c>
      <c r="K4" s="127" t="s">
        <v>156</v>
      </c>
      <c r="L4" s="147"/>
      <c r="M4" s="107">
        <f t="shared" si="0"/>
        <v>1</v>
      </c>
    </row>
    <row r="5" spans="2:13" ht="49.5" customHeight="1" x14ac:dyDescent="0.2">
      <c r="B5" s="50"/>
      <c r="C5" s="186"/>
      <c r="D5" s="186"/>
      <c r="E5" s="56" t="s">
        <v>233</v>
      </c>
      <c r="F5" s="126" t="s">
        <v>366</v>
      </c>
      <c r="G5" s="80" t="s">
        <v>327</v>
      </c>
      <c r="H5" s="33">
        <v>2</v>
      </c>
      <c r="I5" s="33">
        <v>1</v>
      </c>
      <c r="J5" s="33">
        <f>+H5-I5</f>
        <v>1</v>
      </c>
      <c r="K5" s="122" t="s">
        <v>172</v>
      </c>
      <c r="L5" s="148"/>
      <c r="M5" s="135">
        <f t="shared" si="0"/>
        <v>0.5</v>
      </c>
    </row>
    <row r="6" spans="2:13" ht="45.95" customHeight="1" x14ac:dyDescent="0.2">
      <c r="B6" s="50"/>
      <c r="C6" s="186"/>
      <c r="D6" s="188" t="s">
        <v>48</v>
      </c>
      <c r="E6" s="56" t="s">
        <v>233</v>
      </c>
      <c r="F6" s="61" t="s">
        <v>42</v>
      </c>
      <c r="G6" s="203" t="s">
        <v>43</v>
      </c>
      <c r="H6" s="214">
        <v>1</v>
      </c>
      <c r="I6" s="64">
        <v>0.5</v>
      </c>
      <c r="J6" s="39">
        <f t="shared" si="1"/>
        <v>0.5</v>
      </c>
      <c r="K6" s="126" t="s">
        <v>155</v>
      </c>
      <c r="L6" s="138"/>
      <c r="M6" s="135">
        <f t="shared" si="0"/>
        <v>0.5</v>
      </c>
    </row>
    <row r="7" spans="2:13" ht="45.95" customHeight="1" x14ac:dyDescent="0.2">
      <c r="B7" s="50"/>
      <c r="C7" s="186"/>
      <c r="D7" s="188"/>
      <c r="E7" s="56" t="s">
        <v>234</v>
      </c>
      <c r="F7" s="63" t="s">
        <v>44</v>
      </c>
      <c r="G7" s="80" t="s">
        <v>45</v>
      </c>
      <c r="H7" s="34">
        <v>1</v>
      </c>
      <c r="I7" s="64">
        <v>0.8</v>
      </c>
      <c r="J7" s="109">
        <f t="shared" si="1"/>
        <v>0.19999999999999996</v>
      </c>
      <c r="K7" s="122"/>
      <c r="L7" s="110"/>
      <c r="M7" s="149">
        <f t="shared" si="0"/>
        <v>0.8</v>
      </c>
    </row>
    <row r="8" spans="2:13" ht="40.5" customHeight="1" x14ac:dyDescent="0.2">
      <c r="B8" s="50"/>
      <c r="C8" s="186"/>
      <c r="D8" s="188"/>
      <c r="E8" s="56" t="s">
        <v>234</v>
      </c>
      <c r="F8" s="63" t="s">
        <v>46</v>
      </c>
      <c r="G8" s="80" t="s">
        <v>244</v>
      </c>
      <c r="H8" s="34">
        <v>1</v>
      </c>
      <c r="I8" s="64">
        <v>0.1</v>
      </c>
      <c r="J8" s="109">
        <f t="shared" si="1"/>
        <v>0.9</v>
      </c>
      <c r="K8" s="122"/>
      <c r="L8" s="110"/>
      <c r="M8" s="149">
        <f t="shared" si="0"/>
        <v>0.1</v>
      </c>
    </row>
    <row r="9" spans="2:13" ht="40.5" hidden="1" customHeight="1" x14ac:dyDescent="0.2">
      <c r="B9" s="50"/>
      <c r="C9" s="186"/>
      <c r="D9" s="188"/>
      <c r="E9" s="56" t="s">
        <v>234</v>
      </c>
      <c r="F9" s="61" t="s">
        <v>47</v>
      </c>
      <c r="G9" s="80" t="s">
        <v>245</v>
      </c>
      <c r="H9" s="33">
        <v>1</v>
      </c>
      <c r="I9" s="150">
        <v>1</v>
      </c>
      <c r="J9" s="82">
        <f t="shared" si="1"/>
        <v>0</v>
      </c>
      <c r="K9" s="128"/>
      <c r="L9" s="111"/>
      <c r="M9" s="149">
        <f t="shared" si="0"/>
        <v>1</v>
      </c>
    </row>
    <row r="10" spans="2:13" ht="39" customHeight="1" x14ac:dyDescent="0.2">
      <c r="B10" s="50"/>
      <c r="C10" s="186"/>
      <c r="D10" s="185" t="s">
        <v>49</v>
      </c>
      <c r="E10" s="56" t="s">
        <v>234</v>
      </c>
      <c r="F10" s="126" t="s">
        <v>483</v>
      </c>
      <c r="G10" s="126" t="s">
        <v>242</v>
      </c>
      <c r="H10" s="33">
        <v>15</v>
      </c>
      <c r="I10" s="36">
        <v>6</v>
      </c>
      <c r="J10" s="33">
        <f t="shared" si="1"/>
        <v>9</v>
      </c>
      <c r="K10" s="122" t="s">
        <v>157</v>
      </c>
      <c r="L10" s="70"/>
      <c r="M10" s="133">
        <f t="shared" si="0"/>
        <v>0.4</v>
      </c>
    </row>
    <row r="11" spans="2:13" ht="28.5" hidden="1" customHeight="1" x14ac:dyDescent="0.2">
      <c r="B11" s="50"/>
      <c r="C11" s="186"/>
      <c r="D11" s="186"/>
      <c r="E11" s="56" t="s">
        <v>234</v>
      </c>
      <c r="F11" s="32"/>
      <c r="G11" s="126" t="s">
        <v>189</v>
      </c>
      <c r="H11" s="33">
        <v>35</v>
      </c>
      <c r="I11" s="36">
        <v>48</v>
      </c>
      <c r="J11" s="33">
        <f t="shared" si="1"/>
        <v>-13</v>
      </c>
      <c r="K11" s="122"/>
      <c r="L11" s="70"/>
      <c r="M11" s="133">
        <f t="shared" si="0"/>
        <v>1</v>
      </c>
    </row>
    <row r="12" spans="2:13" ht="28.5" customHeight="1" x14ac:dyDescent="0.2">
      <c r="B12" s="50"/>
      <c r="C12" s="186"/>
      <c r="D12" s="186"/>
      <c r="E12" s="56" t="s">
        <v>234</v>
      </c>
      <c r="F12" s="32"/>
      <c r="G12" s="127" t="s">
        <v>191</v>
      </c>
      <c r="H12" s="33">
        <v>1</v>
      </c>
      <c r="I12" s="36">
        <v>10</v>
      </c>
      <c r="J12" s="33">
        <v>10</v>
      </c>
      <c r="K12" s="122"/>
      <c r="L12" s="70"/>
      <c r="M12" s="133">
        <f t="shared" si="0"/>
        <v>1</v>
      </c>
    </row>
    <row r="13" spans="2:13" ht="28.5" customHeight="1" x14ac:dyDescent="0.2">
      <c r="B13" s="50"/>
      <c r="C13" s="186"/>
      <c r="D13" s="186"/>
      <c r="E13" s="56" t="s">
        <v>234</v>
      </c>
      <c r="F13" s="31"/>
      <c r="G13" s="127" t="s">
        <v>339</v>
      </c>
      <c r="H13" s="33">
        <v>1</v>
      </c>
      <c r="I13" s="36"/>
      <c r="J13" s="33">
        <f t="shared" si="1"/>
        <v>1</v>
      </c>
      <c r="K13" s="122"/>
      <c r="L13" s="70"/>
      <c r="M13" s="133">
        <f t="shared" si="0"/>
        <v>0</v>
      </c>
    </row>
    <row r="14" spans="2:13" ht="28.5" customHeight="1" x14ac:dyDescent="0.2">
      <c r="B14" s="50"/>
      <c r="C14" s="186"/>
      <c r="D14" s="186"/>
      <c r="E14" s="56" t="s">
        <v>234</v>
      </c>
      <c r="F14" s="126" t="s">
        <v>484</v>
      </c>
      <c r="G14" s="126" t="s">
        <v>192</v>
      </c>
      <c r="H14" s="33">
        <v>1</v>
      </c>
      <c r="I14" s="36">
        <v>10</v>
      </c>
      <c r="J14" s="33">
        <v>10</v>
      </c>
      <c r="K14" s="122"/>
      <c r="L14" s="70"/>
      <c r="M14" s="133">
        <f t="shared" si="0"/>
        <v>1</v>
      </c>
    </row>
    <row r="15" spans="2:13" ht="28.5" hidden="1" customHeight="1" x14ac:dyDescent="0.2">
      <c r="B15" s="50"/>
      <c r="C15" s="186"/>
      <c r="D15" s="186"/>
      <c r="E15" s="56" t="s">
        <v>234</v>
      </c>
      <c r="F15" s="32"/>
      <c r="G15" s="126" t="s">
        <v>190</v>
      </c>
      <c r="H15" s="33">
        <v>1</v>
      </c>
      <c r="I15" s="151">
        <v>300</v>
      </c>
      <c r="J15" s="33">
        <f t="shared" si="1"/>
        <v>-299</v>
      </c>
      <c r="K15" s="122"/>
      <c r="L15" s="70"/>
      <c r="M15" s="133">
        <f t="shared" si="0"/>
        <v>1</v>
      </c>
    </row>
    <row r="16" spans="2:13" s="9" customFormat="1" ht="28.5" customHeight="1" x14ac:dyDescent="0.2">
      <c r="B16" s="50"/>
      <c r="C16" s="186"/>
      <c r="D16" s="186"/>
      <c r="E16" s="56" t="s">
        <v>235</v>
      </c>
      <c r="F16" s="32"/>
      <c r="G16" s="126" t="s">
        <v>193</v>
      </c>
      <c r="H16" s="33">
        <v>1</v>
      </c>
      <c r="I16" s="152"/>
      <c r="J16" s="33">
        <f t="shared" si="1"/>
        <v>1</v>
      </c>
      <c r="K16" s="122"/>
      <c r="L16" s="70"/>
      <c r="M16" s="133">
        <f t="shared" si="0"/>
        <v>0</v>
      </c>
    </row>
    <row r="17" spans="2:13" s="9" customFormat="1" ht="28.5" customHeight="1" x14ac:dyDescent="0.2">
      <c r="B17" s="50"/>
      <c r="C17" s="186"/>
      <c r="D17" s="186"/>
      <c r="E17" s="56" t="s">
        <v>235</v>
      </c>
      <c r="F17" s="32"/>
      <c r="G17" s="126" t="s">
        <v>196</v>
      </c>
      <c r="H17" s="33">
        <v>4</v>
      </c>
      <c r="I17" s="93">
        <v>3</v>
      </c>
      <c r="J17" s="33">
        <f t="shared" si="1"/>
        <v>1</v>
      </c>
      <c r="K17" s="122"/>
      <c r="L17" s="70"/>
      <c r="M17" s="133">
        <f t="shared" si="0"/>
        <v>0.75</v>
      </c>
    </row>
    <row r="18" spans="2:13" s="9" customFormat="1" ht="28.5" customHeight="1" x14ac:dyDescent="0.2">
      <c r="B18" s="50"/>
      <c r="C18" s="189"/>
      <c r="D18" s="189"/>
      <c r="E18" s="56" t="s">
        <v>235</v>
      </c>
      <c r="F18" s="31"/>
      <c r="G18" s="126" t="s">
        <v>197</v>
      </c>
      <c r="H18" s="33">
        <v>4</v>
      </c>
      <c r="I18" s="93">
        <v>3</v>
      </c>
      <c r="J18" s="33">
        <f t="shared" si="1"/>
        <v>1</v>
      </c>
      <c r="K18" s="122"/>
      <c r="L18" s="70"/>
      <c r="M18" s="133">
        <f t="shared" si="0"/>
        <v>0.75</v>
      </c>
    </row>
    <row r="19" spans="2:13" customFormat="1" ht="53.25" hidden="1" customHeight="1" x14ac:dyDescent="0.25">
      <c r="B19" s="50"/>
      <c r="C19" s="185" t="s">
        <v>116</v>
      </c>
      <c r="D19" s="185" t="s">
        <v>117</v>
      </c>
      <c r="E19" s="56" t="s">
        <v>233</v>
      </c>
      <c r="F19" s="63" t="s">
        <v>118</v>
      </c>
      <c r="G19" s="80" t="s">
        <v>246</v>
      </c>
      <c r="H19" s="33">
        <v>1</v>
      </c>
      <c r="I19" s="36">
        <v>1</v>
      </c>
      <c r="J19" s="33">
        <f t="shared" si="1"/>
        <v>0</v>
      </c>
      <c r="K19" s="126" t="s">
        <v>11</v>
      </c>
      <c r="L19" s="62"/>
      <c r="M19" s="90">
        <f t="shared" si="0"/>
        <v>1</v>
      </c>
    </row>
    <row r="20" spans="2:13" customFormat="1" ht="39" customHeight="1" x14ac:dyDescent="0.25">
      <c r="B20" s="50"/>
      <c r="C20" s="186"/>
      <c r="D20" s="186"/>
      <c r="E20" s="56" t="s">
        <v>235</v>
      </c>
      <c r="F20" s="61" t="s">
        <v>119</v>
      </c>
      <c r="G20" s="80" t="s">
        <v>232</v>
      </c>
      <c r="H20" s="33">
        <v>6</v>
      </c>
      <c r="I20" s="100">
        <v>3</v>
      </c>
      <c r="J20" s="33">
        <f t="shared" si="1"/>
        <v>3</v>
      </c>
      <c r="K20" s="126" t="s">
        <v>11</v>
      </c>
      <c r="L20" s="69"/>
      <c r="M20" s="133">
        <f t="shared" si="0"/>
        <v>0.5</v>
      </c>
    </row>
    <row r="21" spans="2:13" ht="41.25" hidden="1" customHeight="1" x14ac:dyDescent="0.2">
      <c r="B21" s="50"/>
      <c r="C21" s="186"/>
      <c r="D21" s="72" t="s">
        <v>50</v>
      </c>
      <c r="E21" s="56" t="s">
        <v>234</v>
      </c>
      <c r="F21" s="61" t="s">
        <v>138</v>
      </c>
      <c r="G21" s="80" t="s">
        <v>246</v>
      </c>
      <c r="H21" s="33">
        <v>1</v>
      </c>
      <c r="I21" s="36">
        <v>1</v>
      </c>
      <c r="J21" s="33">
        <f t="shared" si="1"/>
        <v>0</v>
      </c>
      <c r="K21" s="126" t="s">
        <v>10</v>
      </c>
      <c r="L21" s="69"/>
      <c r="M21" s="133">
        <f t="shared" si="0"/>
        <v>1</v>
      </c>
    </row>
    <row r="22" spans="2:13" ht="41.25" hidden="1" customHeight="1" x14ac:dyDescent="0.2">
      <c r="B22" s="50"/>
      <c r="C22" s="186"/>
      <c r="D22" s="73"/>
      <c r="E22" s="56" t="s">
        <v>234</v>
      </c>
      <c r="F22" s="63" t="s">
        <v>51</v>
      </c>
      <c r="G22" s="80" t="s">
        <v>246</v>
      </c>
      <c r="H22" s="33">
        <v>1</v>
      </c>
      <c r="I22" s="36">
        <v>1</v>
      </c>
      <c r="J22" s="33">
        <f t="shared" si="1"/>
        <v>0</v>
      </c>
      <c r="K22" s="122"/>
      <c r="L22" s="70"/>
      <c r="M22" s="133">
        <f t="shared" si="0"/>
        <v>1</v>
      </c>
    </row>
    <row r="23" spans="2:13" ht="45" customHeight="1" x14ac:dyDescent="0.2">
      <c r="B23" s="50"/>
      <c r="C23" s="186"/>
      <c r="D23" s="185" t="s">
        <v>50</v>
      </c>
      <c r="E23" s="56" t="s">
        <v>235</v>
      </c>
      <c r="F23" s="61" t="s">
        <v>248</v>
      </c>
      <c r="G23" s="80" t="s">
        <v>194</v>
      </c>
      <c r="H23" s="33">
        <v>200</v>
      </c>
      <c r="I23" s="36"/>
      <c r="J23" s="33">
        <f t="shared" si="1"/>
        <v>200</v>
      </c>
      <c r="K23" s="126" t="s">
        <v>10</v>
      </c>
      <c r="L23" s="70"/>
      <c r="M23" s="133">
        <f t="shared" si="0"/>
        <v>0</v>
      </c>
    </row>
    <row r="24" spans="2:13" ht="45" customHeight="1" x14ac:dyDescent="0.2">
      <c r="B24" s="50"/>
      <c r="C24" s="186"/>
      <c r="D24" s="189"/>
      <c r="E24" s="56" t="s">
        <v>235</v>
      </c>
      <c r="F24" s="63" t="s">
        <v>249</v>
      </c>
      <c r="G24" s="80" t="s">
        <v>195</v>
      </c>
      <c r="H24" s="33">
        <v>3</v>
      </c>
      <c r="I24" s="36"/>
      <c r="J24" s="33">
        <f t="shared" si="1"/>
        <v>3</v>
      </c>
      <c r="K24" s="128"/>
      <c r="L24" s="55"/>
      <c r="M24" s="133">
        <f t="shared" si="0"/>
        <v>0</v>
      </c>
    </row>
    <row r="25" spans="2:13" ht="51" customHeight="1" x14ac:dyDescent="0.2">
      <c r="B25" s="50"/>
      <c r="C25" s="186"/>
      <c r="D25" s="185" t="s">
        <v>52</v>
      </c>
      <c r="E25" s="56" t="s">
        <v>234</v>
      </c>
      <c r="F25" s="63" t="s">
        <v>453</v>
      </c>
      <c r="G25" s="80" t="s">
        <v>454</v>
      </c>
      <c r="H25" s="150">
        <v>1</v>
      </c>
      <c r="I25" s="36">
        <v>0</v>
      </c>
      <c r="J25" s="33">
        <f t="shared" si="1"/>
        <v>1</v>
      </c>
      <c r="K25" s="126" t="s">
        <v>156</v>
      </c>
      <c r="L25" s="69"/>
      <c r="M25" s="133">
        <f t="shared" si="0"/>
        <v>0</v>
      </c>
    </row>
    <row r="26" spans="2:13" ht="61.5" customHeight="1" x14ac:dyDescent="0.2">
      <c r="B26" s="50"/>
      <c r="C26" s="186"/>
      <c r="D26" s="186"/>
      <c r="E26" s="56" t="s">
        <v>235</v>
      </c>
      <c r="F26" s="61" t="s">
        <v>211</v>
      </c>
      <c r="G26" s="80" t="s">
        <v>53</v>
      </c>
      <c r="H26" s="41">
        <v>1</v>
      </c>
      <c r="I26" s="153">
        <v>0</v>
      </c>
      <c r="J26" s="33">
        <f t="shared" si="1"/>
        <v>1</v>
      </c>
      <c r="K26" s="122"/>
      <c r="L26" s="70"/>
      <c r="M26" s="133">
        <f t="shared" si="0"/>
        <v>0</v>
      </c>
    </row>
    <row r="27" spans="2:13" ht="121.5" customHeight="1" x14ac:dyDescent="0.2">
      <c r="B27" s="42" t="s">
        <v>174</v>
      </c>
      <c r="C27" s="173" t="s">
        <v>54</v>
      </c>
      <c r="D27" s="173" t="s">
        <v>55</v>
      </c>
      <c r="E27" s="56" t="s">
        <v>233</v>
      </c>
      <c r="F27" s="215" t="s">
        <v>407</v>
      </c>
      <c r="G27" s="80" t="s">
        <v>494</v>
      </c>
      <c r="H27" s="33">
        <f>5+2+4+1+1+1+1</f>
        <v>15</v>
      </c>
      <c r="I27" s="36">
        <v>7</v>
      </c>
      <c r="J27" s="33">
        <f>+H27-I27</f>
        <v>8</v>
      </c>
      <c r="K27" s="126" t="s">
        <v>250</v>
      </c>
      <c r="L27" s="62"/>
      <c r="M27" s="90">
        <f t="shared" si="0"/>
        <v>0.46666666666666667</v>
      </c>
    </row>
    <row r="28" spans="2:13" ht="57.75" customHeight="1" x14ac:dyDescent="0.2">
      <c r="B28" s="190" t="s">
        <v>173</v>
      </c>
      <c r="C28" s="185" t="s">
        <v>57</v>
      </c>
      <c r="D28" s="185" t="s">
        <v>60</v>
      </c>
      <c r="E28" s="56" t="s">
        <v>233</v>
      </c>
      <c r="F28" s="63" t="s">
        <v>212</v>
      </c>
      <c r="G28" s="80" t="s">
        <v>61</v>
      </c>
      <c r="H28" s="34">
        <v>0.05</v>
      </c>
      <c r="I28" s="216">
        <v>2.6499999999999999E-2</v>
      </c>
      <c r="J28" s="39">
        <f t="shared" si="1"/>
        <v>2.3500000000000004E-2</v>
      </c>
      <c r="K28" s="126" t="s">
        <v>0</v>
      </c>
      <c r="L28" s="138" t="s">
        <v>163</v>
      </c>
      <c r="M28" s="135">
        <f t="shared" si="0"/>
        <v>0.52999999999999992</v>
      </c>
    </row>
    <row r="29" spans="2:13" ht="31.5" customHeight="1" x14ac:dyDescent="0.2">
      <c r="B29" s="191"/>
      <c r="C29" s="186"/>
      <c r="D29" s="186"/>
      <c r="E29" s="56" t="s">
        <v>233</v>
      </c>
      <c r="F29" s="217"/>
      <c r="G29" s="80" t="s">
        <v>62</v>
      </c>
      <c r="H29" s="34">
        <v>0.6</v>
      </c>
      <c r="I29" s="218">
        <v>0.44700000000000001</v>
      </c>
      <c r="J29" s="39">
        <f t="shared" si="1"/>
        <v>0.15299999999999997</v>
      </c>
      <c r="K29" s="122"/>
      <c r="L29" s="148"/>
      <c r="M29" s="135">
        <f t="shared" si="0"/>
        <v>0.745</v>
      </c>
    </row>
    <row r="30" spans="2:13" ht="31.5" hidden="1" customHeight="1" x14ac:dyDescent="0.2">
      <c r="B30" s="191"/>
      <c r="C30" s="186"/>
      <c r="D30" s="186"/>
      <c r="E30" s="56" t="s">
        <v>234</v>
      </c>
      <c r="F30" s="209"/>
      <c r="G30" s="80" t="s">
        <v>247</v>
      </c>
      <c r="H30" s="34">
        <v>0.35</v>
      </c>
      <c r="I30" s="219">
        <v>0.42899999999999999</v>
      </c>
      <c r="J30" s="39">
        <f t="shared" si="1"/>
        <v>-7.9000000000000015E-2</v>
      </c>
      <c r="K30" s="122"/>
      <c r="L30" s="66"/>
      <c r="M30" s="90">
        <f t="shared" si="0"/>
        <v>1</v>
      </c>
    </row>
    <row r="31" spans="2:13" ht="34.5" hidden="1" customHeight="1" x14ac:dyDescent="0.2">
      <c r="B31" s="191"/>
      <c r="C31" s="186"/>
      <c r="D31" s="186"/>
      <c r="E31" s="56" t="s">
        <v>233</v>
      </c>
      <c r="F31" s="61" t="s">
        <v>213</v>
      </c>
      <c r="G31" s="80" t="s">
        <v>63</v>
      </c>
      <c r="H31" s="34">
        <v>1</v>
      </c>
      <c r="I31" s="218">
        <v>1</v>
      </c>
      <c r="J31" s="82">
        <f t="shared" si="1"/>
        <v>0</v>
      </c>
      <c r="K31" s="126" t="s">
        <v>415</v>
      </c>
      <c r="L31" s="66"/>
      <c r="M31" s="154">
        <f t="shared" si="0"/>
        <v>1</v>
      </c>
    </row>
    <row r="32" spans="2:13" ht="42" customHeight="1" x14ac:dyDescent="0.2">
      <c r="B32" s="191"/>
      <c r="C32" s="186"/>
      <c r="D32" s="186"/>
      <c r="E32" s="56" t="s">
        <v>233</v>
      </c>
      <c r="F32" s="61" t="s">
        <v>214</v>
      </c>
      <c r="G32" s="80" t="s">
        <v>251</v>
      </c>
      <c r="H32" s="33">
        <v>1</v>
      </c>
      <c r="I32" s="33">
        <v>0</v>
      </c>
      <c r="J32" s="82">
        <f t="shared" si="1"/>
        <v>1</v>
      </c>
      <c r="K32" s="126" t="s">
        <v>0</v>
      </c>
      <c r="L32" s="148"/>
      <c r="M32" s="155">
        <f t="shared" si="0"/>
        <v>0</v>
      </c>
    </row>
    <row r="33" spans="2:13" ht="38.450000000000003" customHeight="1" x14ac:dyDescent="0.2">
      <c r="B33" s="191"/>
      <c r="C33" s="186"/>
      <c r="D33" s="186"/>
      <c r="E33" s="56" t="s">
        <v>233</v>
      </c>
      <c r="F33" s="61" t="s">
        <v>184</v>
      </c>
      <c r="G33" s="80" t="s">
        <v>246</v>
      </c>
      <c r="H33" s="33">
        <v>1</v>
      </c>
      <c r="I33" s="36">
        <v>0</v>
      </c>
      <c r="J33" s="82">
        <f t="shared" si="1"/>
        <v>1</v>
      </c>
      <c r="K33" s="128"/>
      <c r="L33" s="168"/>
      <c r="M33" s="155">
        <f t="shared" si="0"/>
        <v>0</v>
      </c>
    </row>
    <row r="34" spans="2:13" ht="38.25" customHeight="1" x14ac:dyDescent="0.2">
      <c r="B34" s="191"/>
      <c r="C34" s="186"/>
      <c r="D34" s="186"/>
      <c r="E34" s="56" t="s">
        <v>233</v>
      </c>
      <c r="F34" s="61" t="s">
        <v>316</v>
      </c>
      <c r="G34" s="80" t="s">
        <v>315</v>
      </c>
      <c r="H34" s="41">
        <v>170</v>
      </c>
      <c r="I34" s="36">
        <v>182</v>
      </c>
      <c r="J34" s="82">
        <v>170</v>
      </c>
      <c r="K34" s="122" t="s">
        <v>418</v>
      </c>
      <c r="L34" s="113" t="s">
        <v>152</v>
      </c>
      <c r="M34" s="154">
        <f t="shared" si="0"/>
        <v>1</v>
      </c>
    </row>
    <row r="35" spans="2:13" ht="33" hidden="1" customHeight="1" x14ac:dyDescent="0.2">
      <c r="B35" s="191"/>
      <c r="C35" s="186"/>
      <c r="D35" s="185" t="s">
        <v>58</v>
      </c>
      <c r="E35" s="56" t="s">
        <v>234</v>
      </c>
      <c r="F35" s="126" t="s">
        <v>430</v>
      </c>
      <c r="G35" s="80" t="s">
        <v>428</v>
      </c>
      <c r="H35" s="33">
        <v>8</v>
      </c>
      <c r="I35" s="36">
        <f>5+3</f>
        <v>8</v>
      </c>
      <c r="J35" s="82">
        <f>+H35-I35</f>
        <v>0</v>
      </c>
      <c r="K35" s="122"/>
      <c r="L35" s="113"/>
      <c r="M35" s="154">
        <f t="shared" si="0"/>
        <v>1</v>
      </c>
    </row>
    <row r="36" spans="2:13" ht="32.25" customHeight="1" x14ac:dyDescent="0.2">
      <c r="B36" s="191"/>
      <c r="C36" s="186"/>
      <c r="D36" s="186"/>
      <c r="E36" s="56" t="s">
        <v>233</v>
      </c>
      <c r="F36" s="122" t="s">
        <v>430</v>
      </c>
      <c r="G36" s="80" t="s">
        <v>429</v>
      </c>
      <c r="H36" s="33">
        <v>25</v>
      </c>
      <c r="I36" s="36">
        <f>14+9</f>
        <v>23</v>
      </c>
      <c r="J36" s="82">
        <f>+H36-I36</f>
        <v>2</v>
      </c>
      <c r="K36" s="122"/>
      <c r="L36" s="113"/>
      <c r="M36" s="154">
        <f t="shared" si="0"/>
        <v>0.92</v>
      </c>
    </row>
    <row r="37" spans="2:13" ht="45" customHeight="1" x14ac:dyDescent="0.2">
      <c r="B37" s="191"/>
      <c r="C37" s="186"/>
      <c r="D37" s="186"/>
      <c r="E37" s="56"/>
      <c r="F37" s="128"/>
      <c r="G37" s="80" t="s">
        <v>270</v>
      </c>
      <c r="H37" s="33">
        <v>1</v>
      </c>
      <c r="I37" s="36"/>
      <c r="J37" s="82">
        <v>1</v>
      </c>
      <c r="K37" s="122"/>
      <c r="L37" s="156"/>
      <c r="M37" s="157">
        <f t="shared" si="0"/>
        <v>0</v>
      </c>
    </row>
    <row r="38" spans="2:13" ht="21" hidden="1" customHeight="1" x14ac:dyDescent="0.2">
      <c r="B38" s="191"/>
      <c r="C38" s="186"/>
      <c r="D38" s="186"/>
      <c r="E38" s="56" t="s">
        <v>233</v>
      </c>
      <c r="F38" s="126" t="s">
        <v>328</v>
      </c>
      <c r="G38" s="80" t="s">
        <v>59</v>
      </c>
      <c r="H38" s="33">
        <v>1</v>
      </c>
      <c r="I38" s="36">
        <v>1</v>
      </c>
      <c r="J38" s="82">
        <f t="shared" si="1"/>
        <v>0</v>
      </c>
      <c r="K38" s="122"/>
      <c r="L38" s="113"/>
      <c r="M38" s="154">
        <f t="shared" si="0"/>
        <v>1</v>
      </c>
    </row>
    <row r="39" spans="2:13" ht="39.950000000000003" customHeight="1" x14ac:dyDescent="0.2">
      <c r="B39" s="191"/>
      <c r="C39" s="186"/>
      <c r="D39" s="186"/>
      <c r="E39" s="56" t="s">
        <v>234</v>
      </c>
      <c r="F39" s="122" t="s">
        <v>328</v>
      </c>
      <c r="G39" s="80" t="s">
        <v>338</v>
      </c>
      <c r="H39" s="33">
        <v>550</v>
      </c>
      <c r="I39" s="36">
        <v>274</v>
      </c>
      <c r="J39" s="82">
        <f t="shared" si="1"/>
        <v>276</v>
      </c>
      <c r="K39" s="128"/>
      <c r="L39" s="111"/>
      <c r="M39" s="149">
        <f t="shared" si="0"/>
        <v>0.49818181818181817</v>
      </c>
    </row>
    <row r="40" spans="2:13" ht="35.25" customHeight="1" x14ac:dyDescent="0.2">
      <c r="B40" s="191"/>
      <c r="C40" s="186"/>
      <c r="D40" s="186"/>
      <c r="E40" s="56" t="s">
        <v>235</v>
      </c>
      <c r="F40" s="31"/>
      <c r="G40" s="80" t="s">
        <v>455</v>
      </c>
      <c r="H40" s="41">
        <v>10</v>
      </c>
      <c r="I40" s="64"/>
      <c r="J40" s="33">
        <f t="shared" si="1"/>
        <v>10</v>
      </c>
      <c r="K40" s="122" t="s">
        <v>156</v>
      </c>
      <c r="L40" s="70"/>
      <c r="M40" s="133">
        <f t="shared" si="0"/>
        <v>0</v>
      </c>
    </row>
    <row r="41" spans="2:13" ht="46.5" customHeight="1" x14ac:dyDescent="0.2">
      <c r="B41" s="185" t="s">
        <v>177</v>
      </c>
      <c r="C41" s="227" t="s">
        <v>64</v>
      </c>
      <c r="D41" s="185" t="s">
        <v>272</v>
      </c>
      <c r="E41" s="56" t="s">
        <v>234</v>
      </c>
      <c r="F41" s="126" t="s">
        <v>318</v>
      </c>
      <c r="G41" s="80" t="s">
        <v>296</v>
      </c>
      <c r="H41" s="33">
        <f>5850+5900+5950+6000</f>
        <v>23700</v>
      </c>
      <c r="I41" s="36">
        <f>9838+8219+23953</f>
        <v>42010</v>
      </c>
      <c r="J41" s="33">
        <v>5000</v>
      </c>
      <c r="K41" s="127" t="s">
        <v>154</v>
      </c>
      <c r="L41" s="136"/>
      <c r="M41" s="90">
        <f t="shared" si="0"/>
        <v>1</v>
      </c>
    </row>
    <row r="42" spans="2:13" ht="74.25" customHeight="1" x14ac:dyDescent="0.2">
      <c r="B42" s="186"/>
      <c r="C42" s="228"/>
      <c r="D42" s="186"/>
      <c r="E42" s="56" t="s">
        <v>234</v>
      </c>
      <c r="F42" s="122"/>
      <c r="G42" s="80" t="s">
        <v>142</v>
      </c>
      <c r="H42" s="33">
        <f>10000+10100+10200+10300</f>
        <v>40600</v>
      </c>
      <c r="I42" s="36">
        <f>39923+11854+53636</f>
        <v>105413</v>
      </c>
      <c r="J42" s="33">
        <v>5000</v>
      </c>
      <c r="K42" s="127" t="s">
        <v>154</v>
      </c>
      <c r="L42" s="66"/>
      <c r="M42" s="90">
        <f t="shared" si="0"/>
        <v>1</v>
      </c>
    </row>
    <row r="43" spans="2:13" ht="46.5" customHeight="1" x14ac:dyDescent="0.2">
      <c r="B43" s="186"/>
      <c r="C43" s="228"/>
      <c r="D43" s="186"/>
      <c r="E43" s="56" t="s">
        <v>234</v>
      </c>
      <c r="F43" s="122"/>
      <c r="G43" s="80" t="s">
        <v>65</v>
      </c>
      <c r="H43" s="33">
        <f>35000+35500+36000+36500</f>
        <v>143000</v>
      </c>
      <c r="I43" s="36">
        <f>16684+37662+27961</f>
        <v>82307</v>
      </c>
      <c r="J43" s="33">
        <v>5000</v>
      </c>
      <c r="K43" s="126" t="s">
        <v>154</v>
      </c>
      <c r="L43" s="148"/>
      <c r="M43" s="135">
        <f t="shared" si="0"/>
        <v>0.57557342657342658</v>
      </c>
    </row>
    <row r="44" spans="2:13" ht="46.5" customHeight="1" x14ac:dyDescent="0.2">
      <c r="B44" s="186"/>
      <c r="C44" s="228"/>
      <c r="D44" s="174"/>
      <c r="E44" s="56" t="s">
        <v>234</v>
      </c>
      <c r="F44" s="122"/>
      <c r="G44" s="80" t="s">
        <v>317</v>
      </c>
      <c r="H44" s="33">
        <v>1</v>
      </c>
      <c r="I44" s="36">
        <v>0</v>
      </c>
      <c r="J44" s="82">
        <v>1</v>
      </c>
      <c r="K44" s="122"/>
      <c r="L44" s="156"/>
      <c r="M44" s="141">
        <f t="shared" si="0"/>
        <v>0</v>
      </c>
    </row>
    <row r="45" spans="2:13" ht="46.5" customHeight="1" x14ac:dyDescent="0.2">
      <c r="B45" s="186"/>
      <c r="C45" s="228"/>
      <c r="D45" s="174"/>
      <c r="E45" s="220" t="s">
        <v>233</v>
      </c>
      <c r="F45" s="128"/>
      <c r="G45" s="221" t="s">
        <v>321</v>
      </c>
      <c r="H45" s="33">
        <v>1</v>
      </c>
      <c r="I45" s="36">
        <v>0</v>
      </c>
      <c r="J45" s="82">
        <v>1</v>
      </c>
      <c r="K45" s="128"/>
      <c r="L45" s="156"/>
      <c r="M45" s="141">
        <f t="shared" si="0"/>
        <v>0</v>
      </c>
    </row>
    <row r="46" spans="2:13" ht="36" customHeight="1" x14ac:dyDescent="0.2">
      <c r="B46" s="186"/>
      <c r="C46" s="228"/>
      <c r="D46" s="185" t="s">
        <v>66</v>
      </c>
      <c r="E46" s="56" t="s">
        <v>234</v>
      </c>
      <c r="F46" s="209" t="s">
        <v>143</v>
      </c>
      <c r="G46" s="80" t="s">
        <v>144</v>
      </c>
      <c r="H46" s="33">
        <f>80+130+160+180</f>
        <v>550</v>
      </c>
      <c r="I46" s="36">
        <f>381+389</f>
        <v>770</v>
      </c>
      <c r="J46" s="82">
        <v>200</v>
      </c>
      <c r="K46" s="127" t="s">
        <v>152</v>
      </c>
      <c r="L46" s="159"/>
      <c r="M46" s="154">
        <f t="shared" si="0"/>
        <v>1</v>
      </c>
    </row>
    <row r="47" spans="2:13" ht="36" customHeight="1" x14ac:dyDescent="0.2">
      <c r="B47" s="186"/>
      <c r="C47" s="228"/>
      <c r="D47" s="186"/>
      <c r="E47" s="56" t="s">
        <v>233</v>
      </c>
      <c r="F47" s="61" t="s">
        <v>487</v>
      </c>
      <c r="G47" s="80" t="s">
        <v>419</v>
      </c>
      <c r="H47" s="39">
        <v>1</v>
      </c>
      <c r="I47" s="36">
        <v>0</v>
      </c>
      <c r="J47" s="82">
        <f t="shared" si="1"/>
        <v>1</v>
      </c>
      <c r="K47" s="122" t="s">
        <v>152</v>
      </c>
      <c r="L47" s="140" t="s">
        <v>152</v>
      </c>
      <c r="M47" s="157">
        <f t="shared" si="0"/>
        <v>0</v>
      </c>
    </row>
    <row r="48" spans="2:13" ht="36" customHeight="1" x14ac:dyDescent="0.2">
      <c r="B48" s="186"/>
      <c r="C48" s="228"/>
      <c r="D48" s="186"/>
      <c r="E48" s="56"/>
      <c r="F48" s="61" t="s">
        <v>335</v>
      </c>
      <c r="G48" s="80" t="s">
        <v>334</v>
      </c>
      <c r="H48" s="176">
        <v>2</v>
      </c>
      <c r="I48" s="36">
        <v>0</v>
      </c>
      <c r="J48" s="82">
        <v>2</v>
      </c>
      <c r="K48" s="122"/>
      <c r="L48" s="140"/>
      <c r="M48" s="157"/>
    </row>
    <row r="49" spans="2:21" ht="34.5" customHeight="1" x14ac:dyDescent="0.2">
      <c r="B49" s="186"/>
      <c r="C49" s="228"/>
      <c r="D49" s="186"/>
      <c r="E49" s="56" t="s">
        <v>233</v>
      </c>
      <c r="F49" s="61" t="s">
        <v>187</v>
      </c>
      <c r="G49" s="80" t="s">
        <v>320</v>
      </c>
      <c r="H49" s="33">
        <v>1</v>
      </c>
      <c r="I49" s="36">
        <v>0</v>
      </c>
      <c r="J49" s="82">
        <f t="shared" si="1"/>
        <v>1</v>
      </c>
      <c r="K49" s="127" t="s">
        <v>418</v>
      </c>
      <c r="L49" s="160" t="s">
        <v>160</v>
      </c>
      <c r="M49" s="157">
        <f t="shared" si="0"/>
        <v>0</v>
      </c>
    </row>
    <row r="50" spans="2:21" ht="34.5" customHeight="1" x14ac:dyDescent="0.2">
      <c r="B50" s="186"/>
      <c r="C50" s="228"/>
      <c r="D50" s="186"/>
      <c r="E50" s="56" t="s">
        <v>233</v>
      </c>
      <c r="F50" s="61" t="s">
        <v>188</v>
      </c>
      <c r="G50" s="80" t="s">
        <v>319</v>
      </c>
      <c r="H50" s="33">
        <v>1</v>
      </c>
      <c r="I50" s="36"/>
      <c r="J50" s="33">
        <f t="shared" si="1"/>
        <v>1</v>
      </c>
      <c r="K50" s="126" t="s">
        <v>1</v>
      </c>
      <c r="L50" s="161"/>
      <c r="M50" s="141">
        <f t="shared" si="0"/>
        <v>0</v>
      </c>
      <c r="T50" s="3">
        <v>874</v>
      </c>
    </row>
    <row r="51" spans="2:21" ht="34.5" customHeight="1" x14ac:dyDescent="0.2">
      <c r="B51" s="186"/>
      <c r="C51" s="228"/>
      <c r="D51" s="186"/>
      <c r="E51" s="56" t="s">
        <v>233</v>
      </c>
      <c r="F51" s="61" t="s">
        <v>330</v>
      </c>
      <c r="G51" s="80" t="s">
        <v>332</v>
      </c>
      <c r="H51" s="33">
        <v>1</v>
      </c>
      <c r="I51" s="36"/>
      <c r="J51" s="33">
        <f t="shared" si="1"/>
        <v>1</v>
      </c>
      <c r="K51" s="126" t="s">
        <v>1</v>
      </c>
      <c r="L51" s="162"/>
      <c r="M51" s="141">
        <f t="shared" si="0"/>
        <v>0</v>
      </c>
    </row>
    <row r="52" spans="2:21" ht="34.5" customHeight="1" x14ac:dyDescent="0.2">
      <c r="B52" s="186"/>
      <c r="C52" s="228"/>
      <c r="D52" s="186"/>
      <c r="E52" s="56" t="s">
        <v>233</v>
      </c>
      <c r="F52" s="61" t="s">
        <v>331</v>
      </c>
      <c r="G52" s="80" t="s">
        <v>333</v>
      </c>
      <c r="H52" s="33">
        <v>1</v>
      </c>
      <c r="I52" s="36"/>
      <c r="J52" s="33">
        <f t="shared" si="1"/>
        <v>1</v>
      </c>
      <c r="K52" s="126" t="s">
        <v>1</v>
      </c>
      <c r="L52" s="163"/>
      <c r="M52" s="141">
        <f t="shared" si="0"/>
        <v>0</v>
      </c>
    </row>
    <row r="53" spans="2:21" ht="37.5" customHeight="1" x14ac:dyDescent="0.2">
      <c r="B53" s="186"/>
      <c r="C53" s="228"/>
      <c r="D53" s="185" t="s">
        <v>67</v>
      </c>
      <c r="E53" s="56" t="s">
        <v>233</v>
      </c>
      <c r="F53" s="61" t="s">
        <v>329</v>
      </c>
      <c r="G53" s="80" t="s">
        <v>485</v>
      </c>
      <c r="H53" s="34">
        <v>0.18</v>
      </c>
      <c r="I53" s="219">
        <v>0.20699999999999999</v>
      </c>
      <c r="J53" s="39">
        <v>0.18</v>
      </c>
      <c r="K53" s="126" t="s">
        <v>1</v>
      </c>
      <c r="L53" s="139"/>
      <c r="M53" s="135">
        <f>IF((I53&lt;H53)&gt;100%,(J53*-800%),80%)</f>
        <v>-1.44</v>
      </c>
      <c r="T53" s="3">
        <v>654</v>
      </c>
      <c r="U53" s="3">
        <f>+T53-T50</f>
        <v>-220</v>
      </c>
    </row>
    <row r="54" spans="2:21" ht="37.5" customHeight="1" x14ac:dyDescent="0.2">
      <c r="B54" s="186"/>
      <c r="C54" s="228"/>
      <c r="D54" s="186"/>
      <c r="E54" s="56" t="s">
        <v>233</v>
      </c>
      <c r="F54" s="61" t="s">
        <v>68</v>
      </c>
      <c r="G54" s="80" t="s">
        <v>486</v>
      </c>
      <c r="H54" s="34">
        <v>0.08</v>
      </c>
      <c r="I54" s="216">
        <v>0.109</v>
      </c>
      <c r="J54" s="39">
        <v>0.08</v>
      </c>
      <c r="K54" s="126" t="s">
        <v>1</v>
      </c>
      <c r="L54" s="164"/>
      <c r="M54" s="135">
        <f t="shared" si="0"/>
        <v>1</v>
      </c>
      <c r="T54" s="3">
        <v>813</v>
      </c>
      <c r="U54" s="3">
        <f t="shared" ref="U54:U55" si="2">+T54-T53</f>
        <v>159</v>
      </c>
    </row>
    <row r="55" spans="2:21" ht="37.5" customHeight="1" x14ac:dyDescent="0.2">
      <c r="B55" s="186"/>
      <c r="C55" s="228"/>
      <c r="D55" s="186"/>
      <c r="E55" s="56" t="s">
        <v>234</v>
      </c>
      <c r="F55" s="61" t="s">
        <v>215</v>
      </c>
      <c r="G55" s="80" t="s">
        <v>69</v>
      </c>
      <c r="H55" s="33">
        <v>1</v>
      </c>
      <c r="I55" s="36">
        <v>0</v>
      </c>
      <c r="J55" s="33">
        <f t="shared" si="1"/>
        <v>1</v>
      </c>
      <c r="K55" s="127" t="s">
        <v>154</v>
      </c>
      <c r="L55" s="165"/>
      <c r="M55" s="141">
        <f t="shared" si="0"/>
        <v>0</v>
      </c>
      <c r="T55" s="3">
        <v>957</v>
      </c>
      <c r="U55" s="3">
        <f t="shared" si="2"/>
        <v>144</v>
      </c>
    </row>
    <row r="56" spans="2:21" ht="36.6" customHeight="1" x14ac:dyDescent="0.2">
      <c r="B56" s="186"/>
      <c r="C56" s="228"/>
      <c r="D56" s="186"/>
      <c r="E56" s="56" t="s">
        <v>233</v>
      </c>
      <c r="F56" s="61" t="s">
        <v>175</v>
      </c>
      <c r="G56" s="80" t="s">
        <v>176</v>
      </c>
      <c r="H56" s="33">
        <f>450+452+455+460</f>
        <v>1817</v>
      </c>
      <c r="I56" s="36">
        <f>885+983+380+77+224+177</f>
        <v>2726</v>
      </c>
      <c r="J56" s="33">
        <v>700</v>
      </c>
      <c r="K56" s="126" t="s">
        <v>154</v>
      </c>
      <c r="L56" s="114"/>
      <c r="M56" s="90">
        <f t="shared" si="0"/>
        <v>1</v>
      </c>
      <c r="T56" s="3">
        <v>779</v>
      </c>
      <c r="U56" s="75">
        <f>+T56-T55</f>
        <v>-178</v>
      </c>
    </row>
    <row r="57" spans="2:21" ht="42.75" customHeight="1" x14ac:dyDescent="0.2">
      <c r="B57" s="186"/>
      <c r="C57" s="229"/>
      <c r="D57" s="189"/>
      <c r="E57" s="56" t="s">
        <v>233</v>
      </c>
      <c r="F57" s="61" t="s">
        <v>70</v>
      </c>
      <c r="G57" s="80" t="s">
        <v>71</v>
      </c>
      <c r="H57" s="33">
        <f>820+830+840+850</f>
        <v>3340</v>
      </c>
      <c r="I57" s="36">
        <f>927+773+867</f>
        <v>2567</v>
      </c>
      <c r="J57" s="33">
        <f t="shared" si="1"/>
        <v>773</v>
      </c>
      <c r="K57" s="126" t="s">
        <v>154</v>
      </c>
      <c r="L57" s="166"/>
      <c r="M57" s="133">
        <f t="shared" si="0"/>
        <v>0.76856287425149705</v>
      </c>
      <c r="T57" s="3">
        <v>867</v>
      </c>
      <c r="U57" s="3">
        <f>+T57-T56</f>
        <v>88</v>
      </c>
    </row>
    <row r="58" spans="2:21" ht="48" hidden="1" customHeight="1" x14ac:dyDescent="0.2">
      <c r="B58" s="186"/>
      <c r="C58" s="72" t="s">
        <v>72</v>
      </c>
      <c r="D58" s="72" t="s">
        <v>73</v>
      </c>
      <c r="E58" s="56" t="s">
        <v>235</v>
      </c>
      <c r="F58" s="61" t="s">
        <v>74</v>
      </c>
      <c r="G58" s="80" t="s">
        <v>75</v>
      </c>
      <c r="H58" s="33">
        <v>1</v>
      </c>
      <c r="I58" s="36">
        <v>1</v>
      </c>
      <c r="J58" s="33">
        <f t="shared" si="1"/>
        <v>0</v>
      </c>
      <c r="K58" s="126" t="s">
        <v>141</v>
      </c>
      <c r="L58" s="69"/>
      <c r="M58" s="133">
        <f t="shared" si="0"/>
        <v>1</v>
      </c>
      <c r="T58" s="74"/>
    </row>
    <row r="59" spans="2:21" ht="44.25" customHeight="1" x14ac:dyDescent="0.2">
      <c r="B59" s="186"/>
      <c r="C59" s="185" t="s">
        <v>72</v>
      </c>
      <c r="D59" s="185" t="s">
        <v>73</v>
      </c>
      <c r="E59" s="56" t="s">
        <v>235</v>
      </c>
      <c r="F59" s="61" t="s">
        <v>322</v>
      </c>
      <c r="G59" s="80" t="s">
        <v>337</v>
      </c>
      <c r="H59" s="33">
        <f>60+100+150</f>
        <v>310</v>
      </c>
      <c r="I59" s="36">
        <v>140</v>
      </c>
      <c r="J59" s="33">
        <f t="shared" si="1"/>
        <v>170</v>
      </c>
      <c r="K59" s="126" t="s">
        <v>141</v>
      </c>
      <c r="L59" s="70"/>
      <c r="M59" s="133">
        <f t="shared" si="0"/>
        <v>0.45161290322580644</v>
      </c>
    </row>
    <row r="60" spans="2:21" ht="42.75" customHeight="1" x14ac:dyDescent="0.2">
      <c r="B60" s="189"/>
      <c r="C60" s="189"/>
      <c r="D60" s="189"/>
      <c r="E60" s="56" t="s">
        <v>235</v>
      </c>
      <c r="F60" s="63" t="s">
        <v>323</v>
      </c>
      <c r="G60" s="80" t="s">
        <v>336</v>
      </c>
      <c r="H60" s="33">
        <f>5+30+50</f>
        <v>85</v>
      </c>
      <c r="I60" s="36">
        <v>50</v>
      </c>
      <c r="J60" s="33">
        <f t="shared" si="1"/>
        <v>35</v>
      </c>
      <c r="K60" s="128"/>
      <c r="L60" s="55"/>
      <c r="M60" s="133">
        <f t="shared" si="0"/>
        <v>0.58823529411764708</v>
      </c>
    </row>
    <row r="61" spans="2:21" ht="40.5" customHeight="1" x14ac:dyDescent="0.2">
      <c r="B61" s="185" t="s">
        <v>180</v>
      </c>
      <c r="C61" s="185" t="s">
        <v>508</v>
      </c>
      <c r="D61" s="185" t="s">
        <v>76</v>
      </c>
      <c r="E61" s="56" t="s">
        <v>233</v>
      </c>
      <c r="F61" s="63" t="s">
        <v>216</v>
      </c>
      <c r="G61" s="80" t="s">
        <v>246</v>
      </c>
      <c r="H61" s="33">
        <v>1</v>
      </c>
      <c r="I61" s="36">
        <v>0</v>
      </c>
      <c r="J61" s="33">
        <f t="shared" si="1"/>
        <v>1</v>
      </c>
      <c r="K61" s="128" t="s">
        <v>153</v>
      </c>
      <c r="L61" s="168"/>
      <c r="M61" s="135">
        <f t="shared" si="0"/>
        <v>0</v>
      </c>
    </row>
    <row r="62" spans="2:21" ht="51.75" customHeight="1" x14ac:dyDescent="0.2">
      <c r="B62" s="186"/>
      <c r="C62" s="186"/>
      <c r="D62" s="186"/>
      <c r="E62" s="56" t="s">
        <v>233</v>
      </c>
      <c r="F62" s="63" t="s">
        <v>310</v>
      </c>
      <c r="G62" s="80" t="s">
        <v>312</v>
      </c>
      <c r="H62" s="33">
        <f>5*3</f>
        <v>15</v>
      </c>
      <c r="I62" s="36">
        <f>4+1+4+1</f>
        <v>10</v>
      </c>
      <c r="J62" s="33">
        <f t="shared" si="1"/>
        <v>5</v>
      </c>
      <c r="K62" s="128" t="s">
        <v>154</v>
      </c>
      <c r="L62" s="55"/>
      <c r="M62" s="133">
        <f t="shared" si="0"/>
        <v>0.66666666666666663</v>
      </c>
    </row>
    <row r="63" spans="2:21" ht="28.5" customHeight="1" x14ac:dyDescent="0.2">
      <c r="B63" s="186"/>
      <c r="C63" s="186"/>
      <c r="D63" s="186"/>
      <c r="E63" s="56" t="s">
        <v>234</v>
      </c>
      <c r="F63" s="222" t="s">
        <v>274</v>
      </c>
      <c r="G63" s="126" t="s">
        <v>275</v>
      </c>
      <c r="H63" s="33">
        <v>1</v>
      </c>
      <c r="I63" s="36"/>
      <c r="J63" s="33">
        <f t="shared" si="1"/>
        <v>1</v>
      </c>
      <c r="K63" s="127" t="s">
        <v>220</v>
      </c>
      <c r="L63" s="160"/>
      <c r="M63" s="141">
        <f t="shared" si="0"/>
        <v>0</v>
      </c>
    </row>
    <row r="64" spans="2:21" ht="28.5" customHeight="1" x14ac:dyDescent="0.2">
      <c r="B64" s="186"/>
      <c r="C64" s="186"/>
      <c r="D64" s="186"/>
      <c r="E64" s="56" t="s">
        <v>234</v>
      </c>
      <c r="F64" s="223"/>
      <c r="G64" s="128"/>
      <c r="H64" s="33">
        <v>1</v>
      </c>
      <c r="I64" s="36"/>
      <c r="J64" s="33">
        <f t="shared" si="1"/>
        <v>1</v>
      </c>
      <c r="K64" s="127" t="s">
        <v>450</v>
      </c>
      <c r="L64" s="160"/>
      <c r="M64" s="141">
        <f t="shared" si="0"/>
        <v>0</v>
      </c>
    </row>
    <row r="65" spans="2:14" ht="28.5" customHeight="1" x14ac:dyDescent="0.2">
      <c r="B65" s="186"/>
      <c r="C65" s="186"/>
      <c r="D65" s="186"/>
      <c r="E65" s="56" t="s">
        <v>233</v>
      </c>
      <c r="F65" s="224"/>
      <c r="G65" s="80" t="s">
        <v>324</v>
      </c>
      <c r="H65" s="33">
        <v>1</v>
      </c>
      <c r="I65" s="36"/>
      <c r="J65" s="33">
        <f t="shared" si="1"/>
        <v>1</v>
      </c>
      <c r="K65" s="127" t="s">
        <v>220</v>
      </c>
      <c r="L65" s="160"/>
      <c r="M65" s="141">
        <f t="shared" si="0"/>
        <v>0</v>
      </c>
    </row>
    <row r="66" spans="2:14" ht="28.5" customHeight="1" x14ac:dyDescent="0.2">
      <c r="B66" s="186"/>
      <c r="C66" s="186"/>
      <c r="D66" s="186"/>
      <c r="E66" s="56" t="s">
        <v>233</v>
      </c>
      <c r="F66" s="222" t="s">
        <v>276</v>
      </c>
      <c r="G66" s="80" t="s">
        <v>313</v>
      </c>
      <c r="H66" s="33">
        <v>4</v>
      </c>
      <c r="I66" s="36">
        <v>0</v>
      </c>
      <c r="J66" s="33">
        <f t="shared" si="1"/>
        <v>4</v>
      </c>
      <c r="K66" s="127" t="s">
        <v>218</v>
      </c>
      <c r="L66" s="167"/>
      <c r="M66" s="135">
        <f t="shared" si="0"/>
        <v>0</v>
      </c>
    </row>
    <row r="67" spans="2:14" ht="28.5" customHeight="1" x14ac:dyDescent="0.2">
      <c r="B67" s="186"/>
      <c r="C67" s="186"/>
      <c r="D67" s="186"/>
      <c r="E67" s="56" t="s">
        <v>233</v>
      </c>
      <c r="F67" s="223"/>
      <c r="G67" s="80" t="s">
        <v>488</v>
      </c>
      <c r="H67" s="33">
        <v>4</v>
      </c>
      <c r="I67" s="36">
        <v>3</v>
      </c>
      <c r="J67" s="33">
        <f t="shared" si="1"/>
        <v>1</v>
      </c>
      <c r="K67" s="126" t="s">
        <v>219</v>
      </c>
      <c r="L67" s="138"/>
      <c r="M67" s="135">
        <f t="shared" si="0"/>
        <v>0.75</v>
      </c>
    </row>
    <row r="68" spans="2:14" ht="28.5" customHeight="1" x14ac:dyDescent="0.2">
      <c r="B68" s="186"/>
      <c r="C68" s="186"/>
      <c r="D68" s="186"/>
      <c r="E68" s="56" t="s">
        <v>233</v>
      </c>
      <c r="F68" s="223"/>
      <c r="G68" s="80" t="s">
        <v>489</v>
      </c>
      <c r="H68" s="33">
        <v>4</v>
      </c>
      <c r="I68" s="36">
        <v>3</v>
      </c>
      <c r="J68" s="33">
        <f t="shared" si="1"/>
        <v>1</v>
      </c>
      <c r="K68" s="122"/>
      <c r="L68" s="148"/>
      <c r="M68" s="135">
        <f t="shared" si="0"/>
        <v>0.75</v>
      </c>
    </row>
    <row r="69" spans="2:14" ht="28.5" customHeight="1" x14ac:dyDescent="0.2">
      <c r="B69" s="186"/>
      <c r="C69" s="186"/>
      <c r="D69" s="186"/>
      <c r="E69" s="56" t="s">
        <v>233</v>
      </c>
      <c r="F69" s="224"/>
      <c r="G69" s="80" t="s">
        <v>490</v>
      </c>
      <c r="H69" s="33">
        <v>4</v>
      </c>
      <c r="I69" s="36">
        <v>3</v>
      </c>
      <c r="J69" s="33">
        <f t="shared" si="1"/>
        <v>1</v>
      </c>
      <c r="K69" s="128"/>
      <c r="L69" s="168"/>
      <c r="M69" s="135">
        <f t="shared" si="0"/>
        <v>0.75</v>
      </c>
    </row>
    <row r="70" spans="2:14" ht="28.5" customHeight="1" x14ac:dyDescent="0.2">
      <c r="B70" s="186"/>
      <c r="C70" s="186"/>
      <c r="D70" s="186"/>
      <c r="E70" s="56" t="s">
        <v>233</v>
      </c>
      <c r="F70" s="225" t="s">
        <v>278</v>
      </c>
      <c r="G70" s="80" t="s">
        <v>217</v>
      </c>
      <c r="H70" s="151">
        <v>10000</v>
      </c>
      <c r="I70" s="151">
        <v>3000</v>
      </c>
      <c r="J70" s="151">
        <f t="shared" si="1"/>
        <v>7000</v>
      </c>
      <c r="K70" s="127" t="s">
        <v>218</v>
      </c>
      <c r="L70" s="160"/>
      <c r="M70" s="141">
        <f t="shared" si="0"/>
        <v>0.3</v>
      </c>
    </row>
    <row r="71" spans="2:14" ht="28.5" customHeight="1" x14ac:dyDescent="0.2">
      <c r="B71" s="186"/>
      <c r="C71" s="186"/>
      <c r="D71" s="186"/>
      <c r="E71" s="56" t="s">
        <v>234</v>
      </c>
      <c r="F71" s="226"/>
      <c r="G71" s="80" t="s">
        <v>311</v>
      </c>
      <c r="H71" s="151">
        <v>1</v>
      </c>
      <c r="I71" s="151"/>
      <c r="J71" s="151">
        <f t="shared" si="1"/>
        <v>1</v>
      </c>
      <c r="K71" s="127" t="s">
        <v>218</v>
      </c>
      <c r="L71" s="160"/>
      <c r="M71" s="141">
        <f t="shared" si="0"/>
        <v>0</v>
      </c>
    </row>
    <row r="72" spans="2:14" ht="28.5" customHeight="1" x14ac:dyDescent="0.2">
      <c r="B72" s="186"/>
      <c r="C72" s="186"/>
      <c r="D72" s="186"/>
      <c r="E72" s="56" t="s">
        <v>234</v>
      </c>
      <c r="F72" s="63" t="s">
        <v>280</v>
      </c>
      <c r="G72" s="80" t="s">
        <v>279</v>
      </c>
      <c r="H72" s="33">
        <v>3</v>
      </c>
      <c r="I72" s="36">
        <v>0</v>
      </c>
      <c r="J72" s="33">
        <f t="shared" si="1"/>
        <v>3</v>
      </c>
      <c r="K72" s="127" t="s">
        <v>219</v>
      </c>
      <c r="L72" s="49"/>
      <c r="M72" s="133">
        <f t="shared" si="0"/>
        <v>0</v>
      </c>
    </row>
    <row r="73" spans="2:14" ht="28.5" customHeight="1" x14ac:dyDescent="0.2">
      <c r="B73" s="186"/>
      <c r="C73" s="186"/>
      <c r="D73" s="189"/>
      <c r="E73" s="56" t="s">
        <v>233</v>
      </c>
      <c r="F73" s="63" t="s">
        <v>509</v>
      </c>
      <c r="G73" s="80" t="s">
        <v>139</v>
      </c>
      <c r="H73" s="33">
        <v>1</v>
      </c>
      <c r="I73" s="36">
        <v>0</v>
      </c>
      <c r="J73" s="33">
        <f t="shared" si="1"/>
        <v>1</v>
      </c>
      <c r="K73" s="127" t="s">
        <v>291</v>
      </c>
      <c r="L73" s="49"/>
      <c r="M73" s="133">
        <f t="shared" si="0"/>
        <v>0</v>
      </c>
    </row>
    <row r="74" spans="2:14" ht="28.5" customHeight="1" x14ac:dyDescent="0.2">
      <c r="B74" s="186"/>
      <c r="C74" s="186"/>
      <c r="D74" s="185" t="s">
        <v>77</v>
      </c>
      <c r="E74" s="56" t="s">
        <v>233</v>
      </c>
      <c r="F74" s="222" t="s">
        <v>281</v>
      </c>
      <c r="G74" s="80" t="s">
        <v>282</v>
      </c>
      <c r="H74" s="33">
        <v>2</v>
      </c>
      <c r="I74" s="150">
        <v>0</v>
      </c>
      <c r="J74" s="33">
        <f t="shared" si="1"/>
        <v>2</v>
      </c>
      <c r="K74" s="127" t="s">
        <v>153</v>
      </c>
      <c r="L74" s="167"/>
      <c r="M74" s="135">
        <f t="shared" si="0"/>
        <v>0</v>
      </c>
    </row>
    <row r="75" spans="2:14" ht="28.5" customHeight="1" x14ac:dyDescent="0.2">
      <c r="B75" s="186"/>
      <c r="C75" s="186"/>
      <c r="D75" s="186"/>
      <c r="E75" s="56" t="s">
        <v>233</v>
      </c>
      <c r="F75" s="224"/>
      <c r="G75" s="80" t="s">
        <v>283</v>
      </c>
      <c r="H75" s="33">
        <v>2</v>
      </c>
      <c r="I75" s="150">
        <v>0</v>
      </c>
      <c r="J75" s="33">
        <f t="shared" si="1"/>
        <v>2</v>
      </c>
      <c r="K75" s="127" t="s">
        <v>160</v>
      </c>
      <c r="L75" s="167"/>
      <c r="M75" s="135">
        <f t="shared" si="0"/>
        <v>0</v>
      </c>
    </row>
    <row r="76" spans="2:14" ht="33.6" hidden="1" customHeight="1" x14ac:dyDescent="0.2">
      <c r="B76" s="186"/>
      <c r="C76" s="189"/>
      <c r="D76" s="189"/>
      <c r="E76" s="56" t="s">
        <v>234</v>
      </c>
      <c r="F76" s="61" t="s">
        <v>78</v>
      </c>
      <c r="G76" s="80" t="s">
        <v>140</v>
      </c>
      <c r="H76" s="33">
        <v>1</v>
      </c>
      <c r="I76" s="150">
        <v>1</v>
      </c>
      <c r="J76" s="33">
        <f t="shared" si="1"/>
        <v>0</v>
      </c>
      <c r="K76" s="127" t="s">
        <v>153</v>
      </c>
      <c r="L76" s="67"/>
      <c r="M76" s="90">
        <f t="shared" si="0"/>
        <v>1</v>
      </c>
      <c r="N76" s="169">
        <f>(M4+M5+M6+M19+M27+M28+M29+M30+M31+M32+M33+M34+M35+M36+M38+M41+M42+M43+M46+M53+M54+M56+M61+M66+M67+M68+M69+M74+M75+M76)/30</f>
        <v>0.60157466977466967</v>
      </c>
    </row>
    <row r="77" spans="2:14" x14ac:dyDescent="0.2">
      <c r="I77" s="81"/>
      <c r="M77" s="47"/>
    </row>
    <row r="78" spans="2:14" hidden="1" x14ac:dyDescent="0.2">
      <c r="D78" s="143"/>
      <c r="E78" s="3" t="s">
        <v>480</v>
      </c>
      <c r="F78" s="3"/>
    </row>
    <row r="79" spans="2:14" hidden="1" x14ac:dyDescent="0.2">
      <c r="D79" s="145"/>
      <c r="E79" s="3" t="s">
        <v>479</v>
      </c>
      <c r="F79" s="3"/>
    </row>
    <row r="80" spans="2:14" hidden="1" x14ac:dyDescent="0.2">
      <c r="D80" s="144"/>
      <c r="E80" s="3" t="s">
        <v>476</v>
      </c>
      <c r="F80" s="3" t="s">
        <v>478</v>
      </c>
    </row>
    <row r="81" spans="4:6" hidden="1" x14ac:dyDescent="0.2">
      <c r="D81" s="146"/>
      <c r="E81" s="3" t="s">
        <v>477</v>
      </c>
      <c r="F81" s="3" t="s">
        <v>478</v>
      </c>
    </row>
    <row r="82" spans="4:6" hidden="1" x14ac:dyDescent="0.2"/>
    <row r="83" spans="4:6" hidden="1" x14ac:dyDescent="0.2"/>
  </sheetData>
  <sheetProtection algorithmName="SHA-512" hashValue="9gOJ0uJzw9gId3qIu5njem164rtlr/Pg4H8cbBKeAtT6h++LX4GrkQ8zfxcbtGDysI3qHBgkudtLwzYo5UmZuw==" saltValue="LbA879EkB8ruHkyOzj9HpQ==" spinCount="100000" sheet="1" selectLockedCells="1" selectUnlockedCells="1"/>
  <autoFilter ref="K2:K77" xr:uid="{00000000-0009-0000-0000-000003000000}"/>
  <mergeCells count="26">
    <mergeCell ref="D23:D24"/>
    <mergeCell ref="D59:D60"/>
    <mergeCell ref="C59:C60"/>
    <mergeCell ref="D25:D26"/>
    <mergeCell ref="C3:C18"/>
    <mergeCell ref="C28:C40"/>
    <mergeCell ref="D35:D40"/>
    <mergeCell ref="D4:D5"/>
    <mergeCell ref="C19:C26"/>
    <mergeCell ref="D6:D9"/>
    <mergeCell ref="D10:D18"/>
    <mergeCell ref="D19:D20"/>
    <mergeCell ref="B61:B76"/>
    <mergeCell ref="B28:B40"/>
    <mergeCell ref="B41:B60"/>
    <mergeCell ref="D74:D76"/>
    <mergeCell ref="D46:D52"/>
    <mergeCell ref="D61:D73"/>
    <mergeCell ref="D53:D57"/>
    <mergeCell ref="D28:D34"/>
    <mergeCell ref="F63:F65"/>
    <mergeCell ref="F66:F69"/>
    <mergeCell ref="C61:C76"/>
    <mergeCell ref="C41:C57"/>
    <mergeCell ref="D41:D43"/>
    <mergeCell ref="F74:F75"/>
  </mergeCells>
  <pageMargins left="0.70866141732283472" right="0.70866141732283472" top="0.74803149606299213" bottom="0.74803149606299213" header="0.31496062992125984" footer="0.31496062992125984"/>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33"/>
  <sheetViews>
    <sheetView tabSelected="1" zoomScaleNormal="100" workbookViewId="0">
      <selection activeCell="E13" sqref="E13"/>
    </sheetView>
  </sheetViews>
  <sheetFormatPr baseColWidth="10" defaultRowHeight="15" x14ac:dyDescent="0.25"/>
  <cols>
    <col min="1" max="1" width="2.140625" customWidth="1"/>
    <col min="2" max="3" width="17.140625" customWidth="1"/>
    <col min="4" max="4" width="9.7109375" hidden="1" customWidth="1"/>
    <col min="5" max="5" width="49.140625" customWidth="1"/>
    <col min="6" max="6" width="49.140625" style="13" customWidth="1"/>
    <col min="7" max="7" width="17.140625" style="38" hidden="1" customWidth="1"/>
    <col min="8" max="8" width="17.140625" style="14" hidden="1" customWidth="1"/>
    <col min="9" max="9" width="17.140625" style="14" customWidth="1"/>
    <col min="10" max="10" width="22" style="14" hidden="1" customWidth="1"/>
    <col min="11" max="11" width="23.42578125" style="13" customWidth="1"/>
    <col min="12" max="12" width="18.140625" style="46" hidden="1" customWidth="1"/>
    <col min="13" max="13" width="0" hidden="1" customWidth="1"/>
  </cols>
  <sheetData>
    <row r="2" spans="2:14" s="3" customFormat="1" ht="30" customHeight="1" x14ac:dyDescent="0.2">
      <c r="B2" s="7" t="s">
        <v>5</v>
      </c>
      <c r="C2" s="7" t="s">
        <v>6</v>
      </c>
      <c r="D2" s="7"/>
      <c r="E2" s="7" t="s">
        <v>2</v>
      </c>
      <c r="F2" s="40" t="s">
        <v>3</v>
      </c>
      <c r="G2" s="1" t="s">
        <v>166</v>
      </c>
      <c r="H2" s="7" t="s">
        <v>170</v>
      </c>
      <c r="I2" s="7"/>
      <c r="J2" s="7" t="s">
        <v>470</v>
      </c>
      <c r="K2" s="7" t="s">
        <v>471</v>
      </c>
      <c r="L2" s="44">
        <v>1</v>
      </c>
    </row>
    <row r="3" spans="2:14" s="3" customFormat="1" ht="60" hidden="1" customHeight="1" x14ac:dyDescent="0.2">
      <c r="B3" s="188" t="s">
        <v>88</v>
      </c>
      <c r="C3" s="57" t="s">
        <v>80</v>
      </c>
      <c r="D3" s="56" t="s">
        <v>234</v>
      </c>
      <c r="E3" s="63" t="s">
        <v>81</v>
      </c>
      <c r="F3" s="80" t="s">
        <v>82</v>
      </c>
      <c r="G3" s="33">
        <v>7</v>
      </c>
      <c r="H3" s="33">
        <v>7</v>
      </c>
      <c r="I3" s="33">
        <f t="shared" ref="I3:I11" si="0">+G3-H3</f>
        <v>0</v>
      </c>
      <c r="J3" s="35"/>
      <c r="K3" s="69" t="s">
        <v>151</v>
      </c>
      <c r="L3" s="52">
        <f t="shared" ref="L3:L10" si="1">IF((H3/G3)&lt;100%,(H3/G3),100%)</f>
        <v>1</v>
      </c>
    </row>
    <row r="4" spans="2:14" ht="40.5" customHeight="1" x14ac:dyDescent="0.25">
      <c r="B4" s="188"/>
      <c r="C4" s="185" t="s">
        <v>83</v>
      </c>
      <c r="D4" s="56" t="s">
        <v>233</v>
      </c>
      <c r="E4" s="63" t="s">
        <v>84</v>
      </c>
      <c r="F4" s="80" t="s">
        <v>85</v>
      </c>
      <c r="G4" s="33">
        <v>4</v>
      </c>
      <c r="H4" s="93">
        <v>3</v>
      </c>
      <c r="I4" s="82">
        <f t="shared" si="0"/>
        <v>1</v>
      </c>
      <c r="J4" s="33"/>
      <c r="K4" s="49" t="s">
        <v>151</v>
      </c>
      <c r="L4" s="135">
        <f t="shared" si="1"/>
        <v>0.75</v>
      </c>
    </row>
    <row r="5" spans="2:14" ht="40.5" customHeight="1" x14ac:dyDescent="0.25">
      <c r="B5" s="188"/>
      <c r="C5" s="186"/>
      <c r="D5" s="56" t="s">
        <v>233</v>
      </c>
      <c r="E5" s="126" t="s">
        <v>86</v>
      </c>
      <c r="F5" s="80" t="s">
        <v>87</v>
      </c>
      <c r="G5" s="33">
        <v>3</v>
      </c>
      <c r="H5" s="33">
        <v>2</v>
      </c>
      <c r="I5" s="82">
        <f t="shared" si="0"/>
        <v>1</v>
      </c>
      <c r="J5" s="33"/>
      <c r="K5" s="49" t="s">
        <v>151</v>
      </c>
      <c r="L5" s="135">
        <f t="shared" si="1"/>
        <v>0.66666666666666663</v>
      </c>
    </row>
    <row r="6" spans="2:14" ht="40.5" hidden="1" customHeight="1" x14ac:dyDescent="0.25">
      <c r="B6" s="188"/>
      <c r="C6" s="186"/>
      <c r="D6" s="56" t="s">
        <v>233</v>
      </c>
      <c r="E6" s="128"/>
      <c r="F6" s="80" t="s">
        <v>491</v>
      </c>
      <c r="G6" s="33">
        <v>7</v>
      </c>
      <c r="H6" s="33">
        <v>7</v>
      </c>
      <c r="I6" s="82"/>
      <c r="J6" s="33"/>
      <c r="K6" s="49" t="s">
        <v>151</v>
      </c>
      <c r="L6" s="107">
        <f t="shared" si="1"/>
        <v>1</v>
      </c>
    </row>
    <row r="7" spans="2:14" ht="45.75" hidden="1" customHeight="1" x14ac:dyDescent="0.25">
      <c r="B7" s="188"/>
      <c r="C7" s="186"/>
      <c r="D7" s="56" t="s">
        <v>233</v>
      </c>
      <c r="E7" s="63" t="s">
        <v>105</v>
      </c>
      <c r="F7" s="80" t="s">
        <v>107</v>
      </c>
      <c r="G7" s="33">
        <v>12</v>
      </c>
      <c r="H7" s="33">
        <f>7+5</f>
        <v>12</v>
      </c>
      <c r="I7" s="82">
        <f t="shared" si="0"/>
        <v>0</v>
      </c>
      <c r="J7" s="33"/>
      <c r="K7" s="49" t="s">
        <v>151</v>
      </c>
      <c r="L7" s="133">
        <f t="shared" si="1"/>
        <v>1</v>
      </c>
    </row>
    <row r="8" spans="2:14" ht="45.75" hidden="1" customHeight="1" x14ac:dyDescent="0.25">
      <c r="B8" s="188"/>
      <c r="C8" s="186"/>
      <c r="D8" s="56" t="s">
        <v>233</v>
      </c>
      <c r="E8" s="63" t="s">
        <v>252</v>
      </c>
      <c r="F8" s="80" t="s">
        <v>284</v>
      </c>
      <c r="G8" s="33">
        <v>50</v>
      </c>
      <c r="H8" s="33">
        <v>52</v>
      </c>
      <c r="I8" s="82">
        <f t="shared" si="0"/>
        <v>-2</v>
      </c>
      <c r="J8" s="33"/>
      <c r="K8" s="49" t="s">
        <v>151</v>
      </c>
      <c r="L8" s="107">
        <f t="shared" si="1"/>
        <v>1</v>
      </c>
    </row>
    <row r="9" spans="2:14" ht="43.5" hidden="1" customHeight="1" x14ac:dyDescent="0.25">
      <c r="B9" s="188"/>
      <c r="C9" s="186"/>
      <c r="D9" s="56" t="s">
        <v>233</v>
      </c>
      <c r="E9" s="63" t="s">
        <v>286</v>
      </c>
      <c r="F9" s="80" t="s">
        <v>285</v>
      </c>
      <c r="G9" s="33">
        <v>21</v>
      </c>
      <c r="H9" s="33">
        <v>24</v>
      </c>
      <c r="I9" s="82">
        <f t="shared" si="0"/>
        <v>-3</v>
      </c>
      <c r="J9" s="33"/>
      <c r="K9" s="49" t="s">
        <v>151</v>
      </c>
      <c r="L9" s="107">
        <f t="shared" si="1"/>
        <v>1</v>
      </c>
    </row>
    <row r="10" spans="2:14" ht="43.5" hidden="1" customHeight="1" x14ac:dyDescent="0.25">
      <c r="B10" s="188"/>
      <c r="C10" s="186"/>
      <c r="D10" s="56" t="s">
        <v>233</v>
      </c>
      <c r="E10" s="63" t="s">
        <v>287</v>
      </c>
      <c r="F10" s="80" t="s">
        <v>288</v>
      </c>
      <c r="G10" s="33">
        <v>25</v>
      </c>
      <c r="H10" s="33">
        <v>55</v>
      </c>
      <c r="I10" s="82">
        <f t="shared" si="0"/>
        <v>-30</v>
      </c>
      <c r="J10" s="33"/>
      <c r="K10" s="49" t="s">
        <v>151</v>
      </c>
      <c r="L10" s="158">
        <f t="shared" si="1"/>
        <v>1</v>
      </c>
    </row>
    <row r="11" spans="2:14" ht="37.5" customHeight="1" x14ac:dyDescent="0.25">
      <c r="B11" s="188"/>
      <c r="C11" s="189"/>
      <c r="D11" s="56" t="s">
        <v>233</v>
      </c>
      <c r="E11" s="126" t="s">
        <v>289</v>
      </c>
      <c r="F11" s="80" t="s">
        <v>253</v>
      </c>
      <c r="G11" s="34">
        <v>0.05</v>
      </c>
      <c r="H11" s="34">
        <v>0.03</v>
      </c>
      <c r="I11" s="109">
        <f t="shared" si="0"/>
        <v>2.0000000000000004E-2</v>
      </c>
      <c r="J11" s="39"/>
      <c r="K11" s="49" t="s">
        <v>151</v>
      </c>
      <c r="L11" s="155">
        <f t="shared" ref="L11:L28" si="2">IF((H11/G11)&lt;100%,(H11/G11),100%)</f>
        <v>0.6</v>
      </c>
      <c r="N11" s="71"/>
    </row>
    <row r="12" spans="2:14" ht="38.25" hidden="1" customHeight="1" x14ac:dyDescent="0.25">
      <c r="B12" s="188" t="s">
        <v>89</v>
      </c>
      <c r="C12" s="194" t="s">
        <v>90</v>
      </c>
      <c r="D12" s="56" t="s">
        <v>233</v>
      </c>
      <c r="E12" s="63" t="s">
        <v>91</v>
      </c>
      <c r="F12" s="80" t="s">
        <v>92</v>
      </c>
      <c r="G12" s="33">
        <v>470</v>
      </c>
      <c r="H12" s="33">
        <v>547</v>
      </c>
      <c r="I12" s="82">
        <f t="shared" ref="I12:I28" si="3">+G12-H12</f>
        <v>-77</v>
      </c>
      <c r="J12" s="33"/>
      <c r="K12" s="49" t="s">
        <v>151</v>
      </c>
      <c r="L12" s="158">
        <f t="shared" si="2"/>
        <v>1</v>
      </c>
    </row>
    <row r="13" spans="2:14" ht="38.25" customHeight="1" x14ac:dyDescent="0.25">
      <c r="B13" s="188"/>
      <c r="C13" s="194"/>
      <c r="D13" s="56" t="s">
        <v>234</v>
      </c>
      <c r="E13" s="63" t="s">
        <v>93</v>
      </c>
      <c r="F13" s="80" t="s">
        <v>94</v>
      </c>
      <c r="G13" s="33">
        <v>8</v>
      </c>
      <c r="H13" s="35">
        <v>6</v>
      </c>
      <c r="I13" s="82">
        <f t="shared" si="3"/>
        <v>2</v>
      </c>
      <c r="J13" s="33"/>
      <c r="K13" s="49" t="s">
        <v>151</v>
      </c>
      <c r="L13" s="149">
        <f t="shared" si="2"/>
        <v>0.75</v>
      </c>
    </row>
    <row r="14" spans="2:14" ht="36.75" customHeight="1" x14ac:dyDescent="0.25">
      <c r="B14" s="185" t="s">
        <v>110</v>
      </c>
      <c r="C14" s="195" t="s">
        <v>111</v>
      </c>
      <c r="D14" s="230" t="s">
        <v>233</v>
      </c>
      <c r="E14" s="126" t="s">
        <v>109</v>
      </c>
      <c r="F14" s="80" t="s">
        <v>167</v>
      </c>
      <c r="G14" s="33">
        <v>70</v>
      </c>
      <c r="H14" s="35">
        <v>53</v>
      </c>
      <c r="I14" s="82">
        <f t="shared" si="3"/>
        <v>17</v>
      </c>
      <c r="J14" s="33"/>
      <c r="K14" s="49" t="s">
        <v>151</v>
      </c>
      <c r="L14" s="155">
        <f t="shared" si="2"/>
        <v>0.75714285714285712</v>
      </c>
    </row>
    <row r="15" spans="2:14" ht="36.75" customHeight="1" x14ac:dyDescent="0.25">
      <c r="B15" s="186"/>
      <c r="C15" s="196"/>
      <c r="D15" s="230" t="s">
        <v>233</v>
      </c>
      <c r="E15" s="126" t="s">
        <v>306</v>
      </c>
      <c r="F15" s="80" t="s">
        <v>169</v>
      </c>
      <c r="G15" s="33">
        <v>1</v>
      </c>
      <c r="H15" s="35">
        <v>0</v>
      </c>
      <c r="I15" s="82">
        <f t="shared" si="3"/>
        <v>1</v>
      </c>
      <c r="J15" s="33"/>
      <c r="K15" s="49" t="s">
        <v>151</v>
      </c>
      <c r="L15" s="155">
        <f t="shared" si="2"/>
        <v>0</v>
      </c>
    </row>
    <row r="16" spans="2:14" ht="36.75" customHeight="1" x14ac:dyDescent="0.25">
      <c r="B16" s="186"/>
      <c r="C16" s="196"/>
      <c r="D16" s="230" t="s">
        <v>233</v>
      </c>
      <c r="E16" s="127" t="s">
        <v>95</v>
      </c>
      <c r="F16" s="80" t="s">
        <v>96</v>
      </c>
      <c r="G16" s="33">
        <v>15</v>
      </c>
      <c r="H16" s="33">
        <v>9</v>
      </c>
      <c r="I16" s="82">
        <f t="shared" si="3"/>
        <v>6</v>
      </c>
      <c r="J16" s="33"/>
      <c r="K16" s="132" t="s">
        <v>151</v>
      </c>
      <c r="L16" s="155">
        <f t="shared" si="2"/>
        <v>0.6</v>
      </c>
    </row>
    <row r="17" spans="2:13" ht="36.75" customHeight="1" x14ac:dyDescent="0.25">
      <c r="B17" s="186"/>
      <c r="C17" s="196"/>
      <c r="D17" s="230" t="s">
        <v>233</v>
      </c>
      <c r="E17" s="127" t="s">
        <v>97</v>
      </c>
      <c r="F17" s="80" t="s">
        <v>98</v>
      </c>
      <c r="G17" s="33">
        <v>30</v>
      </c>
      <c r="H17" s="35">
        <v>28</v>
      </c>
      <c r="I17" s="82">
        <f t="shared" si="3"/>
        <v>2</v>
      </c>
      <c r="J17" s="33"/>
      <c r="K17" s="132" t="s">
        <v>151</v>
      </c>
      <c r="L17" s="155">
        <f t="shared" si="2"/>
        <v>0.93333333333333335</v>
      </c>
    </row>
    <row r="18" spans="2:13" ht="36.75" customHeight="1" x14ac:dyDescent="0.25">
      <c r="B18" s="186"/>
      <c r="C18" s="196"/>
      <c r="D18" s="230" t="s">
        <v>234</v>
      </c>
      <c r="E18" s="126" t="s">
        <v>108</v>
      </c>
      <c r="F18" s="80" t="s">
        <v>168</v>
      </c>
      <c r="G18" s="33">
        <v>50</v>
      </c>
      <c r="H18" s="33">
        <v>98</v>
      </c>
      <c r="I18" s="82">
        <v>10</v>
      </c>
      <c r="J18" s="33"/>
      <c r="K18" s="132" t="s">
        <v>151</v>
      </c>
      <c r="L18" s="155">
        <f t="shared" si="2"/>
        <v>1</v>
      </c>
    </row>
    <row r="19" spans="2:13" ht="41.25" hidden="1" customHeight="1" x14ac:dyDescent="0.25">
      <c r="B19" s="186"/>
      <c r="C19" s="196"/>
      <c r="D19" s="230" t="s">
        <v>233</v>
      </c>
      <c r="E19" s="127" t="s">
        <v>99</v>
      </c>
      <c r="F19" s="80" t="s">
        <v>100</v>
      </c>
      <c r="G19" s="33">
        <v>2</v>
      </c>
      <c r="H19" s="33">
        <v>2</v>
      </c>
      <c r="I19" s="82">
        <f t="shared" si="3"/>
        <v>0</v>
      </c>
      <c r="J19" s="33"/>
      <c r="K19" s="100" t="s">
        <v>11</v>
      </c>
      <c r="L19" s="135">
        <f t="shared" si="2"/>
        <v>1</v>
      </c>
    </row>
    <row r="20" spans="2:13" ht="36.75" customHeight="1" x14ac:dyDescent="0.25">
      <c r="B20" s="186"/>
      <c r="C20" s="196"/>
      <c r="D20" s="230" t="s">
        <v>234</v>
      </c>
      <c r="E20" s="127" t="s">
        <v>101</v>
      </c>
      <c r="F20" s="80" t="s">
        <v>102</v>
      </c>
      <c r="G20" s="33">
        <v>100</v>
      </c>
      <c r="H20" s="84">
        <f>58+63</f>
        <v>121</v>
      </c>
      <c r="I20" s="82">
        <v>10</v>
      </c>
      <c r="J20" s="33"/>
      <c r="K20" s="132" t="s">
        <v>151</v>
      </c>
      <c r="L20" s="135">
        <f t="shared" si="2"/>
        <v>1</v>
      </c>
    </row>
    <row r="21" spans="2:13" ht="72" customHeight="1" x14ac:dyDescent="0.25">
      <c r="B21" s="186"/>
      <c r="C21" s="196"/>
      <c r="D21" s="230" t="s">
        <v>233</v>
      </c>
      <c r="E21" s="127" t="s">
        <v>103</v>
      </c>
      <c r="F21" s="80" t="s">
        <v>104</v>
      </c>
      <c r="G21" s="33">
        <v>9</v>
      </c>
      <c r="H21" s="84">
        <v>28</v>
      </c>
      <c r="I21" s="82">
        <v>5</v>
      </c>
      <c r="J21" s="33"/>
      <c r="K21" s="100" t="s">
        <v>27</v>
      </c>
      <c r="L21" s="135">
        <f t="shared" si="2"/>
        <v>1</v>
      </c>
    </row>
    <row r="22" spans="2:13" ht="51.75" customHeight="1" x14ac:dyDescent="0.25">
      <c r="B22" s="186"/>
      <c r="C22" s="196"/>
      <c r="D22" s="230" t="s">
        <v>233</v>
      </c>
      <c r="E22" s="126" t="s">
        <v>236</v>
      </c>
      <c r="F22" s="80" t="s">
        <v>238</v>
      </c>
      <c r="G22" s="33">
        <v>310</v>
      </c>
      <c r="H22" s="84">
        <v>405</v>
      </c>
      <c r="I22" s="82">
        <v>15</v>
      </c>
      <c r="J22" s="33"/>
      <c r="K22" s="132" t="s">
        <v>151</v>
      </c>
      <c r="L22" s="135">
        <f t="shared" si="2"/>
        <v>1</v>
      </c>
    </row>
    <row r="23" spans="2:13" ht="37.5" customHeight="1" x14ac:dyDescent="0.25">
      <c r="B23" s="186"/>
      <c r="C23" s="196"/>
      <c r="D23" s="230" t="s">
        <v>233</v>
      </c>
      <c r="E23" s="128"/>
      <c r="F23" s="80" t="s">
        <v>239</v>
      </c>
      <c r="G23" s="33">
        <v>1</v>
      </c>
      <c r="H23" s="84">
        <v>0</v>
      </c>
      <c r="I23" s="82">
        <f t="shared" si="3"/>
        <v>1</v>
      </c>
      <c r="J23" s="33"/>
      <c r="K23" s="132" t="s">
        <v>151</v>
      </c>
      <c r="L23" s="52">
        <f t="shared" si="2"/>
        <v>0</v>
      </c>
    </row>
    <row r="24" spans="2:13" ht="36.75" hidden="1" customHeight="1" x14ac:dyDescent="0.25">
      <c r="B24" s="186"/>
      <c r="C24" s="196"/>
      <c r="D24" s="230" t="s">
        <v>234</v>
      </c>
      <c r="E24" s="126" t="s">
        <v>262</v>
      </c>
      <c r="F24" s="80" t="s">
        <v>106</v>
      </c>
      <c r="G24" s="34">
        <v>1</v>
      </c>
      <c r="H24" s="231">
        <v>1</v>
      </c>
      <c r="I24" s="109">
        <f t="shared" si="3"/>
        <v>0</v>
      </c>
      <c r="J24" s="39"/>
      <c r="K24" s="132" t="s">
        <v>151</v>
      </c>
      <c r="L24" s="107">
        <f t="shared" si="2"/>
        <v>1</v>
      </c>
    </row>
    <row r="25" spans="2:13" ht="46.5" customHeight="1" x14ac:dyDescent="0.25">
      <c r="B25" s="186"/>
      <c r="C25" s="197"/>
      <c r="D25" s="230"/>
      <c r="E25" s="128"/>
      <c r="F25" s="80" t="s">
        <v>307</v>
      </c>
      <c r="G25" s="41">
        <v>5</v>
      </c>
      <c r="H25" s="231"/>
      <c r="I25" s="232">
        <v>5</v>
      </c>
      <c r="J25" s="85"/>
      <c r="K25" s="132" t="s">
        <v>151</v>
      </c>
      <c r="L25" s="52">
        <f t="shared" si="2"/>
        <v>0</v>
      </c>
    </row>
    <row r="26" spans="2:13" ht="36.75" customHeight="1" x14ac:dyDescent="0.25">
      <c r="B26" s="186"/>
      <c r="C26" s="192" t="s">
        <v>112</v>
      </c>
      <c r="D26" s="58" t="s">
        <v>234</v>
      </c>
      <c r="E26" s="127" t="s">
        <v>113</v>
      </c>
      <c r="F26" s="80" t="s">
        <v>114</v>
      </c>
      <c r="G26" s="33">
        <v>3</v>
      </c>
      <c r="H26" s="84">
        <v>2</v>
      </c>
      <c r="I26" s="82">
        <f t="shared" si="3"/>
        <v>1</v>
      </c>
      <c r="J26" s="33"/>
      <c r="K26" s="132" t="s">
        <v>151</v>
      </c>
      <c r="L26" s="133">
        <f t="shared" si="2"/>
        <v>0.66666666666666663</v>
      </c>
    </row>
    <row r="27" spans="2:13" ht="39" customHeight="1" x14ac:dyDescent="0.25">
      <c r="B27" s="186"/>
      <c r="C27" s="193"/>
      <c r="D27" s="58" t="s">
        <v>233</v>
      </c>
      <c r="E27" s="126" t="s">
        <v>308</v>
      </c>
      <c r="F27" s="80" t="s">
        <v>309</v>
      </c>
      <c r="G27" s="33">
        <v>11</v>
      </c>
      <c r="H27" s="84">
        <f>3+2+3</f>
        <v>8</v>
      </c>
      <c r="I27" s="82">
        <f t="shared" si="3"/>
        <v>3</v>
      </c>
      <c r="J27" s="33"/>
      <c r="K27" s="132" t="s">
        <v>151</v>
      </c>
      <c r="L27" s="135">
        <f t="shared" si="2"/>
        <v>0.72727272727272729</v>
      </c>
    </row>
    <row r="28" spans="2:13" ht="39" customHeight="1" x14ac:dyDescent="0.25">
      <c r="B28" s="189"/>
      <c r="C28" s="79" t="s">
        <v>115</v>
      </c>
      <c r="D28" s="59" t="s">
        <v>234</v>
      </c>
      <c r="E28" s="127" t="s">
        <v>290</v>
      </c>
      <c r="F28" s="80" t="s">
        <v>277</v>
      </c>
      <c r="G28" s="33">
        <v>350</v>
      </c>
      <c r="H28" s="84">
        <v>103</v>
      </c>
      <c r="I28" s="82">
        <f t="shared" si="3"/>
        <v>247</v>
      </c>
      <c r="J28" s="33"/>
      <c r="K28" s="132" t="s">
        <v>151</v>
      </c>
      <c r="L28" s="133">
        <f t="shared" si="2"/>
        <v>0.29428571428571426</v>
      </c>
      <c r="M28" s="170">
        <f>(L4+L5+L6+L8+L9+L10+L11+L12+L14+L15+L16+L17+L18+L19+L20+L21+L22+L24+L27)/19</f>
        <v>0.8439166097060834</v>
      </c>
    </row>
    <row r="30" spans="2:13" hidden="1" x14ac:dyDescent="0.25">
      <c r="B30" s="143"/>
      <c r="C30" s="3" t="s">
        <v>480</v>
      </c>
      <c r="D30" s="3"/>
    </row>
    <row r="31" spans="2:13" hidden="1" x14ac:dyDescent="0.25">
      <c r="B31" s="145"/>
      <c r="C31" s="3" t="s">
        <v>479</v>
      </c>
      <c r="D31" s="3"/>
    </row>
    <row r="32" spans="2:13" hidden="1" x14ac:dyDescent="0.25">
      <c r="B32" s="144"/>
      <c r="C32" s="3" t="s">
        <v>476</v>
      </c>
      <c r="D32" s="3" t="s">
        <v>478</v>
      </c>
    </row>
    <row r="33" spans="2:4" hidden="1" x14ac:dyDescent="0.25">
      <c r="B33" s="146"/>
      <c r="C33" s="3" t="s">
        <v>477</v>
      </c>
      <c r="D33" s="3" t="s">
        <v>478</v>
      </c>
    </row>
  </sheetData>
  <sheetProtection algorithmName="SHA-512" hashValue="PlFZrz70DHG2UIk3LDGYWozp0WeY7XMPRtVxotND8aQAmLKln2mHc26EseZiveQMibo7VScjdcLQYPEBYlZkFA==" saltValue="UABWNO73yDnDjpYR8KhqsA==" spinCount="100000" sheet="1" selectLockedCells="1" selectUnlockedCells="1"/>
  <mergeCells count="7">
    <mergeCell ref="B3:B11"/>
    <mergeCell ref="C4:C11"/>
    <mergeCell ref="C26:C27"/>
    <mergeCell ref="C12:C13"/>
    <mergeCell ref="B12:B13"/>
    <mergeCell ref="B14:B28"/>
    <mergeCell ref="C14:C25"/>
  </mergeCells>
  <pageMargins left="0.70866141732283472" right="0.70866141732283472" top="0.74803149606299213" bottom="0.74803149606299213" header="0.31496062992125984" footer="0.31496062992125984"/>
  <pageSetup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28"/>
  <sheetViews>
    <sheetView zoomScaleNormal="100" workbookViewId="0">
      <selection activeCell="E13" sqref="E13"/>
    </sheetView>
  </sheetViews>
  <sheetFormatPr baseColWidth="10" defaultRowHeight="15" x14ac:dyDescent="0.25"/>
  <cols>
    <col min="1" max="1" width="1.140625" customWidth="1"/>
    <col min="2" max="3" width="17.28515625" customWidth="1"/>
    <col min="4" max="4" width="9.140625" hidden="1" customWidth="1"/>
    <col min="5" max="6" width="49.140625" customWidth="1"/>
    <col min="7" max="7" width="15.85546875" style="38" hidden="1" customWidth="1"/>
    <col min="8" max="8" width="3.5703125" hidden="1" customWidth="1"/>
    <col min="9" max="9" width="15.85546875" customWidth="1"/>
    <col min="10" max="10" width="26.5703125" customWidth="1"/>
    <col min="11" max="12" width="0" hidden="1" customWidth="1"/>
  </cols>
  <sheetData>
    <row r="2" spans="2:11" s="3" customFormat="1" ht="30" customHeight="1" x14ac:dyDescent="0.2">
      <c r="B2" s="7" t="s">
        <v>5</v>
      </c>
      <c r="C2" s="7" t="s">
        <v>6</v>
      </c>
      <c r="D2" s="7"/>
      <c r="E2" s="7" t="s">
        <v>2</v>
      </c>
      <c r="F2" s="7" t="s">
        <v>3</v>
      </c>
      <c r="G2" s="1" t="s">
        <v>166</v>
      </c>
      <c r="H2" s="7" t="s">
        <v>170</v>
      </c>
      <c r="I2" s="7">
        <v>2019</v>
      </c>
      <c r="J2" s="7" t="s">
        <v>4</v>
      </c>
    </row>
    <row r="3" spans="2:11" s="3" customFormat="1" ht="39.75" customHeight="1" x14ac:dyDescent="0.2">
      <c r="B3" s="185" t="s">
        <v>120</v>
      </c>
      <c r="C3" s="185" t="s">
        <v>121</v>
      </c>
      <c r="D3" s="56" t="s">
        <v>234</v>
      </c>
      <c r="E3" s="222" t="s">
        <v>301</v>
      </c>
      <c r="F3" s="63" t="s">
        <v>292</v>
      </c>
      <c r="G3" s="213">
        <f>12+5+7</f>
        <v>24</v>
      </c>
      <c r="H3" s="33">
        <v>25</v>
      </c>
      <c r="I3" s="35">
        <v>1</v>
      </c>
      <c r="J3" s="126" t="s">
        <v>158</v>
      </c>
      <c r="K3" s="90">
        <f>IF((H3/G3)&lt;100%,(H3/G3),100%)</f>
        <v>1</v>
      </c>
    </row>
    <row r="4" spans="2:11" s="3" customFormat="1" ht="39.75" customHeight="1" x14ac:dyDescent="0.2">
      <c r="B4" s="186"/>
      <c r="C4" s="189"/>
      <c r="D4" s="56" t="s">
        <v>233</v>
      </c>
      <c r="E4" s="224"/>
      <c r="F4" s="63" t="s">
        <v>293</v>
      </c>
      <c r="G4" s="213">
        <v>3</v>
      </c>
      <c r="H4" s="33">
        <v>10</v>
      </c>
      <c r="I4" s="35">
        <v>7</v>
      </c>
      <c r="J4" s="126" t="s">
        <v>158</v>
      </c>
      <c r="K4" s="90">
        <f>IF((H4/G4)&lt;100%,(H4/G4),100%)</f>
        <v>1</v>
      </c>
    </row>
    <row r="5" spans="2:11" ht="40.5" customHeight="1" x14ac:dyDescent="0.25">
      <c r="B5" s="186"/>
      <c r="C5" s="185" t="s">
        <v>122</v>
      </c>
      <c r="D5" s="56" t="s">
        <v>233</v>
      </c>
      <c r="E5" s="222" t="s">
        <v>199</v>
      </c>
      <c r="F5" s="63" t="s">
        <v>340</v>
      </c>
      <c r="G5" s="213">
        <f>9+6</f>
        <v>15</v>
      </c>
      <c r="H5" s="33">
        <v>1</v>
      </c>
      <c r="I5" s="35">
        <f>+G5-H5</f>
        <v>14</v>
      </c>
      <c r="J5" s="126" t="s">
        <v>158</v>
      </c>
      <c r="K5" s="135">
        <f t="shared" ref="K5:K15" si="0">IF((H5/G5)&lt;100%,(H5/G5),100%)</f>
        <v>6.6666666666666666E-2</v>
      </c>
    </row>
    <row r="6" spans="2:11" ht="40.5" customHeight="1" x14ac:dyDescent="0.25">
      <c r="B6" s="186"/>
      <c r="C6" s="186"/>
      <c r="D6" s="56" t="s">
        <v>233</v>
      </c>
      <c r="E6" s="224"/>
      <c r="F6" s="63" t="s">
        <v>343</v>
      </c>
      <c r="G6" s="213">
        <v>30</v>
      </c>
      <c r="H6" s="33">
        <v>17</v>
      </c>
      <c r="I6" s="35">
        <f t="shared" ref="I6:I15" si="1">+G6-H6</f>
        <v>13</v>
      </c>
      <c r="J6" s="126" t="s">
        <v>158</v>
      </c>
      <c r="K6" s="135">
        <f t="shared" si="0"/>
        <v>0.56666666666666665</v>
      </c>
    </row>
    <row r="7" spans="2:11" ht="45.6" customHeight="1" x14ac:dyDescent="0.25">
      <c r="B7" s="186"/>
      <c r="C7" s="186"/>
      <c r="D7" s="56" t="s">
        <v>233</v>
      </c>
      <c r="E7" s="126" t="s">
        <v>198</v>
      </c>
      <c r="F7" s="63" t="s">
        <v>341</v>
      </c>
      <c r="G7" s="213">
        <v>20</v>
      </c>
      <c r="H7" s="33">
        <v>3</v>
      </c>
      <c r="I7" s="35">
        <f t="shared" si="1"/>
        <v>17</v>
      </c>
      <c r="J7" s="126" t="s">
        <v>158</v>
      </c>
      <c r="K7" s="135">
        <f t="shared" si="0"/>
        <v>0.15</v>
      </c>
    </row>
    <row r="8" spans="2:11" ht="45.6" customHeight="1" x14ac:dyDescent="0.25">
      <c r="B8" s="186"/>
      <c r="C8" s="186"/>
      <c r="D8" s="56" t="s">
        <v>233</v>
      </c>
      <c r="E8" s="122"/>
      <c r="F8" s="63" t="s">
        <v>351</v>
      </c>
      <c r="G8" s="213">
        <v>20</v>
      </c>
      <c r="H8" s="33">
        <v>5</v>
      </c>
      <c r="I8" s="35">
        <f t="shared" si="1"/>
        <v>15</v>
      </c>
      <c r="J8" s="69" t="s">
        <v>158</v>
      </c>
      <c r="K8" s="135">
        <f t="shared" si="0"/>
        <v>0.25</v>
      </c>
    </row>
    <row r="9" spans="2:11" ht="45.6" customHeight="1" x14ac:dyDescent="0.25">
      <c r="B9" s="186"/>
      <c r="C9" s="186"/>
      <c r="D9" s="56" t="s">
        <v>233</v>
      </c>
      <c r="E9" s="122"/>
      <c r="F9" s="63" t="s">
        <v>344</v>
      </c>
      <c r="G9" s="213">
        <v>10</v>
      </c>
      <c r="H9" s="33">
        <v>5</v>
      </c>
      <c r="I9" s="35">
        <f t="shared" si="1"/>
        <v>5</v>
      </c>
      <c r="J9" s="69" t="s">
        <v>158</v>
      </c>
      <c r="K9" s="135">
        <f t="shared" si="0"/>
        <v>0.5</v>
      </c>
    </row>
    <row r="10" spans="2:11" ht="45.6" customHeight="1" x14ac:dyDescent="0.25">
      <c r="B10" s="186"/>
      <c r="C10" s="186"/>
      <c r="D10" s="56" t="s">
        <v>233</v>
      </c>
      <c r="E10" s="127" t="s">
        <v>345</v>
      </c>
      <c r="F10" s="63" t="s">
        <v>342</v>
      </c>
      <c r="G10" s="213">
        <v>7</v>
      </c>
      <c r="H10" s="33">
        <v>0</v>
      </c>
      <c r="I10" s="35">
        <v>1</v>
      </c>
      <c r="J10" s="69" t="s">
        <v>158</v>
      </c>
      <c r="K10" s="135">
        <f t="shared" si="0"/>
        <v>0</v>
      </c>
    </row>
    <row r="11" spans="2:11" ht="36" customHeight="1" x14ac:dyDescent="0.25">
      <c r="B11" s="189"/>
      <c r="C11" s="189"/>
      <c r="D11" s="56" t="s">
        <v>233</v>
      </c>
      <c r="E11" s="126" t="s">
        <v>202</v>
      </c>
      <c r="F11" s="63" t="s">
        <v>203</v>
      </c>
      <c r="G11" s="213">
        <v>2</v>
      </c>
      <c r="H11" s="33">
        <v>1</v>
      </c>
      <c r="I11" s="35">
        <f t="shared" si="1"/>
        <v>1</v>
      </c>
      <c r="J11" s="69" t="s">
        <v>158</v>
      </c>
      <c r="K11" s="135">
        <f t="shared" si="0"/>
        <v>0.5</v>
      </c>
    </row>
    <row r="12" spans="2:11" ht="37.5" hidden="1" customHeight="1" x14ac:dyDescent="0.25">
      <c r="B12" s="185" t="s">
        <v>123</v>
      </c>
      <c r="C12" s="185" t="s">
        <v>125</v>
      </c>
      <c r="D12" s="56" t="s">
        <v>233</v>
      </c>
      <c r="E12" s="126" t="s">
        <v>294</v>
      </c>
      <c r="F12" s="63" t="s">
        <v>346</v>
      </c>
      <c r="G12" s="213">
        <f>2+2+10</f>
        <v>14</v>
      </c>
      <c r="H12" s="33">
        <v>14</v>
      </c>
      <c r="I12" s="35">
        <f t="shared" si="1"/>
        <v>0</v>
      </c>
      <c r="J12" s="69" t="s">
        <v>158</v>
      </c>
      <c r="K12" s="90">
        <f t="shared" si="0"/>
        <v>1</v>
      </c>
    </row>
    <row r="13" spans="2:11" ht="37.5" customHeight="1" x14ac:dyDescent="0.25">
      <c r="B13" s="189"/>
      <c r="C13" s="189"/>
      <c r="D13" s="56" t="s">
        <v>234</v>
      </c>
      <c r="E13" s="126" t="s">
        <v>352</v>
      </c>
      <c r="F13" s="63" t="s">
        <v>353</v>
      </c>
      <c r="G13" s="213">
        <v>16</v>
      </c>
      <c r="H13" s="35">
        <v>0</v>
      </c>
      <c r="I13" s="35">
        <f t="shared" si="1"/>
        <v>16</v>
      </c>
      <c r="J13" s="69" t="s">
        <v>158</v>
      </c>
      <c r="K13" s="141">
        <f t="shared" si="0"/>
        <v>0</v>
      </c>
    </row>
    <row r="14" spans="2:11" ht="46.5" customHeight="1" x14ac:dyDescent="0.25">
      <c r="B14" s="185" t="s">
        <v>126</v>
      </c>
      <c r="C14" s="185" t="s">
        <v>127</v>
      </c>
      <c r="D14" s="56" t="s">
        <v>233</v>
      </c>
      <c r="E14" s="126" t="s">
        <v>128</v>
      </c>
      <c r="F14" s="63" t="s">
        <v>129</v>
      </c>
      <c r="G14" s="233">
        <v>1</v>
      </c>
      <c r="H14" s="184">
        <v>0</v>
      </c>
      <c r="I14" s="35">
        <f t="shared" si="1"/>
        <v>1</v>
      </c>
      <c r="J14" s="126" t="s">
        <v>164</v>
      </c>
      <c r="K14" s="135">
        <f t="shared" si="0"/>
        <v>0</v>
      </c>
    </row>
    <row r="15" spans="2:11" ht="46.5" customHeight="1" x14ac:dyDescent="0.25">
      <c r="B15" s="189"/>
      <c r="C15" s="189"/>
      <c r="D15" s="220" t="s">
        <v>234</v>
      </c>
      <c r="E15" s="83" t="s">
        <v>347</v>
      </c>
      <c r="F15" s="63" t="s">
        <v>349</v>
      </c>
      <c r="G15" s="233">
        <v>10</v>
      </c>
      <c r="H15" s="184">
        <v>1</v>
      </c>
      <c r="I15" s="35">
        <f t="shared" si="1"/>
        <v>9</v>
      </c>
      <c r="J15" s="126" t="s">
        <v>389</v>
      </c>
      <c r="K15" s="141">
        <f t="shared" si="0"/>
        <v>0.1</v>
      </c>
    </row>
    <row r="16" spans="2:11" ht="42" customHeight="1" x14ac:dyDescent="0.25">
      <c r="B16" s="185" t="s">
        <v>123</v>
      </c>
      <c r="C16" s="188" t="s">
        <v>124</v>
      </c>
      <c r="D16" s="220" t="s">
        <v>233</v>
      </c>
      <c r="E16" s="32"/>
      <c r="F16" s="126" t="s">
        <v>408</v>
      </c>
      <c r="G16" s="33">
        <v>2</v>
      </c>
      <c r="H16" s="33">
        <v>0</v>
      </c>
      <c r="I16" s="33">
        <f>+G16-H16</f>
        <v>2</v>
      </c>
      <c r="J16" s="49" t="s">
        <v>291</v>
      </c>
      <c r="K16" s="52">
        <f t="shared" ref="K16:K21" si="2">IF((H16/G16)&lt;100%,(H16/G16),100%)</f>
        <v>0</v>
      </c>
    </row>
    <row r="17" spans="2:12" ht="42" hidden="1" customHeight="1" x14ac:dyDescent="0.25">
      <c r="B17" s="186"/>
      <c r="C17" s="188"/>
      <c r="D17" s="220" t="s">
        <v>233</v>
      </c>
      <c r="E17" s="32"/>
      <c r="F17" s="122"/>
      <c r="G17" s="33">
        <v>2</v>
      </c>
      <c r="H17" s="33">
        <v>2</v>
      </c>
      <c r="I17" s="33">
        <f>+G17-H17</f>
        <v>0</v>
      </c>
      <c r="J17" s="127" t="s">
        <v>461</v>
      </c>
      <c r="K17" s="90">
        <f t="shared" si="2"/>
        <v>1</v>
      </c>
    </row>
    <row r="18" spans="2:12" ht="42" customHeight="1" x14ac:dyDescent="0.25">
      <c r="B18" s="186"/>
      <c r="C18" s="188"/>
      <c r="D18" s="220" t="s">
        <v>233</v>
      </c>
      <c r="E18" s="32"/>
      <c r="F18" s="128"/>
      <c r="G18" s="33">
        <v>1</v>
      </c>
      <c r="H18" s="33">
        <v>0</v>
      </c>
      <c r="I18" s="33">
        <f>+G18-H18</f>
        <v>1</v>
      </c>
      <c r="J18" s="127" t="s">
        <v>164</v>
      </c>
      <c r="K18" s="52">
        <f t="shared" si="2"/>
        <v>0</v>
      </c>
    </row>
    <row r="19" spans="2:12" ht="67.5" hidden="1" customHeight="1" x14ac:dyDescent="0.25">
      <c r="B19" s="186"/>
      <c r="C19" s="188"/>
      <c r="D19" s="56" t="s">
        <v>233</v>
      </c>
      <c r="E19" s="31"/>
      <c r="F19" s="61" t="s">
        <v>409</v>
      </c>
      <c r="G19" s="33">
        <v>3</v>
      </c>
      <c r="H19" s="33">
        <v>3</v>
      </c>
      <c r="I19" s="33">
        <f>+G19-H19</f>
        <v>0</v>
      </c>
      <c r="J19" s="49" t="s">
        <v>291</v>
      </c>
      <c r="K19" s="90">
        <f t="shared" si="2"/>
        <v>1</v>
      </c>
    </row>
    <row r="20" spans="2:12" ht="42" customHeight="1" x14ac:dyDescent="0.25">
      <c r="B20" s="186"/>
      <c r="C20" s="188"/>
      <c r="D20" s="56" t="s">
        <v>233</v>
      </c>
      <c r="E20" s="128" t="s">
        <v>348</v>
      </c>
      <c r="F20" s="127" t="s">
        <v>350</v>
      </c>
      <c r="G20" s="33">
        <v>10</v>
      </c>
      <c r="H20" s="33">
        <v>0</v>
      </c>
      <c r="I20" s="33">
        <v>1</v>
      </c>
      <c r="J20" s="126" t="s">
        <v>389</v>
      </c>
      <c r="K20" s="133">
        <f t="shared" si="2"/>
        <v>0</v>
      </c>
    </row>
    <row r="21" spans="2:12" ht="44.25" customHeight="1" x14ac:dyDescent="0.25">
      <c r="B21" s="189"/>
      <c r="C21" s="188"/>
      <c r="D21" s="56" t="s">
        <v>234</v>
      </c>
      <c r="E21" s="127" t="s">
        <v>302</v>
      </c>
      <c r="F21" s="127" t="s">
        <v>354</v>
      </c>
      <c r="G21" s="33">
        <v>1</v>
      </c>
      <c r="H21" s="33">
        <v>0</v>
      </c>
      <c r="I21" s="33">
        <v>1</v>
      </c>
      <c r="J21" s="127" t="s">
        <v>389</v>
      </c>
      <c r="K21" s="133">
        <f t="shared" si="2"/>
        <v>0</v>
      </c>
      <c r="L21" s="170">
        <f>(K3+K4+K5+K6+K7+K8+K9+K10+K11+K12+K14+K17+K19)/13</f>
        <v>0.54102564102564099</v>
      </c>
    </row>
    <row r="23" spans="2:12" x14ac:dyDescent="0.25">
      <c r="K23" s="53"/>
    </row>
    <row r="24" spans="2:12" hidden="1" x14ac:dyDescent="0.25">
      <c r="B24" s="143"/>
      <c r="C24" s="3" t="s">
        <v>480</v>
      </c>
      <c r="D24" s="3"/>
    </row>
    <row r="25" spans="2:12" hidden="1" x14ac:dyDescent="0.25">
      <c r="B25" s="145"/>
      <c r="C25" s="3" t="s">
        <v>479</v>
      </c>
      <c r="D25" s="3"/>
    </row>
    <row r="26" spans="2:12" hidden="1" x14ac:dyDescent="0.25">
      <c r="B26" s="144"/>
      <c r="C26" s="3" t="s">
        <v>476</v>
      </c>
      <c r="D26" s="3" t="s">
        <v>478</v>
      </c>
    </row>
    <row r="27" spans="2:12" hidden="1" x14ac:dyDescent="0.25">
      <c r="B27" s="146"/>
      <c r="C27" s="3" t="s">
        <v>477</v>
      </c>
      <c r="D27" s="3" t="s">
        <v>478</v>
      </c>
    </row>
    <row r="28" spans="2:12" hidden="1" x14ac:dyDescent="0.25"/>
  </sheetData>
  <sheetProtection algorithmName="SHA-512" hashValue="p1c1JZX/MM1Rk140Wh+pCk8esBdCcfC5aL6zmvA1UhvfxubCdwx9ls7rL11GaxNgSzxwHaqtHevpNZPZ8pOMAg==" saltValue="KMEHTQFopDiGtm0QDI7WMg==" spinCount="100000" sheet="1" selectLockedCells="1" selectUnlockedCells="1"/>
  <mergeCells count="11">
    <mergeCell ref="E3:E4"/>
    <mergeCell ref="E5:E6"/>
    <mergeCell ref="C3:C4"/>
    <mergeCell ref="C16:C21"/>
    <mergeCell ref="C14:C15"/>
    <mergeCell ref="C12:C13"/>
    <mergeCell ref="B16:B21"/>
    <mergeCell ref="B12:B13"/>
    <mergeCell ref="B14:B15"/>
    <mergeCell ref="B3:B11"/>
    <mergeCell ref="C5:C11"/>
  </mergeCells>
  <pageMargins left="0.70866141732283472" right="0.70866141732283472" top="0.74803149606299213" bottom="0.74803149606299213" header="0.31496062992125984" footer="0.31496062992125984"/>
  <pageSetup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N94"/>
  <sheetViews>
    <sheetView zoomScale="110" zoomScaleNormal="110" workbookViewId="0">
      <selection activeCell="E13" sqref="E13"/>
    </sheetView>
  </sheetViews>
  <sheetFormatPr baseColWidth="10" defaultRowHeight="15" x14ac:dyDescent="0.25"/>
  <cols>
    <col min="1" max="1" width="1.7109375" customWidth="1"/>
    <col min="2" max="3" width="11.7109375" customWidth="1"/>
    <col min="4" max="5" width="43.7109375" style="12" customWidth="1"/>
    <col min="6" max="6" width="15.28515625" style="98" hidden="1" customWidth="1"/>
    <col min="7" max="7" width="15.28515625" hidden="1" customWidth="1"/>
    <col min="8" max="8" width="15.28515625" customWidth="1"/>
    <col min="9" max="9" width="25.28515625" customWidth="1"/>
    <col min="10" max="10" width="31.5703125" style="12" hidden="1" customWidth="1"/>
    <col min="11" max="11" width="14" hidden="1" customWidth="1"/>
    <col min="12" max="12" width="0" hidden="1" customWidth="1"/>
    <col min="14" max="14" width="18.28515625" bestFit="1" customWidth="1"/>
  </cols>
  <sheetData>
    <row r="2" spans="2:14" s="3" customFormat="1" ht="30" customHeight="1" x14ac:dyDescent="0.2">
      <c r="B2" s="7" t="s">
        <v>5</v>
      </c>
      <c r="C2" s="7" t="s">
        <v>6</v>
      </c>
      <c r="D2" s="7" t="s">
        <v>2</v>
      </c>
      <c r="E2" s="7" t="s">
        <v>3</v>
      </c>
      <c r="F2" s="96" t="s">
        <v>166</v>
      </c>
      <c r="G2" s="7" t="s">
        <v>170</v>
      </c>
      <c r="H2" s="7">
        <v>2019</v>
      </c>
      <c r="I2" s="7" t="s">
        <v>416</v>
      </c>
      <c r="J2" s="112" t="s">
        <v>417</v>
      </c>
    </row>
    <row r="3" spans="2:14" s="3" customFormat="1" ht="68.25" customHeight="1" x14ac:dyDescent="0.2">
      <c r="B3" s="185" t="s">
        <v>130</v>
      </c>
      <c r="C3" s="185" t="s">
        <v>131</v>
      </c>
      <c r="D3" s="126" t="s">
        <v>237</v>
      </c>
      <c r="E3" s="65" t="s">
        <v>257</v>
      </c>
      <c r="F3" s="93">
        <v>10</v>
      </c>
      <c r="G3" s="184">
        <v>5</v>
      </c>
      <c r="H3" s="184">
        <f>+F3-G3</f>
        <v>5</v>
      </c>
      <c r="I3" s="69" t="s">
        <v>161</v>
      </c>
      <c r="J3" s="138" t="s">
        <v>161</v>
      </c>
      <c r="K3" s="135">
        <f t="shared" ref="K3:K70" si="0">IF((G3/F3)&lt;100%,(G3/F3),100%)</f>
        <v>0.5</v>
      </c>
    </row>
    <row r="4" spans="2:14" s="11" customFormat="1" ht="64.5" customHeight="1" x14ac:dyDescent="0.25">
      <c r="B4" s="186"/>
      <c r="C4" s="186"/>
      <c r="D4" s="126" t="s">
        <v>254</v>
      </c>
      <c r="E4" s="65" t="s">
        <v>255</v>
      </c>
      <c r="F4" s="97">
        <v>1</v>
      </c>
      <c r="G4" s="91">
        <v>0</v>
      </c>
      <c r="H4" s="92">
        <f>+F4-G4</f>
        <v>1</v>
      </c>
      <c r="I4" s="129" t="s">
        <v>159</v>
      </c>
      <c r="J4" s="69" t="s">
        <v>159</v>
      </c>
      <c r="K4" s="52">
        <f t="shared" si="0"/>
        <v>0</v>
      </c>
    </row>
    <row r="5" spans="2:14" s="11" customFormat="1" ht="79.5" hidden="1" customHeight="1" x14ac:dyDescent="0.25">
      <c r="B5" s="186"/>
      <c r="C5" s="186"/>
      <c r="D5" s="126" t="s">
        <v>200</v>
      </c>
      <c r="E5" s="234" t="s">
        <v>367</v>
      </c>
      <c r="F5" s="235">
        <v>1</v>
      </c>
      <c r="G5" s="92">
        <v>1</v>
      </c>
      <c r="H5" s="92">
        <f>+F5-G5</f>
        <v>0</v>
      </c>
      <c r="I5" s="92"/>
      <c r="J5" s="62" t="s">
        <v>161</v>
      </c>
      <c r="K5" s="90">
        <f t="shared" si="0"/>
        <v>1</v>
      </c>
    </row>
    <row r="6" spans="2:14" s="11" customFormat="1" ht="65.45" customHeight="1" x14ac:dyDescent="0.25">
      <c r="B6" s="186"/>
      <c r="C6" s="186"/>
      <c r="D6" s="122" t="s">
        <v>200</v>
      </c>
      <c r="E6" s="234" t="s">
        <v>373</v>
      </c>
      <c r="F6" s="235">
        <v>1</v>
      </c>
      <c r="G6" s="92">
        <v>0.87</v>
      </c>
      <c r="H6" s="92">
        <f t="shared" ref="H6:H68" si="1">+F6-G6</f>
        <v>0.13</v>
      </c>
      <c r="I6" s="116"/>
      <c r="J6" s="148"/>
      <c r="K6" s="135">
        <f t="shared" si="0"/>
        <v>0.87</v>
      </c>
    </row>
    <row r="7" spans="2:14" s="11" customFormat="1" ht="51" hidden="1" customHeight="1" x14ac:dyDescent="0.25">
      <c r="B7" s="186"/>
      <c r="C7" s="186"/>
      <c r="D7" s="32"/>
      <c r="E7" s="234" t="s">
        <v>368</v>
      </c>
      <c r="F7" s="235">
        <v>0.8</v>
      </c>
      <c r="G7" s="92">
        <v>0.8</v>
      </c>
      <c r="H7" s="92">
        <f t="shared" si="1"/>
        <v>0</v>
      </c>
      <c r="I7" s="116"/>
      <c r="J7" s="66"/>
      <c r="K7" s="90">
        <f t="shared" si="0"/>
        <v>1</v>
      </c>
    </row>
    <row r="8" spans="2:14" s="11" customFormat="1" ht="79.5" customHeight="1" x14ac:dyDescent="0.25">
      <c r="B8" s="186"/>
      <c r="C8" s="186"/>
      <c r="D8" s="32"/>
      <c r="E8" s="234" t="s">
        <v>369</v>
      </c>
      <c r="F8" s="235">
        <v>0.7</v>
      </c>
      <c r="G8" s="92">
        <v>0.65</v>
      </c>
      <c r="H8" s="92">
        <f t="shared" si="1"/>
        <v>4.9999999999999933E-2</v>
      </c>
      <c r="I8" s="116"/>
      <c r="J8" s="148"/>
      <c r="K8" s="135">
        <f t="shared" si="0"/>
        <v>0.92857142857142871</v>
      </c>
    </row>
    <row r="9" spans="2:14" s="11" customFormat="1" ht="69.75" hidden="1" customHeight="1" x14ac:dyDescent="0.25">
      <c r="B9" s="186"/>
      <c r="C9" s="186"/>
      <c r="D9" s="32"/>
      <c r="E9" s="234" t="s">
        <v>370</v>
      </c>
      <c r="F9" s="235">
        <v>1</v>
      </c>
      <c r="G9" s="92">
        <v>1</v>
      </c>
      <c r="H9" s="92">
        <f t="shared" si="1"/>
        <v>0</v>
      </c>
      <c r="I9" s="116"/>
      <c r="J9" s="66"/>
      <c r="K9" s="90">
        <f t="shared" si="0"/>
        <v>1</v>
      </c>
    </row>
    <row r="10" spans="2:14" s="11" customFormat="1" ht="39.75" customHeight="1" x14ac:dyDescent="0.25">
      <c r="B10" s="186"/>
      <c r="C10" s="186"/>
      <c r="D10" s="32"/>
      <c r="E10" s="234" t="s">
        <v>371</v>
      </c>
      <c r="F10" s="235">
        <v>0.8</v>
      </c>
      <c r="G10" s="92">
        <v>0.5</v>
      </c>
      <c r="H10" s="92">
        <f t="shared" si="1"/>
        <v>0.30000000000000004</v>
      </c>
      <c r="I10" s="116"/>
      <c r="J10" s="148"/>
      <c r="K10" s="135">
        <f t="shared" si="0"/>
        <v>0.625</v>
      </c>
    </row>
    <row r="11" spans="2:14" s="11" customFormat="1" ht="39.75" customHeight="1" x14ac:dyDescent="0.25">
      <c r="B11" s="186"/>
      <c r="C11" s="186"/>
      <c r="D11" s="32"/>
      <c r="E11" s="234" t="s">
        <v>372</v>
      </c>
      <c r="F11" s="235">
        <v>1</v>
      </c>
      <c r="G11" s="92">
        <v>0.8</v>
      </c>
      <c r="H11" s="92">
        <f t="shared" si="1"/>
        <v>0.19999999999999996</v>
      </c>
      <c r="I11" s="116"/>
      <c r="J11" s="168"/>
      <c r="K11" s="135">
        <f t="shared" si="0"/>
        <v>0.8</v>
      </c>
    </row>
    <row r="12" spans="2:14" ht="36" customHeight="1" x14ac:dyDescent="0.25">
      <c r="B12" s="186"/>
      <c r="C12" s="186"/>
      <c r="D12" s="87" t="s">
        <v>355</v>
      </c>
      <c r="E12" s="87" t="s">
        <v>256</v>
      </c>
      <c r="F12" s="93">
        <v>2</v>
      </c>
      <c r="G12" s="93">
        <v>1</v>
      </c>
      <c r="H12" s="93">
        <f t="shared" si="1"/>
        <v>1</v>
      </c>
      <c r="I12" s="129" t="s">
        <v>160</v>
      </c>
      <c r="J12" s="69" t="s">
        <v>160</v>
      </c>
      <c r="K12" s="133">
        <f t="shared" si="0"/>
        <v>0.5</v>
      </c>
    </row>
    <row r="13" spans="2:14" ht="36" customHeight="1" x14ac:dyDescent="0.25">
      <c r="B13" s="186"/>
      <c r="C13" s="186"/>
      <c r="D13" s="88"/>
      <c r="E13" s="87" t="s">
        <v>425</v>
      </c>
      <c r="F13" s="39">
        <v>1</v>
      </c>
      <c r="G13" s="39">
        <v>0.3</v>
      </c>
      <c r="H13" s="34">
        <f t="shared" si="1"/>
        <v>0.7</v>
      </c>
      <c r="I13" s="130"/>
      <c r="J13" s="148"/>
      <c r="K13" s="135">
        <f t="shared" si="0"/>
        <v>0.3</v>
      </c>
    </row>
    <row r="14" spans="2:14" ht="36" customHeight="1" x14ac:dyDescent="0.25">
      <c r="B14" s="186"/>
      <c r="C14" s="186"/>
      <c r="D14" s="88"/>
      <c r="E14" s="87" t="s">
        <v>305</v>
      </c>
      <c r="F14" s="93">
        <v>400</v>
      </c>
      <c r="G14" s="93">
        <v>300</v>
      </c>
      <c r="H14" s="93">
        <f>+F14-G14</f>
        <v>100</v>
      </c>
      <c r="I14" s="130"/>
      <c r="J14" s="70"/>
      <c r="K14" s="133">
        <f t="shared" si="0"/>
        <v>0.75</v>
      </c>
    </row>
    <row r="15" spans="2:14" ht="36" customHeight="1" x14ac:dyDescent="0.25">
      <c r="B15" s="186"/>
      <c r="C15" s="186"/>
      <c r="D15" s="88"/>
      <c r="E15" s="87" t="s">
        <v>410</v>
      </c>
      <c r="F15" s="93">
        <v>20</v>
      </c>
      <c r="G15" s="93">
        <v>15</v>
      </c>
      <c r="H15" s="93">
        <f t="shared" si="1"/>
        <v>5</v>
      </c>
      <c r="I15" s="130"/>
      <c r="J15" s="148"/>
      <c r="K15" s="135">
        <f t="shared" si="0"/>
        <v>0.75</v>
      </c>
    </row>
    <row r="16" spans="2:14" ht="36" customHeight="1" x14ac:dyDescent="0.25">
      <c r="B16" s="186"/>
      <c r="C16" s="186"/>
      <c r="D16" s="88"/>
      <c r="E16" s="87" t="s">
        <v>469</v>
      </c>
      <c r="F16" s="93">
        <v>1</v>
      </c>
      <c r="G16" s="34"/>
      <c r="H16" s="93">
        <v>2</v>
      </c>
      <c r="I16" s="131"/>
      <c r="J16" s="55"/>
      <c r="K16" s="133">
        <f t="shared" si="0"/>
        <v>0</v>
      </c>
      <c r="N16" s="95"/>
    </row>
    <row r="17" spans="2:11" ht="36" hidden="1" customHeight="1" x14ac:dyDescent="0.25">
      <c r="B17" s="186"/>
      <c r="C17" s="186"/>
      <c r="D17" s="86" t="s">
        <v>356</v>
      </c>
      <c r="E17" s="87"/>
      <c r="F17" s="34"/>
      <c r="G17" s="34"/>
      <c r="H17" s="34">
        <f t="shared" si="1"/>
        <v>0</v>
      </c>
      <c r="I17" s="34"/>
      <c r="J17" s="49"/>
      <c r="K17" s="133" t="e">
        <f t="shared" si="0"/>
        <v>#DIV/0!</v>
      </c>
    </row>
    <row r="18" spans="2:11" ht="36" hidden="1" customHeight="1" x14ac:dyDescent="0.25">
      <c r="B18" s="186"/>
      <c r="C18" s="186"/>
      <c r="D18" s="86"/>
      <c r="E18" s="87"/>
      <c r="F18" s="34"/>
      <c r="G18" s="34"/>
      <c r="H18" s="34">
        <f t="shared" si="1"/>
        <v>0</v>
      </c>
      <c r="I18" s="34"/>
      <c r="J18" s="49"/>
      <c r="K18" s="133" t="e">
        <f t="shared" si="0"/>
        <v>#DIV/0!</v>
      </c>
    </row>
    <row r="19" spans="2:11" ht="36" customHeight="1" x14ac:dyDescent="0.25">
      <c r="B19" s="186"/>
      <c r="C19" s="186"/>
      <c r="D19" s="87" t="s">
        <v>357</v>
      </c>
      <c r="E19" s="87" t="s">
        <v>433</v>
      </c>
      <c r="F19" s="39">
        <v>1</v>
      </c>
      <c r="G19" s="39">
        <v>0</v>
      </c>
      <c r="H19" s="85">
        <v>1</v>
      </c>
      <c r="I19" s="117" t="s">
        <v>434</v>
      </c>
      <c r="J19" s="49" t="s">
        <v>422</v>
      </c>
      <c r="K19" s="133">
        <f t="shared" si="0"/>
        <v>0</v>
      </c>
    </row>
    <row r="20" spans="2:11" ht="36" customHeight="1" x14ac:dyDescent="0.25">
      <c r="B20" s="186"/>
      <c r="C20" s="186"/>
      <c r="D20" s="88"/>
      <c r="E20" s="87" t="s">
        <v>443</v>
      </c>
      <c r="F20" s="34">
        <v>1</v>
      </c>
      <c r="G20" s="34">
        <v>0.99</v>
      </c>
      <c r="H20" s="34">
        <v>0.95</v>
      </c>
      <c r="I20" s="117" t="s">
        <v>431</v>
      </c>
      <c r="J20" s="67" t="s">
        <v>422</v>
      </c>
      <c r="K20" s="90">
        <f t="shared" si="0"/>
        <v>0.99</v>
      </c>
    </row>
    <row r="21" spans="2:11" ht="36" customHeight="1" x14ac:dyDescent="0.25">
      <c r="B21" s="186"/>
      <c r="C21" s="186"/>
      <c r="D21" s="88"/>
      <c r="E21" s="87" t="s">
        <v>420</v>
      </c>
      <c r="F21" s="39">
        <v>0.9</v>
      </c>
      <c r="G21" s="34">
        <v>0.77</v>
      </c>
      <c r="H21" s="34">
        <v>0.9</v>
      </c>
      <c r="I21" s="117" t="s">
        <v>423</v>
      </c>
      <c r="J21" s="167" t="s">
        <v>422</v>
      </c>
      <c r="K21" s="135">
        <f t="shared" si="0"/>
        <v>0.85555555555555551</v>
      </c>
    </row>
    <row r="22" spans="2:11" ht="36" customHeight="1" x14ac:dyDescent="0.25">
      <c r="B22" s="186"/>
      <c r="C22" s="186"/>
      <c r="D22" s="88"/>
      <c r="E22" s="87" t="s">
        <v>444</v>
      </c>
      <c r="F22" s="39">
        <v>0.9</v>
      </c>
      <c r="G22" s="34">
        <v>0.7</v>
      </c>
      <c r="H22" s="34">
        <v>0.9</v>
      </c>
      <c r="I22" s="117" t="s">
        <v>445</v>
      </c>
      <c r="J22" s="167" t="s">
        <v>422</v>
      </c>
      <c r="K22" s="135">
        <f t="shared" si="0"/>
        <v>0.77777777777777768</v>
      </c>
    </row>
    <row r="23" spans="2:11" ht="63.75" customHeight="1" x14ac:dyDescent="0.25">
      <c r="B23" s="186"/>
      <c r="C23" s="186"/>
      <c r="D23" s="88"/>
      <c r="E23" s="87" t="s">
        <v>510</v>
      </c>
      <c r="F23" s="39"/>
      <c r="G23" s="34"/>
      <c r="H23" s="41">
        <v>50</v>
      </c>
      <c r="I23" s="127" t="s">
        <v>421</v>
      </c>
      <c r="J23" s="125" t="s">
        <v>422</v>
      </c>
      <c r="K23" s="52"/>
    </row>
    <row r="24" spans="2:11" ht="36" customHeight="1" x14ac:dyDescent="0.25">
      <c r="B24" s="186"/>
      <c r="C24" s="186"/>
      <c r="D24" s="88"/>
      <c r="E24" s="87" t="s">
        <v>432</v>
      </c>
      <c r="F24" s="93">
        <v>1</v>
      </c>
      <c r="G24" s="34"/>
      <c r="H24" s="93">
        <v>4</v>
      </c>
      <c r="I24" s="117" t="s">
        <v>422</v>
      </c>
      <c r="J24" s="49" t="s">
        <v>422</v>
      </c>
      <c r="K24" s="52">
        <f t="shared" si="0"/>
        <v>0</v>
      </c>
    </row>
    <row r="25" spans="2:11" ht="47.1" customHeight="1" x14ac:dyDescent="0.25">
      <c r="B25" s="186"/>
      <c r="C25" s="186"/>
      <c r="D25" s="88"/>
      <c r="E25" s="87" t="s">
        <v>436</v>
      </c>
      <c r="F25" s="93">
        <v>1</v>
      </c>
      <c r="G25" s="34"/>
      <c r="H25" s="93">
        <v>4</v>
      </c>
      <c r="I25" s="127" t="s">
        <v>421</v>
      </c>
      <c r="J25" s="54" t="s">
        <v>422</v>
      </c>
      <c r="K25" s="52">
        <f t="shared" si="0"/>
        <v>0</v>
      </c>
    </row>
    <row r="26" spans="2:11" ht="39" customHeight="1" x14ac:dyDescent="0.25">
      <c r="B26" s="186"/>
      <c r="C26" s="186"/>
      <c r="D26" s="88"/>
      <c r="E26" s="87" t="s">
        <v>424</v>
      </c>
      <c r="F26" s="93">
        <v>1</v>
      </c>
      <c r="G26" s="34"/>
      <c r="H26" s="93">
        <v>4</v>
      </c>
      <c r="I26" s="127" t="s">
        <v>435</v>
      </c>
      <c r="J26" s="54" t="s">
        <v>422</v>
      </c>
      <c r="K26" s="52">
        <f t="shared" si="0"/>
        <v>0</v>
      </c>
    </row>
    <row r="27" spans="2:11" ht="66.75" customHeight="1" x14ac:dyDescent="0.25">
      <c r="B27" s="186"/>
      <c r="C27" s="186"/>
      <c r="D27" s="89"/>
      <c r="E27" s="87" t="s">
        <v>446</v>
      </c>
      <c r="F27" s="93">
        <v>1</v>
      </c>
      <c r="G27" s="34"/>
      <c r="H27" s="93">
        <v>4</v>
      </c>
      <c r="I27" s="117" t="s">
        <v>447</v>
      </c>
      <c r="J27" s="49" t="s">
        <v>422</v>
      </c>
      <c r="K27" s="52">
        <f t="shared" si="0"/>
        <v>0</v>
      </c>
    </row>
    <row r="28" spans="2:11" ht="65.25" customHeight="1" x14ac:dyDescent="0.25">
      <c r="B28" s="186"/>
      <c r="C28" s="186"/>
      <c r="D28" s="87" t="s">
        <v>358</v>
      </c>
      <c r="E28" s="87" t="s">
        <v>438</v>
      </c>
      <c r="F28" s="39">
        <v>0.08</v>
      </c>
      <c r="G28" s="34"/>
      <c r="H28" s="39">
        <v>0.08</v>
      </c>
      <c r="I28" s="117" t="s">
        <v>468</v>
      </c>
      <c r="J28" s="125" t="s">
        <v>437</v>
      </c>
      <c r="K28" s="52">
        <f t="shared" si="0"/>
        <v>0</v>
      </c>
    </row>
    <row r="29" spans="2:11" ht="65.25" customHeight="1" x14ac:dyDescent="0.25">
      <c r="B29" s="186"/>
      <c r="C29" s="186"/>
      <c r="D29" s="88"/>
      <c r="E29" s="87" t="s">
        <v>439</v>
      </c>
      <c r="F29" s="39">
        <v>0.1</v>
      </c>
      <c r="G29" s="34"/>
      <c r="H29" s="39">
        <v>0.1</v>
      </c>
      <c r="I29" s="117" t="s">
        <v>467</v>
      </c>
      <c r="J29" s="125" t="s">
        <v>437</v>
      </c>
      <c r="K29" s="52">
        <f t="shared" si="0"/>
        <v>0</v>
      </c>
    </row>
    <row r="30" spans="2:11" ht="65.25" customHeight="1" x14ac:dyDescent="0.25">
      <c r="B30" s="186"/>
      <c r="C30" s="186"/>
      <c r="D30" s="88"/>
      <c r="E30" s="87" t="s">
        <v>440</v>
      </c>
      <c r="F30" s="39">
        <v>0.1</v>
      </c>
      <c r="G30" s="34"/>
      <c r="H30" s="39">
        <v>0.1</v>
      </c>
      <c r="I30" s="117" t="s">
        <v>467</v>
      </c>
      <c r="J30" s="125" t="s">
        <v>437</v>
      </c>
      <c r="K30" s="52">
        <f t="shared" si="0"/>
        <v>0</v>
      </c>
    </row>
    <row r="31" spans="2:11" ht="65.25" customHeight="1" x14ac:dyDescent="0.25">
      <c r="B31" s="186"/>
      <c r="C31" s="186"/>
      <c r="D31" s="89"/>
      <c r="E31" s="87" t="s">
        <v>441</v>
      </c>
      <c r="F31" s="39">
        <v>0.05</v>
      </c>
      <c r="G31" s="34"/>
      <c r="H31" s="39">
        <v>0.05</v>
      </c>
      <c r="I31" s="117" t="s">
        <v>467</v>
      </c>
      <c r="J31" s="49" t="s">
        <v>495</v>
      </c>
      <c r="K31" s="52">
        <f t="shared" si="0"/>
        <v>0</v>
      </c>
    </row>
    <row r="32" spans="2:11" ht="36" customHeight="1" x14ac:dyDescent="0.25">
      <c r="B32" s="186"/>
      <c r="C32" s="186"/>
      <c r="D32" s="87" t="s">
        <v>359</v>
      </c>
      <c r="E32" s="87" t="s">
        <v>259</v>
      </c>
      <c r="F32" s="34">
        <v>1</v>
      </c>
      <c r="G32" s="34"/>
      <c r="H32" s="34">
        <f t="shared" si="1"/>
        <v>1</v>
      </c>
      <c r="I32" s="117" t="s">
        <v>496</v>
      </c>
      <c r="J32" s="49" t="s">
        <v>495</v>
      </c>
      <c r="K32" s="52">
        <f t="shared" si="0"/>
        <v>0</v>
      </c>
    </row>
    <row r="33" spans="2:11" ht="36" customHeight="1" x14ac:dyDescent="0.25">
      <c r="B33" s="186"/>
      <c r="C33" s="186"/>
      <c r="D33" s="88"/>
      <c r="E33" s="87" t="s">
        <v>260</v>
      </c>
      <c r="F33" s="34">
        <v>0.9</v>
      </c>
      <c r="G33" s="34"/>
      <c r="H33" s="34">
        <f t="shared" si="1"/>
        <v>0.9</v>
      </c>
      <c r="I33" s="117" t="s">
        <v>496</v>
      </c>
      <c r="J33" s="49" t="s">
        <v>495</v>
      </c>
      <c r="K33" s="52">
        <f t="shared" si="0"/>
        <v>0</v>
      </c>
    </row>
    <row r="34" spans="2:11" ht="54" customHeight="1" x14ac:dyDescent="0.25">
      <c r="B34" s="186"/>
      <c r="C34" s="186"/>
      <c r="D34" s="87" t="s">
        <v>391</v>
      </c>
      <c r="E34" s="87" t="s">
        <v>411</v>
      </c>
      <c r="F34" s="93">
        <v>4</v>
      </c>
      <c r="G34" s="93">
        <v>3</v>
      </c>
      <c r="H34" s="39">
        <v>1</v>
      </c>
      <c r="I34" s="117" t="s">
        <v>497</v>
      </c>
      <c r="J34" s="49" t="s">
        <v>495</v>
      </c>
      <c r="K34" s="52">
        <f t="shared" si="0"/>
        <v>0.75</v>
      </c>
    </row>
    <row r="35" spans="2:11" ht="54" customHeight="1" x14ac:dyDescent="0.25">
      <c r="B35" s="186"/>
      <c r="C35" s="186"/>
      <c r="D35" s="88"/>
      <c r="E35" s="87" t="s">
        <v>412</v>
      </c>
      <c r="F35" s="93">
        <v>4</v>
      </c>
      <c r="G35" s="93">
        <v>3</v>
      </c>
      <c r="H35" s="39">
        <v>1</v>
      </c>
      <c r="I35" s="117" t="s">
        <v>497</v>
      </c>
      <c r="J35" s="49" t="s">
        <v>495</v>
      </c>
      <c r="K35" s="52">
        <f t="shared" si="0"/>
        <v>0.75</v>
      </c>
    </row>
    <row r="36" spans="2:11" ht="38.25" customHeight="1" x14ac:dyDescent="0.25">
      <c r="B36" s="186"/>
      <c r="C36" s="186"/>
      <c r="D36" s="88"/>
      <c r="E36" s="87" t="s">
        <v>465</v>
      </c>
      <c r="F36" s="93">
        <v>1</v>
      </c>
      <c r="G36" s="93"/>
      <c r="H36" s="39">
        <v>1</v>
      </c>
      <c r="I36" s="127" t="s">
        <v>421</v>
      </c>
      <c r="J36" s="49" t="s">
        <v>437</v>
      </c>
      <c r="K36" s="52">
        <f t="shared" si="0"/>
        <v>0</v>
      </c>
    </row>
    <row r="37" spans="2:11" ht="50.25" customHeight="1" x14ac:dyDescent="0.25">
      <c r="B37" s="186"/>
      <c r="C37" s="186"/>
      <c r="D37" s="89"/>
      <c r="E37" s="87" t="s">
        <v>466</v>
      </c>
      <c r="F37" s="93">
        <v>1</v>
      </c>
      <c r="G37" s="93"/>
      <c r="H37" s="39">
        <v>1</v>
      </c>
      <c r="I37" s="127" t="s">
        <v>421</v>
      </c>
      <c r="J37" s="49" t="s">
        <v>437</v>
      </c>
      <c r="K37" s="52">
        <f t="shared" si="0"/>
        <v>0</v>
      </c>
    </row>
    <row r="38" spans="2:11" ht="36" hidden="1" customHeight="1" x14ac:dyDescent="0.25">
      <c r="B38" s="186"/>
      <c r="C38" s="186"/>
      <c r="D38" s="87" t="s">
        <v>390</v>
      </c>
      <c r="E38" s="87"/>
      <c r="F38" s="34"/>
      <c r="G38" s="34"/>
      <c r="H38" s="34">
        <f t="shared" si="1"/>
        <v>0</v>
      </c>
      <c r="I38" s="34"/>
      <c r="J38" s="49"/>
      <c r="K38" s="52" t="e">
        <f t="shared" si="0"/>
        <v>#DIV/0!</v>
      </c>
    </row>
    <row r="39" spans="2:11" ht="36" hidden="1" customHeight="1" x14ac:dyDescent="0.25">
      <c r="B39" s="186"/>
      <c r="C39" s="186"/>
      <c r="D39" s="89"/>
      <c r="E39" s="87"/>
      <c r="F39" s="34"/>
      <c r="G39" s="34"/>
      <c r="H39" s="34">
        <f t="shared" si="1"/>
        <v>0</v>
      </c>
      <c r="I39" s="34"/>
      <c r="J39" s="49"/>
      <c r="K39" s="52" t="e">
        <f t="shared" si="0"/>
        <v>#DIV/0!</v>
      </c>
    </row>
    <row r="40" spans="2:11" ht="77.25" customHeight="1" x14ac:dyDescent="0.25">
      <c r="B40" s="186"/>
      <c r="C40" s="186"/>
      <c r="D40" s="87" t="s">
        <v>360</v>
      </c>
      <c r="E40" s="87" t="s">
        <v>515</v>
      </c>
      <c r="F40" s="34">
        <v>0.8</v>
      </c>
      <c r="G40" s="34">
        <v>0.75</v>
      </c>
      <c r="H40" s="41">
        <v>4</v>
      </c>
      <c r="I40" s="129" t="s">
        <v>160</v>
      </c>
      <c r="J40" s="129" t="s">
        <v>160</v>
      </c>
      <c r="K40" s="135">
        <f t="shared" si="0"/>
        <v>0.9375</v>
      </c>
    </row>
    <row r="41" spans="2:11" ht="54" customHeight="1" x14ac:dyDescent="0.25">
      <c r="B41" s="186"/>
      <c r="C41" s="186"/>
      <c r="D41" s="88"/>
      <c r="E41" s="87" t="s">
        <v>516</v>
      </c>
      <c r="F41" s="93">
        <v>5</v>
      </c>
      <c r="G41" s="93">
        <v>7</v>
      </c>
      <c r="H41" s="93">
        <v>8</v>
      </c>
      <c r="I41" s="129" t="s">
        <v>160</v>
      </c>
      <c r="J41" s="67"/>
      <c r="K41" s="90">
        <f t="shared" si="0"/>
        <v>1</v>
      </c>
    </row>
    <row r="42" spans="2:11" ht="34.5" customHeight="1" x14ac:dyDescent="0.25">
      <c r="B42" s="186"/>
      <c r="C42" s="186"/>
      <c r="D42" s="88"/>
      <c r="E42" s="87" t="s">
        <v>511</v>
      </c>
      <c r="F42" s="93"/>
      <c r="G42" s="93"/>
      <c r="H42" s="93">
        <v>2</v>
      </c>
      <c r="I42" s="129" t="s">
        <v>160</v>
      </c>
      <c r="J42" s="67"/>
      <c r="K42" s="90"/>
    </row>
    <row r="43" spans="2:11" ht="36" customHeight="1" x14ac:dyDescent="0.25">
      <c r="B43" s="186"/>
      <c r="C43" s="186"/>
      <c r="D43" s="88"/>
      <c r="E43" s="87" t="s">
        <v>513</v>
      </c>
      <c r="F43" s="175">
        <v>0.01</v>
      </c>
      <c r="G43" s="175"/>
      <c r="H43" s="93">
        <v>9</v>
      </c>
      <c r="I43" s="129" t="s">
        <v>517</v>
      </c>
      <c r="J43" s="49"/>
      <c r="K43" s="52">
        <f t="shared" si="0"/>
        <v>0</v>
      </c>
    </row>
    <row r="44" spans="2:11" ht="36" customHeight="1" x14ac:dyDescent="0.25">
      <c r="B44" s="186"/>
      <c r="C44" s="186"/>
      <c r="D44" s="88"/>
      <c r="E44" s="87" t="s">
        <v>498</v>
      </c>
      <c r="F44" s="175"/>
      <c r="G44" s="175"/>
      <c r="H44" s="39">
        <v>0.85</v>
      </c>
      <c r="I44" s="129" t="s">
        <v>160</v>
      </c>
      <c r="J44" s="49"/>
      <c r="K44" s="52"/>
    </row>
    <row r="45" spans="2:11" ht="36" customHeight="1" x14ac:dyDescent="0.25">
      <c r="B45" s="186"/>
      <c r="C45" s="186"/>
      <c r="D45" s="88"/>
      <c r="E45" s="86" t="s">
        <v>514</v>
      </c>
      <c r="F45" s="175">
        <v>0.01</v>
      </c>
      <c r="G45" s="175"/>
      <c r="H45" s="41">
        <v>8</v>
      </c>
      <c r="I45" s="117" t="s">
        <v>325</v>
      </c>
      <c r="J45" s="49"/>
      <c r="K45" s="52">
        <f t="shared" si="0"/>
        <v>0</v>
      </c>
    </row>
    <row r="46" spans="2:11" ht="36" customHeight="1" x14ac:dyDescent="0.25">
      <c r="B46" s="186"/>
      <c r="C46" s="186"/>
      <c r="D46" s="87" t="s">
        <v>361</v>
      </c>
      <c r="E46" s="87" t="s">
        <v>258</v>
      </c>
      <c r="F46" s="93">
        <v>1</v>
      </c>
      <c r="G46" s="93"/>
      <c r="H46" s="93">
        <f t="shared" si="1"/>
        <v>1</v>
      </c>
      <c r="I46" s="129" t="s">
        <v>512</v>
      </c>
      <c r="J46" s="49"/>
      <c r="K46" s="52">
        <f t="shared" si="0"/>
        <v>0</v>
      </c>
    </row>
    <row r="47" spans="2:11" ht="36" customHeight="1" x14ac:dyDescent="0.25">
      <c r="B47" s="186"/>
      <c r="C47" s="186"/>
      <c r="D47" s="88"/>
      <c r="E47" s="87" t="s">
        <v>261</v>
      </c>
      <c r="F47" s="39">
        <v>0.6</v>
      </c>
      <c r="G47" s="39">
        <v>0.34</v>
      </c>
      <c r="H47" s="39">
        <f t="shared" si="1"/>
        <v>0.25999999999999995</v>
      </c>
      <c r="I47" s="131"/>
      <c r="J47" s="49"/>
      <c r="K47" s="52">
        <f t="shared" si="0"/>
        <v>0.56666666666666676</v>
      </c>
    </row>
    <row r="48" spans="2:11" ht="36" customHeight="1" x14ac:dyDescent="0.25">
      <c r="B48" s="186"/>
      <c r="C48" s="186"/>
      <c r="D48" s="87" t="s">
        <v>362</v>
      </c>
      <c r="E48" s="87" t="s">
        <v>426</v>
      </c>
      <c r="F48" s="34">
        <v>1</v>
      </c>
      <c r="G48" s="34"/>
      <c r="H48" s="34">
        <f t="shared" si="1"/>
        <v>1</v>
      </c>
      <c r="I48" s="129" t="s">
        <v>159</v>
      </c>
      <c r="J48" s="49"/>
      <c r="K48" s="52">
        <f t="shared" si="0"/>
        <v>0</v>
      </c>
    </row>
    <row r="49" spans="2:11" ht="36" customHeight="1" x14ac:dyDescent="0.25">
      <c r="B49" s="186"/>
      <c r="C49" s="186"/>
      <c r="D49" s="88"/>
      <c r="E49" s="87" t="s">
        <v>374</v>
      </c>
      <c r="F49" s="34">
        <v>1</v>
      </c>
      <c r="G49" s="34"/>
      <c r="H49" s="34">
        <f t="shared" si="1"/>
        <v>1</v>
      </c>
      <c r="I49" s="130"/>
      <c r="J49" s="49"/>
      <c r="K49" s="52">
        <f t="shared" si="0"/>
        <v>0</v>
      </c>
    </row>
    <row r="50" spans="2:11" ht="36" customHeight="1" x14ac:dyDescent="0.25">
      <c r="B50" s="189"/>
      <c r="C50" s="189"/>
      <c r="D50" s="88"/>
      <c r="E50" s="87" t="s">
        <v>375</v>
      </c>
      <c r="F50" s="34">
        <v>1</v>
      </c>
      <c r="G50" s="34"/>
      <c r="H50" s="34">
        <f t="shared" si="1"/>
        <v>1</v>
      </c>
      <c r="I50" s="131"/>
      <c r="J50" s="49"/>
      <c r="K50" s="52">
        <f t="shared" si="0"/>
        <v>0</v>
      </c>
    </row>
    <row r="51" spans="2:11" ht="46.5" customHeight="1" x14ac:dyDescent="0.25">
      <c r="B51" s="185" t="s">
        <v>134</v>
      </c>
      <c r="C51" s="185" t="s">
        <v>135</v>
      </c>
      <c r="D51" s="87" t="s">
        <v>363</v>
      </c>
      <c r="E51" s="126" t="s">
        <v>303</v>
      </c>
      <c r="F51" s="34">
        <v>1</v>
      </c>
      <c r="G51" s="39"/>
      <c r="H51" s="34">
        <f t="shared" si="1"/>
        <v>1</v>
      </c>
      <c r="I51" s="69" t="s">
        <v>163</v>
      </c>
      <c r="J51" s="49" t="s">
        <v>163</v>
      </c>
      <c r="K51" s="52">
        <f t="shared" si="0"/>
        <v>0</v>
      </c>
    </row>
    <row r="52" spans="2:11" ht="46.5" customHeight="1" x14ac:dyDescent="0.25">
      <c r="B52" s="186"/>
      <c r="C52" s="186"/>
      <c r="D52" s="88"/>
      <c r="E52" s="126" t="s">
        <v>304</v>
      </c>
      <c r="F52" s="34">
        <v>1</v>
      </c>
      <c r="G52" s="39"/>
      <c r="H52" s="34">
        <f t="shared" si="1"/>
        <v>1</v>
      </c>
      <c r="I52" s="70"/>
      <c r="J52" s="49"/>
      <c r="K52" s="52">
        <f t="shared" si="0"/>
        <v>0</v>
      </c>
    </row>
    <row r="53" spans="2:11" ht="48" customHeight="1" x14ac:dyDescent="0.25">
      <c r="B53" s="186"/>
      <c r="C53" s="186"/>
      <c r="D53" s="88"/>
      <c r="E53" s="126" t="s">
        <v>442</v>
      </c>
      <c r="F53" s="93">
        <v>3</v>
      </c>
      <c r="G53" s="39"/>
      <c r="H53" s="34">
        <f t="shared" si="1"/>
        <v>3</v>
      </c>
      <c r="I53" s="127" t="s">
        <v>518</v>
      </c>
      <c r="J53" s="49"/>
      <c r="K53" s="52">
        <f t="shared" si="0"/>
        <v>0</v>
      </c>
    </row>
    <row r="54" spans="2:11" ht="48" customHeight="1" x14ac:dyDescent="0.25">
      <c r="B54" s="186"/>
      <c r="C54" s="186"/>
      <c r="D54" s="88"/>
      <c r="E54" s="126" t="s">
        <v>462</v>
      </c>
      <c r="F54" s="93">
        <v>1</v>
      </c>
      <c r="G54" s="39"/>
      <c r="H54" s="93">
        <v>7</v>
      </c>
      <c r="I54" s="127" t="s">
        <v>394</v>
      </c>
      <c r="J54" s="54" t="s">
        <v>394</v>
      </c>
      <c r="K54" s="52">
        <f t="shared" si="0"/>
        <v>0</v>
      </c>
    </row>
    <row r="55" spans="2:11" ht="44.25" customHeight="1" x14ac:dyDescent="0.25">
      <c r="B55" s="186"/>
      <c r="C55" s="186"/>
      <c r="D55" s="88"/>
      <c r="E55" s="126" t="s">
        <v>271</v>
      </c>
      <c r="F55" s="34">
        <v>1</v>
      </c>
      <c r="G55" s="34"/>
      <c r="H55" s="34">
        <f t="shared" si="1"/>
        <v>1</v>
      </c>
      <c r="I55" s="69" t="s">
        <v>163</v>
      </c>
      <c r="J55" s="49"/>
      <c r="K55" s="52">
        <f t="shared" si="0"/>
        <v>0</v>
      </c>
    </row>
    <row r="56" spans="2:11" ht="44.25" customHeight="1" x14ac:dyDescent="0.25">
      <c r="B56" s="186"/>
      <c r="C56" s="186"/>
      <c r="D56" s="88"/>
      <c r="E56" s="126" t="s">
        <v>427</v>
      </c>
      <c r="F56" s="34">
        <v>1</v>
      </c>
      <c r="G56" s="34"/>
      <c r="H56" s="34">
        <f t="shared" si="1"/>
        <v>1</v>
      </c>
      <c r="I56" s="70"/>
      <c r="J56" s="49"/>
      <c r="K56" s="52">
        <f t="shared" si="0"/>
        <v>0</v>
      </c>
    </row>
    <row r="57" spans="2:11" ht="44.25" hidden="1" customHeight="1" x14ac:dyDescent="0.25">
      <c r="B57" s="186"/>
      <c r="C57" s="186"/>
      <c r="D57" s="88"/>
      <c r="E57" s="126" t="s">
        <v>463</v>
      </c>
      <c r="F57" s="34"/>
      <c r="G57" s="34"/>
      <c r="H57" s="34"/>
      <c r="I57" s="70"/>
      <c r="J57" s="49"/>
      <c r="K57" s="52"/>
    </row>
    <row r="58" spans="2:11" ht="44.25" customHeight="1" x14ac:dyDescent="0.25">
      <c r="B58" s="186"/>
      <c r="C58" s="186"/>
      <c r="D58" s="88"/>
      <c r="E58" s="63" t="s">
        <v>269</v>
      </c>
      <c r="F58" s="175">
        <v>0.01</v>
      </c>
      <c r="G58" s="175"/>
      <c r="H58" s="93">
        <v>1</v>
      </c>
      <c r="I58" s="70"/>
      <c r="J58" s="49"/>
      <c r="K58" s="52">
        <f t="shared" si="0"/>
        <v>0</v>
      </c>
    </row>
    <row r="59" spans="2:11" ht="44.25" customHeight="1" x14ac:dyDescent="0.25">
      <c r="B59" s="189"/>
      <c r="C59" s="189"/>
      <c r="D59" s="89"/>
      <c r="E59" s="63" t="s">
        <v>267</v>
      </c>
      <c r="F59" s="34"/>
      <c r="G59" s="93"/>
      <c r="H59" s="41">
        <v>1</v>
      </c>
      <c r="I59" s="127" t="s">
        <v>526</v>
      </c>
      <c r="J59" s="49"/>
      <c r="K59" s="52" t="e">
        <f t="shared" si="0"/>
        <v>#DIV/0!</v>
      </c>
    </row>
    <row r="60" spans="2:11" ht="44.25" customHeight="1" x14ac:dyDescent="0.25">
      <c r="B60" s="185" t="s">
        <v>132</v>
      </c>
      <c r="C60" s="185" t="s">
        <v>133</v>
      </c>
      <c r="D60" s="88" t="s">
        <v>396</v>
      </c>
      <c r="E60" s="63" t="s">
        <v>395</v>
      </c>
      <c r="F60" s="34">
        <v>1</v>
      </c>
      <c r="G60" s="93">
        <v>0</v>
      </c>
      <c r="H60" s="34">
        <f t="shared" si="1"/>
        <v>1</v>
      </c>
      <c r="I60" s="129" t="s">
        <v>519</v>
      </c>
      <c r="J60" s="69"/>
      <c r="K60" s="52">
        <f t="shared" si="0"/>
        <v>0</v>
      </c>
    </row>
    <row r="61" spans="2:11" ht="60.75" customHeight="1" x14ac:dyDescent="0.25">
      <c r="B61" s="186"/>
      <c r="C61" s="186"/>
      <c r="D61" s="128"/>
      <c r="E61" s="126" t="s">
        <v>364</v>
      </c>
      <c r="F61" s="176">
        <v>1</v>
      </c>
      <c r="G61" s="33"/>
      <c r="H61" s="93">
        <v>7</v>
      </c>
      <c r="I61" s="127" t="s">
        <v>394</v>
      </c>
      <c r="J61" s="54" t="s">
        <v>394</v>
      </c>
      <c r="K61" s="52">
        <f>IF((G61/F61)&lt;100%,(G61/F61),100%)</f>
        <v>0</v>
      </c>
    </row>
    <row r="62" spans="2:11" ht="45" customHeight="1" x14ac:dyDescent="0.25">
      <c r="B62" s="186"/>
      <c r="C62" s="186"/>
      <c r="D62" s="126" t="s">
        <v>201</v>
      </c>
      <c r="E62" s="63" t="s">
        <v>520</v>
      </c>
      <c r="F62" s="34">
        <v>1</v>
      </c>
      <c r="G62" s="33">
        <v>1</v>
      </c>
      <c r="H62" s="41">
        <v>1</v>
      </c>
      <c r="I62" s="129" t="s">
        <v>519</v>
      </c>
      <c r="J62" s="62" t="s">
        <v>162</v>
      </c>
      <c r="K62" s="90">
        <f t="shared" si="0"/>
        <v>1</v>
      </c>
    </row>
    <row r="63" spans="2:11" ht="43.5" customHeight="1" x14ac:dyDescent="0.25">
      <c r="B63" s="186"/>
      <c r="C63" s="186"/>
      <c r="D63" s="122"/>
      <c r="E63" s="63" t="s">
        <v>521</v>
      </c>
      <c r="F63" s="34"/>
      <c r="G63" s="33"/>
      <c r="H63" s="41">
        <v>1</v>
      </c>
      <c r="I63" s="130"/>
      <c r="J63" s="70"/>
      <c r="K63" s="52" t="e">
        <f t="shared" si="0"/>
        <v>#DIV/0!</v>
      </c>
    </row>
    <row r="64" spans="2:11" ht="43.5" customHeight="1" x14ac:dyDescent="0.25">
      <c r="B64" s="186"/>
      <c r="C64" s="186"/>
      <c r="D64" s="122"/>
      <c r="E64" s="63" t="s">
        <v>522</v>
      </c>
      <c r="F64" s="34"/>
      <c r="G64" s="33"/>
      <c r="H64" s="41">
        <v>2</v>
      </c>
      <c r="I64" s="130"/>
      <c r="J64" s="70"/>
      <c r="K64" s="52"/>
    </row>
    <row r="65" spans="2:12" ht="45" customHeight="1" x14ac:dyDescent="0.25">
      <c r="B65" s="186"/>
      <c r="C65" s="186"/>
      <c r="D65" s="126" t="s">
        <v>392</v>
      </c>
      <c r="E65" s="126" t="s">
        <v>395</v>
      </c>
      <c r="F65" s="34">
        <v>1</v>
      </c>
      <c r="G65" s="33"/>
      <c r="H65" s="34">
        <f t="shared" si="1"/>
        <v>1</v>
      </c>
      <c r="I65" s="130"/>
      <c r="J65" s="49"/>
      <c r="K65" s="52">
        <f t="shared" si="0"/>
        <v>0</v>
      </c>
    </row>
    <row r="66" spans="2:12" ht="45" customHeight="1" x14ac:dyDescent="0.25">
      <c r="B66" s="186"/>
      <c r="C66" s="186"/>
      <c r="D66" s="122"/>
      <c r="E66" s="126" t="s">
        <v>493</v>
      </c>
      <c r="F66" s="93">
        <v>1</v>
      </c>
      <c r="G66" s="93"/>
      <c r="H66" s="93">
        <f t="shared" si="1"/>
        <v>1</v>
      </c>
      <c r="I66" s="130"/>
      <c r="J66" s="49"/>
      <c r="K66" s="52">
        <f t="shared" si="0"/>
        <v>0</v>
      </c>
    </row>
    <row r="67" spans="2:12" ht="45" customHeight="1" x14ac:dyDescent="0.25">
      <c r="B67" s="186"/>
      <c r="C67" s="186"/>
      <c r="D67" s="128"/>
      <c r="E67" s="126" t="s">
        <v>464</v>
      </c>
      <c r="F67" s="93">
        <f>3*2</f>
        <v>6</v>
      </c>
      <c r="G67" s="33"/>
      <c r="H67" s="85">
        <f t="shared" si="1"/>
        <v>6</v>
      </c>
      <c r="I67" s="131"/>
      <c r="J67" s="49"/>
      <c r="K67" s="52">
        <f t="shared" si="0"/>
        <v>0</v>
      </c>
    </row>
    <row r="68" spans="2:12" ht="45" hidden="1" customHeight="1" x14ac:dyDescent="0.25">
      <c r="B68" s="186"/>
      <c r="C68" s="186"/>
      <c r="D68" s="126" t="s">
        <v>393</v>
      </c>
      <c r="E68" s="126" t="s">
        <v>395</v>
      </c>
      <c r="F68" s="34"/>
      <c r="G68" s="33"/>
      <c r="H68" s="34">
        <f t="shared" si="1"/>
        <v>0</v>
      </c>
      <c r="I68" s="34"/>
      <c r="J68" s="49"/>
      <c r="K68" s="52" t="e">
        <f t="shared" si="0"/>
        <v>#DIV/0!</v>
      </c>
    </row>
    <row r="69" spans="2:12" ht="45" hidden="1" customHeight="1" x14ac:dyDescent="0.25">
      <c r="B69" s="186"/>
      <c r="C69" s="186"/>
      <c r="D69" s="122"/>
      <c r="E69" s="94"/>
      <c r="F69" s="34"/>
      <c r="G69" s="33"/>
      <c r="H69" s="34"/>
      <c r="I69" s="34"/>
      <c r="J69" s="49"/>
      <c r="K69" s="52" t="e">
        <f t="shared" si="0"/>
        <v>#DIV/0!</v>
      </c>
    </row>
    <row r="70" spans="2:12" ht="45" hidden="1" customHeight="1" x14ac:dyDescent="0.25">
      <c r="B70" s="186"/>
      <c r="C70" s="186"/>
      <c r="D70" s="128"/>
      <c r="E70" s="126"/>
      <c r="F70" s="34"/>
      <c r="G70" s="33"/>
      <c r="H70" s="34"/>
      <c r="I70" s="34"/>
      <c r="J70" s="49"/>
      <c r="K70" s="52" t="e">
        <f t="shared" si="0"/>
        <v>#DIV/0!</v>
      </c>
    </row>
    <row r="71" spans="2:12" ht="45" customHeight="1" x14ac:dyDescent="0.25">
      <c r="B71" s="186"/>
      <c r="C71" s="186"/>
      <c r="D71" s="83" t="s">
        <v>449</v>
      </c>
      <c r="E71" s="126" t="s">
        <v>523</v>
      </c>
      <c r="F71" s="34">
        <v>1</v>
      </c>
      <c r="G71" s="33"/>
      <c r="H71" s="34">
        <v>0.6</v>
      </c>
      <c r="I71" s="129" t="s">
        <v>524</v>
      </c>
      <c r="J71" s="49"/>
      <c r="K71" s="52"/>
    </row>
    <row r="72" spans="2:12" ht="45" customHeight="1" x14ac:dyDescent="0.25">
      <c r="B72" s="186"/>
      <c r="C72" s="186"/>
      <c r="D72" s="32"/>
      <c r="E72" s="126" t="s">
        <v>448</v>
      </c>
      <c r="F72" s="34">
        <v>1</v>
      </c>
      <c r="G72" s="33"/>
      <c r="H72" s="34">
        <f>+F72-G72</f>
        <v>1</v>
      </c>
      <c r="I72" s="130"/>
      <c r="J72" s="49"/>
      <c r="K72" s="52"/>
    </row>
    <row r="73" spans="2:12" ht="45" customHeight="1" x14ac:dyDescent="0.25">
      <c r="B73" s="186"/>
      <c r="C73" s="186"/>
      <c r="D73" s="32"/>
      <c r="E73" s="63" t="s">
        <v>263</v>
      </c>
      <c r="F73" s="34">
        <v>0.05</v>
      </c>
      <c r="G73" s="33"/>
      <c r="H73" s="34">
        <f t="shared" ref="H73:H74" si="2">+F73-G73</f>
        <v>0.05</v>
      </c>
      <c r="I73" s="130"/>
      <c r="J73" s="49"/>
      <c r="K73" s="52"/>
    </row>
    <row r="74" spans="2:12" ht="45" customHeight="1" x14ac:dyDescent="0.25">
      <c r="B74" s="189"/>
      <c r="C74" s="189"/>
      <c r="D74" s="31"/>
      <c r="E74" s="127" t="s">
        <v>268</v>
      </c>
      <c r="F74" s="34"/>
      <c r="G74" s="33"/>
      <c r="H74" s="34">
        <f t="shared" si="2"/>
        <v>0</v>
      </c>
      <c r="I74" s="131"/>
      <c r="J74" s="49"/>
      <c r="K74" s="52"/>
      <c r="L74" s="170">
        <f>(K3+K5+K6+K7+K8+K9+K10+K11+K13+K15+K20+K21+K22+K40+K41+K62)/16</f>
        <v>0.83340029761904755</v>
      </c>
    </row>
    <row r="75" spans="2:12" ht="45" customHeight="1" x14ac:dyDescent="0.25">
      <c r="B75" s="185" t="s">
        <v>500</v>
      </c>
      <c r="C75" s="185" t="s">
        <v>501</v>
      </c>
      <c r="D75" s="181" t="s">
        <v>502</v>
      </c>
      <c r="E75" s="127" t="s">
        <v>504</v>
      </c>
      <c r="F75" s="93">
        <v>15</v>
      </c>
      <c r="G75" s="33">
        <f>11+1</f>
        <v>12</v>
      </c>
      <c r="H75" s="93">
        <f>+F75-G75</f>
        <v>3</v>
      </c>
      <c r="I75" s="129" t="s">
        <v>525</v>
      </c>
      <c r="J75" s="49"/>
      <c r="K75" s="52"/>
      <c r="L75" s="170"/>
    </row>
    <row r="76" spans="2:12" ht="45" customHeight="1" x14ac:dyDescent="0.25">
      <c r="B76" s="186"/>
      <c r="C76" s="186"/>
      <c r="D76" s="181" t="s">
        <v>499</v>
      </c>
      <c r="E76" s="126" t="s">
        <v>505</v>
      </c>
      <c r="F76" s="184">
        <v>15</v>
      </c>
      <c r="G76" s="35">
        <v>17</v>
      </c>
      <c r="H76" s="41">
        <v>2</v>
      </c>
      <c r="I76" s="130"/>
      <c r="J76" s="69"/>
      <c r="K76" s="182"/>
      <c r="L76" s="170"/>
    </row>
    <row r="77" spans="2:12" ht="71.25" customHeight="1" x14ac:dyDescent="0.25">
      <c r="B77" s="189"/>
      <c r="C77" s="189"/>
      <c r="D77" s="181" t="s">
        <v>503</v>
      </c>
      <c r="E77" s="127" t="s">
        <v>506</v>
      </c>
      <c r="F77" s="93">
        <v>2</v>
      </c>
      <c r="G77" s="33"/>
      <c r="H77" s="41">
        <f t="shared" ref="H76:H77" si="3">+F77-G77</f>
        <v>2</v>
      </c>
      <c r="I77" s="131"/>
      <c r="J77" s="49"/>
      <c r="K77" s="52"/>
      <c r="L77" s="170"/>
    </row>
    <row r="78" spans="2:12" x14ac:dyDescent="0.25">
      <c r="F78" s="183"/>
      <c r="K78" s="53"/>
    </row>
    <row r="79" spans="2:12" hidden="1" x14ac:dyDescent="0.25">
      <c r="B79" s="143"/>
      <c r="C79" s="3" t="s">
        <v>480</v>
      </c>
      <c r="D79" s="3"/>
    </row>
    <row r="80" spans="2:12" hidden="1" x14ac:dyDescent="0.25">
      <c r="B80" s="145"/>
      <c r="C80" s="3" t="s">
        <v>479</v>
      </c>
      <c r="D80" s="3"/>
    </row>
    <row r="81" spans="2:8" hidden="1" x14ac:dyDescent="0.25">
      <c r="B81" s="144"/>
      <c r="C81" s="3" t="s">
        <v>476</v>
      </c>
      <c r="D81" s="3" t="s">
        <v>478</v>
      </c>
    </row>
    <row r="82" spans="2:8" hidden="1" x14ac:dyDescent="0.25">
      <c r="B82" s="146"/>
      <c r="C82" s="3" t="s">
        <v>477</v>
      </c>
      <c r="D82" s="3" t="s">
        <v>478</v>
      </c>
    </row>
    <row r="85" spans="2:8" ht="15.75" thickBot="1" x14ac:dyDescent="0.3">
      <c r="D85"/>
      <c r="E85"/>
      <c r="F85" s="99"/>
    </row>
    <row r="86" spans="2:8" ht="24" thickBot="1" x14ac:dyDescent="0.3">
      <c r="D86"/>
      <c r="E86"/>
      <c r="F86" s="99"/>
      <c r="H86" s="177"/>
    </row>
    <row r="87" spans="2:8" ht="24.75" thickTop="1" thickBot="1" x14ac:dyDescent="0.3">
      <c r="D87"/>
      <c r="E87"/>
      <c r="F87" s="99"/>
      <c r="H87" s="178"/>
    </row>
    <row r="88" spans="2:8" ht="24" thickBot="1" x14ac:dyDescent="0.3">
      <c r="D88"/>
      <c r="E88"/>
      <c r="F88" s="99"/>
      <c r="H88" s="179"/>
    </row>
    <row r="89" spans="2:8" ht="24" thickBot="1" x14ac:dyDescent="0.3">
      <c r="H89" s="179"/>
    </row>
    <row r="90" spans="2:8" ht="24" thickBot="1" x14ac:dyDescent="0.3">
      <c r="H90" s="179"/>
    </row>
    <row r="91" spans="2:8" ht="24" thickBot="1" x14ac:dyDescent="0.3">
      <c r="H91" s="179"/>
    </row>
    <row r="92" spans="2:8" x14ac:dyDescent="0.25">
      <c r="H92" s="180"/>
    </row>
    <row r="93" spans="2:8" x14ac:dyDescent="0.25">
      <c r="H93" s="16"/>
    </row>
    <row r="94" spans="2:8" x14ac:dyDescent="0.25">
      <c r="H94" s="16"/>
    </row>
  </sheetData>
  <sheetProtection algorithmName="SHA-512" hashValue="arjXVXuxBi1rrswf4feK4ulq0907T42hkZo53VBa2g/rZ8MC9/2PDeFfu1tvH2ELAnLItdDjk7YsdaOWFau5WQ==" saltValue="nHu59tn2B3JRse+hw7sj/Q==" spinCount="100000" sheet="1" selectLockedCells="1" selectUnlockedCells="1"/>
  <autoFilter ref="I2:J88" xr:uid="{00000000-0009-0000-0000-000006000000}"/>
  <mergeCells count="8">
    <mergeCell ref="B3:B50"/>
    <mergeCell ref="C3:C50"/>
    <mergeCell ref="B51:B59"/>
    <mergeCell ref="C51:C59"/>
    <mergeCell ref="B75:B77"/>
    <mergeCell ref="C75:C77"/>
    <mergeCell ref="B60:B74"/>
    <mergeCell ref="C60:C74"/>
  </mergeCells>
  <pageMargins left="0.70866141732283472" right="0.70866141732283472" top="0.74803149606299213" bottom="0.74803149606299213" header="0.31496062992125984" footer="0.31496062992125984"/>
  <pageSetup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E7"/>
  <sheetViews>
    <sheetView workbookViewId="0">
      <selection activeCell="E9" sqref="E9"/>
    </sheetView>
  </sheetViews>
  <sheetFormatPr baseColWidth="10" defaultRowHeight="15" x14ac:dyDescent="0.25"/>
  <sheetData>
    <row r="3" spans="2:5" x14ac:dyDescent="0.25">
      <c r="B3" t="s">
        <v>16</v>
      </c>
      <c r="E3" t="s">
        <v>20</v>
      </c>
    </row>
    <row r="4" spans="2:5" x14ac:dyDescent="0.25">
      <c r="B4" t="s">
        <v>17</v>
      </c>
      <c r="E4" t="s">
        <v>21</v>
      </c>
    </row>
    <row r="5" spans="2:5" x14ac:dyDescent="0.25">
      <c r="B5" t="s">
        <v>18</v>
      </c>
      <c r="E5" t="s">
        <v>22</v>
      </c>
    </row>
    <row r="6" spans="2:5" x14ac:dyDescent="0.25">
      <c r="B6" t="s">
        <v>19</v>
      </c>
      <c r="E6" t="s">
        <v>23</v>
      </c>
    </row>
    <row r="7" spans="2:5" x14ac:dyDescent="0.25">
      <c r="E7"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Hoja1</vt:lpstr>
      <vt:lpstr>Frente 1</vt:lpstr>
      <vt:lpstr>Frente 2</vt:lpstr>
      <vt:lpstr>Frente 3</vt:lpstr>
      <vt:lpstr>Frente 4</vt:lpstr>
      <vt:lpstr>Frente 5</vt:lpstr>
      <vt:lpstr>Frente 6</vt:lpstr>
      <vt:lpstr>Hoja4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PILAR UBAQUE GUTIERREZ</dc:creator>
  <cp:lastModifiedBy>NELLY PILAR UBAQUE GUTIERREZ</cp:lastModifiedBy>
  <cp:lastPrinted>2018-12-31T19:55:22Z</cp:lastPrinted>
  <dcterms:created xsi:type="dcterms:W3CDTF">2018-03-05T15:56:57Z</dcterms:created>
  <dcterms:modified xsi:type="dcterms:W3CDTF">2019-02-01T01:51:43Z</dcterms:modified>
</cp:coreProperties>
</file>