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E:\2021-2\Dirección de Planeación\SIS\"/>
    </mc:Choice>
  </mc:AlternateContent>
  <xr:revisionPtr revIDLastSave="0" documentId="13_ncr:1_{7F80DDE2-5F03-4C64-BA2A-FAF6016EACEE}" xr6:coauthVersionLast="36" xr6:coauthVersionMax="36" xr10:uidLastSave="{00000000-0000-0000-0000-000000000000}"/>
  <workbookProtection workbookAlgorithmName="SHA-512" workbookHashValue="PjyHrePLltXD0PhKhHqbmhlAJC2yrqNJ0+WHZ7jFkK9i+fVLjtae/YwtVjaiwvP/f4uEUYAr4Rh5EAcAalONsw==" workbookSaltValue="iYSSpZFCk0H06Smhywp05A==" workbookSpinCount="100000" lockStructure="1"/>
  <bookViews>
    <workbookView xWindow="0" yWindow="0" windowWidth="20400" windowHeight="7545" xr2:uid="{00000000-000D-0000-FFFF-FFFF00000000}"/>
  </bookViews>
  <sheets>
    <sheet name="TOTALES" sheetId="26" r:id="rId1"/>
    <sheet name="ambiental" sheetId="1" r:id="rId2"/>
    <sheet name="Apoyo Académico" sheetId="3" r:id="rId3"/>
    <sheet name="Archivo" sheetId="4" r:id="rId4"/>
    <sheet name="Autoevaluación y acreditación" sheetId="5" r:id="rId5"/>
    <sheet name="bienes y servicios" sheetId="6" r:id="rId6"/>
    <sheet name="bienestar U." sheetId="7" r:id="rId7"/>
    <sheet name="calidad" sheetId="8" r:id="rId8"/>
    <sheet name="centro de E agroambientales" sheetId="9" r:id="rId9"/>
    <sheet name="comunicaciones" sheetId="10" r:id="rId10"/>
    <sheet name="desarrollo académico" sheetId="11" r:id="rId11"/>
    <sheet name="planeación" sheetId="12" r:id="rId12"/>
    <sheet name="Educación Virtual y a distancia" sheetId="13" r:id="rId13"/>
    <sheet name="EFAD" sheetId="14" r:id="rId14"/>
    <sheet name="Soacha" sheetId="15" r:id="rId15"/>
    <sheet name="Graduados" sheetId="16" r:id="rId16"/>
    <sheet name="interac. social" sheetId="17" r:id="rId17"/>
    <sheet name="Internacionalización" sheetId="18" r:id="rId18"/>
    <sheet name="investigación" sheetId="19" r:id="rId19"/>
    <sheet name="posgrados" sheetId="20" r:id="rId20"/>
    <sheet name="Girardot" sheetId="21" r:id="rId21"/>
    <sheet name="Seg y S en el Trabajo" sheetId="22" r:id="rId22"/>
    <sheet name="sistemas y T" sheetId="23" r:id="rId23"/>
    <sheet name="talento H" sheetId="24" r:id="rId24"/>
    <sheet name="Vicerrectoría académica" sheetId="25" r:id="rId25"/>
    <sheet name="UBATÉ" sheetId="29" r:id="rId26"/>
    <sheet name="SOACHA INV" sheetId="30" r:id="rId27"/>
    <sheet name="GIRARDOT INV" sheetId="31" r:id="rId2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6" l="1"/>
  <c r="H25" i="26" l="1"/>
  <c r="B25" i="26"/>
  <c r="F25" i="26" s="1"/>
  <c r="Y4" i="31"/>
  <c r="V4" i="31"/>
  <c r="R4" i="31"/>
  <c r="C25" i="26" s="1"/>
  <c r="D25" i="26" s="1"/>
  <c r="M4" i="31"/>
  <c r="S3" i="31"/>
  <c r="S3" i="30"/>
  <c r="Y4" i="30"/>
  <c r="V4" i="30"/>
  <c r="R4" i="30"/>
  <c r="C24" i="26" s="1"/>
  <c r="M4" i="30"/>
  <c r="B24" i="26" s="1"/>
  <c r="Y12" i="29"/>
  <c r="V12" i="29"/>
  <c r="R12" i="29"/>
  <c r="C23" i="26" s="1"/>
  <c r="S4" i="29"/>
  <c r="B19" i="26"/>
  <c r="S3" i="20"/>
  <c r="R4" i="20"/>
  <c r="M4" i="20"/>
  <c r="H24" i="26" l="1"/>
  <c r="F24" i="26"/>
  <c r="D24" i="26"/>
  <c r="S4" i="31"/>
  <c r="S4" i="30"/>
  <c r="M12" i="29"/>
  <c r="N3" i="29"/>
  <c r="S3" i="29"/>
  <c r="S12" i="29" l="1"/>
  <c r="B23" i="26"/>
  <c r="Y27" i="17"/>
  <c r="G16" i="26" s="1"/>
  <c r="V27" i="17"/>
  <c r="E16" i="26" s="1"/>
  <c r="H23" i="26" l="1"/>
  <c r="F23" i="26"/>
  <c r="D23" i="26"/>
  <c r="Y6" i="25"/>
  <c r="G26" i="26" s="1"/>
  <c r="V6" i="25"/>
  <c r="E26" i="26" s="1"/>
  <c r="G22" i="26"/>
  <c r="Y4" i="24"/>
  <c r="V4" i="24"/>
  <c r="E22" i="26" s="1"/>
  <c r="R4" i="24"/>
  <c r="C22" i="26" s="1"/>
  <c r="Y44" i="23"/>
  <c r="G21" i="26" s="1"/>
  <c r="V44" i="23"/>
  <c r="E21" i="26" s="1"/>
  <c r="V4" i="20"/>
  <c r="C19" i="26" s="1"/>
  <c r="Y133" i="19"/>
  <c r="G18" i="26" s="1"/>
  <c r="V133" i="19"/>
  <c r="E18" i="26" s="1"/>
  <c r="Y9" i="18"/>
  <c r="G17" i="26" s="1"/>
  <c r="V9" i="18"/>
  <c r="E17" i="26" s="1"/>
  <c r="G15" i="26"/>
  <c r="Y9" i="16"/>
  <c r="V9" i="16"/>
  <c r="C15" i="26" s="1"/>
  <c r="E15" i="26" l="1"/>
  <c r="Y44" i="14"/>
  <c r="G14" i="26" s="1"/>
  <c r="V44" i="14"/>
  <c r="E14" i="26" s="1"/>
  <c r="Y19" i="13"/>
  <c r="G13" i="26" s="1"/>
  <c r="V19" i="13"/>
  <c r="E13" i="26" s="1"/>
  <c r="Y27" i="12"/>
  <c r="G12" i="26" s="1"/>
  <c r="V27" i="12"/>
  <c r="E12" i="26" s="1"/>
  <c r="Y23" i="11"/>
  <c r="G11" i="26" s="1"/>
  <c r="V23" i="11"/>
  <c r="E11" i="26" s="1"/>
  <c r="Y10" i="10"/>
  <c r="G10" i="26" s="1"/>
  <c r="V10" i="10"/>
  <c r="E10" i="26" s="1"/>
  <c r="G9" i="26"/>
  <c r="V5" i="9"/>
  <c r="E9" i="26" s="1"/>
  <c r="Y17" i="8"/>
  <c r="G8" i="26" s="1"/>
  <c r="V17" i="8"/>
  <c r="E8" i="26" s="1"/>
  <c r="G7" i="26"/>
  <c r="Y85" i="7"/>
  <c r="V85" i="7"/>
  <c r="E7" i="26" s="1"/>
  <c r="Y16" i="6"/>
  <c r="G6" i="26" s="1"/>
  <c r="V16" i="6"/>
  <c r="E6" i="26" s="1"/>
  <c r="Y42" i="5"/>
  <c r="G5" i="26" s="1"/>
  <c r="V42" i="5"/>
  <c r="E5" i="26" s="1"/>
  <c r="Y7" i="4"/>
  <c r="G4" i="26" s="1"/>
  <c r="V7" i="4"/>
  <c r="E4" i="26" s="1"/>
  <c r="Y44" i="3"/>
  <c r="G3" i="26" s="1"/>
  <c r="V44" i="3"/>
  <c r="E3" i="26" s="1"/>
  <c r="H19" i="26"/>
  <c r="F19" i="26"/>
  <c r="D19" i="26"/>
  <c r="Y27" i="1"/>
  <c r="G2" i="26" s="1"/>
  <c r="V27" i="1"/>
  <c r="E2" i="26" s="1"/>
  <c r="G27" i="26" l="1"/>
  <c r="E27" i="26"/>
  <c r="R6" i="25" l="1"/>
  <c r="C26" i="26" s="1"/>
  <c r="S40" i="23"/>
  <c r="S41" i="23"/>
  <c r="S42" i="23"/>
  <c r="S43" i="23"/>
  <c r="S39" i="23"/>
  <c r="S30" i="23"/>
  <c r="S31" i="23"/>
  <c r="R5" i="18"/>
  <c r="R9" i="18" s="1"/>
  <c r="C17" i="26" s="1"/>
  <c r="R9" i="16"/>
  <c r="R22" i="11"/>
  <c r="R8" i="10"/>
  <c r="R10" i="10" s="1"/>
  <c r="C10" i="26" s="1"/>
  <c r="R5" i="9"/>
  <c r="C9" i="26" s="1"/>
  <c r="R74" i="7"/>
  <c r="R13" i="7"/>
  <c r="R16" i="6"/>
  <c r="C6" i="26" s="1"/>
  <c r="R7" i="4"/>
  <c r="C4" i="26" s="1"/>
  <c r="R17" i="23"/>
  <c r="R5" i="7"/>
  <c r="R9" i="7"/>
  <c r="R13" i="23"/>
  <c r="R9" i="23"/>
  <c r="R5" i="23"/>
  <c r="R38" i="23"/>
  <c r="S32" i="23" s="1"/>
  <c r="R8" i="12"/>
  <c r="R91" i="19"/>
  <c r="R22" i="3"/>
  <c r="R16" i="3"/>
  <c r="R33" i="3"/>
  <c r="R14" i="8"/>
  <c r="R14" i="13"/>
  <c r="R19" i="13" s="1"/>
  <c r="C13" i="26" s="1"/>
  <c r="R11" i="8"/>
  <c r="R17" i="8" s="1"/>
  <c r="C8" i="26" s="1"/>
  <c r="R19" i="19"/>
  <c r="R17" i="7"/>
  <c r="R21" i="17"/>
  <c r="R27" i="17" s="1"/>
  <c r="C16" i="26" s="1"/>
  <c r="R4" i="12"/>
  <c r="R37" i="14"/>
  <c r="R44" i="14" s="1"/>
  <c r="C14" i="26" s="1"/>
  <c r="R38" i="5"/>
  <c r="R42" i="5" s="1"/>
  <c r="R40" i="7"/>
  <c r="R21" i="7"/>
  <c r="R21" i="23"/>
  <c r="R11" i="3"/>
  <c r="R15" i="11"/>
  <c r="R71" i="7"/>
  <c r="R73" i="19"/>
  <c r="R13" i="1"/>
  <c r="C5" i="26" l="1"/>
  <c r="R27" i="12"/>
  <c r="C12" i="26" s="1"/>
  <c r="R44" i="23"/>
  <c r="C21" i="26" s="1"/>
  <c r="R27" i="1"/>
  <c r="R44" i="3"/>
  <c r="C3" i="26" s="1"/>
  <c r="R133" i="19"/>
  <c r="C18" i="26" s="1"/>
  <c r="R85" i="7"/>
  <c r="C7" i="26" s="1"/>
  <c r="R23" i="11"/>
  <c r="C11" i="26" s="1"/>
  <c r="N3" i="21"/>
  <c r="M3" i="21"/>
  <c r="N15" i="6"/>
  <c r="S15" i="6" s="1"/>
  <c r="M15" i="6"/>
  <c r="N43" i="3"/>
  <c r="M43" i="3"/>
  <c r="N26" i="17"/>
  <c r="M26" i="17"/>
  <c r="S26" i="17" s="1"/>
  <c r="N14" i="6"/>
  <c r="M14" i="6"/>
  <c r="N13" i="6"/>
  <c r="M13" i="6"/>
  <c r="N12" i="6"/>
  <c r="M12" i="6"/>
  <c r="M11" i="6"/>
  <c r="N10" i="6"/>
  <c r="M10" i="6"/>
  <c r="M9" i="6"/>
  <c r="N8" i="6"/>
  <c r="M8" i="6"/>
  <c r="N3" i="15"/>
  <c r="M3" i="15"/>
  <c r="M7" i="6"/>
  <c r="M6" i="6"/>
  <c r="N5" i="6"/>
  <c r="M5" i="6"/>
  <c r="M42" i="3"/>
  <c r="N42" i="3" s="1"/>
  <c r="M41" i="3"/>
  <c r="M40" i="3"/>
  <c r="M39" i="3"/>
  <c r="N39" i="3" s="1"/>
  <c r="M38" i="3"/>
  <c r="M37" i="3"/>
  <c r="M36" i="3"/>
  <c r="M35" i="3"/>
  <c r="M34" i="3"/>
  <c r="M26" i="12"/>
  <c r="M29" i="23"/>
  <c r="M28" i="23"/>
  <c r="M25" i="12"/>
  <c r="S25" i="12" s="1"/>
  <c r="M24" i="12"/>
  <c r="S24" i="12" s="1"/>
  <c r="M23" i="12"/>
  <c r="M22" i="12"/>
  <c r="S22" i="12" s="1"/>
  <c r="M21" i="12"/>
  <c r="M20" i="12"/>
  <c r="S20" i="12" s="1"/>
  <c r="M18" i="13"/>
  <c r="N18" i="13" s="1"/>
  <c r="M19" i="12"/>
  <c r="M27" i="23"/>
  <c r="M18" i="12"/>
  <c r="S18" i="12" s="1"/>
  <c r="M17" i="12"/>
  <c r="S17" i="12" s="1"/>
  <c r="M16" i="12"/>
  <c r="S16" i="12" s="1"/>
  <c r="M21" i="22"/>
  <c r="M20" i="22"/>
  <c r="M19" i="22"/>
  <c r="M18" i="22"/>
  <c r="M17" i="22"/>
  <c r="M16" i="22"/>
  <c r="M15" i="22"/>
  <c r="M14" i="22"/>
  <c r="M13" i="22"/>
  <c r="M12" i="22"/>
  <c r="M11" i="22"/>
  <c r="M10" i="22"/>
  <c r="M9" i="22"/>
  <c r="M8" i="22"/>
  <c r="M7" i="22"/>
  <c r="M6" i="22"/>
  <c r="M5" i="22"/>
  <c r="M4" i="22"/>
  <c r="M3" i="22"/>
  <c r="M2" i="22"/>
  <c r="M26" i="1"/>
  <c r="M25" i="1"/>
  <c r="M24" i="1"/>
  <c r="M23" i="1"/>
  <c r="M22" i="1"/>
  <c r="M21" i="1"/>
  <c r="M20" i="1"/>
  <c r="M19" i="1"/>
  <c r="M18" i="1"/>
  <c r="M17" i="1"/>
  <c r="S17" i="1" s="1"/>
  <c r="M84" i="7"/>
  <c r="M4" i="6"/>
  <c r="H3" i="6"/>
  <c r="G3" i="6"/>
  <c r="M2" i="6"/>
  <c r="M4" i="9"/>
  <c r="S4" i="9" s="1"/>
  <c r="M3" i="9"/>
  <c r="M15" i="12"/>
  <c r="S15" i="12" s="1"/>
  <c r="M14" i="12"/>
  <c r="S14" i="12" s="1"/>
  <c r="M13" i="12"/>
  <c r="S13" i="12" s="1"/>
  <c r="M12" i="12"/>
  <c r="M93" i="19"/>
  <c r="S93" i="19" s="1"/>
  <c r="M92" i="19"/>
  <c r="S92" i="19" s="1"/>
  <c r="M86" i="19"/>
  <c r="S85" i="19" s="1"/>
  <c r="M84" i="19"/>
  <c r="S84" i="19" s="1"/>
  <c r="M83" i="19"/>
  <c r="M82" i="19"/>
  <c r="S82" i="19" s="1"/>
  <c r="M81" i="19"/>
  <c r="S81" i="19" s="1"/>
  <c r="M80" i="19"/>
  <c r="S80" i="19" s="1"/>
  <c r="M79" i="19"/>
  <c r="S79" i="19" s="1"/>
  <c r="M78" i="19"/>
  <c r="S78" i="19" s="1"/>
  <c r="M77" i="19"/>
  <c r="S77" i="19" s="1"/>
  <c r="M76" i="19"/>
  <c r="S76" i="19" s="1"/>
  <c r="M75" i="19"/>
  <c r="S75" i="19" s="1"/>
  <c r="M74" i="19"/>
  <c r="S74" i="19" s="1"/>
  <c r="M64" i="19"/>
  <c r="S64" i="19" s="1"/>
  <c r="M63" i="19"/>
  <c r="S63" i="19" s="1"/>
  <c r="M62" i="19"/>
  <c r="S62" i="19" s="1"/>
  <c r="M61" i="19"/>
  <c r="S61" i="19" s="1"/>
  <c r="M60" i="19"/>
  <c r="S60" i="19" s="1"/>
  <c r="M59" i="19"/>
  <c r="S59" i="19" s="1"/>
  <c r="M58" i="19"/>
  <c r="S58" i="19" s="1"/>
  <c r="M57" i="19"/>
  <c r="S57" i="19" s="1"/>
  <c r="M56" i="19"/>
  <c r="S56" i="19" s="1"/>
  <c r="M55" i="19"/>
  <c r="S55" i="19" s="1"/>
  <c r="M54" i="19"/>
  <c r="S54" i="19" s="1"/>
  <c r="M53" i="19"/>
  <c r="S53" i="19" s="1"/>
  <c r="M52" i="19"/>
  <c r="S52" i="19" s="1"/>
  <c r="M51" i="19"/>
  <c r="S51" i="19" s="1"/>
  <c r="M50" i="19"/>
  <c r="S50" i="19" s="1"/>
  <c r="M49" i="19"/>
  <c r="S49" i="19" s="1"/>
  <c r="M48" i="19"/>
  <c r="S48" i="19" s="1"/>
  <c r="M47" i="19"/>
  <c r="S47" i="19" s="1"/>
  <c r="M46" i="19"/>
  <c r="S46" i="19" s="1"/>
  <c r="M45" i="19"/>
  <c r="S45" i="19" s="1"/>
  <c r="M44" i="19"/>
  <c r="S44" i="19" s="1"/>
  <c r="M43" i="19"/>
  <c r="S43" i="19" s="1"/>
  <c r="M42" i="19"/>
  <c r="S42" i="19" s="1"/>
  <c r="M41" i="19"/>
  <c r="S41" i="19" s="1"/>
  <c r="M40" i="19"/>
  <c r="S40" i="19" s="1"/>
  <c r="M39" i="19"/>
  <c r="S39" i="19" s="1"/>
  <c r="M38" i="19"/>
  <c r="S38" i="19" s="1"/>
  <c r="M37" i="19"/>
  <c r="S37" i="19" s="1"/>
  <c r="M36" i="19"/>
  <c r="S36" i="19" s="1"/>
  <c r="M35" i="19"/>
  <c r="S35" i="19" s="1"/>
  <c r="M34" i="19"/>
  <c r="S34" i="19" s="1"/>
  <c r="M33" i="19"/>
  <c r="S33" i="19" s="1"/>
  <c r="M32" i="19"/>
  <c r="S32" i="19" s="1"/>
  <c r="M31" i="19"/>
  <c r="S31" i="19" s="1"/>
  <c r="M30" i="19"/>
  <c r="S30" i="19" s="1"/>
  <c r="M29" i="19"/>
  <c r="S29" i="19" s="1"/>
  <c r="M28" i="19"/>
  <c r="S28" i="19" s="1"/>
  <c r="M27" i="19"/>
  <c r="S27" i="19" s="1"/>
  <c r="M26" i="19"/>
  <c r="S26" i="19" s="1"/>
  <c r="M25" i="19"/>
  <c r="S25" i="19" s="1"/>
  <c r="M24" i="19"/>
  <c r="S24" i="19" s="1"/>
  <c r="M23" i="19"/>
  <c r="S23" i="19" s="1"/>
  <c r="M22" i="19"/>
  <c r="S22" i="19" s="1"/>
  <c r="M21" i="19"/>
  <c r="S21" i="19" s="1"/>
  <c r="M20" i="19"/>
  <c r="S20" i="19" s="1"/>
  <c r="M6" i="4"/>
  <c r="S6" i="4" s="1"/>
  <c r="M5" i="4"/>
  <c r="S5" i="4" s="1"/>
  <c r="M4" i="4"/>
  <c r="S4" i="4" s="1"/>
  <c r="M3" i="4"/>
  <c r="S3" i="4" s="1"/>
  <c r="M2" i="4"/>
  <c r="M24" i="3"/>
  <c r="N24" i="3" s="1"/>
  <c r="M23" i="3"/>
  <c r="N23" i="3" s="1"/>
  <c r="M17" i="3"/>
  <c r="M12" i="3"/>
  <c r="N12" i="3" s="1"/>
  <c r="M2" i="3"/>
  <c r="M26" i="23"/>
  <c r="S26" i="23" s="1"/>
  <c r="M25" i="23"/>
  <c r="S25" i="23" s="1"/>
  <c r="H24" i="23"/>
  <c r="G24" i="23"/>
  <c r="H23" i="23"/>
  <c r="G23" i="23"/>
  <c r="M8" i="16"/>
  <c r="S8" i="16" s="1"/>
  <c r="M7" i="16"/>
  <c r="S7" i="16" s="1"/>
  <c r="M6" i="16"/>
  <c r="S6" i="16" s="1"/>
  <c r="M5" i="16"/>
  <c r="S5" i="16" s="1"/>
  <c r="M4" i="16"/>
  <c r="S4" i="16" s="1"/>
  <c r="M3" i="16"/>
  <c r="M83" i="7"/>
  <c r="S83" i="7" s="1"/>
  <c r="M82" i="7"/>
  <c r="S82" i="7" s="1"/>
  <c r="M18" i="11"/>
  <c r="S16" i="11" s="1"/>
  <c r="M16" i="11"/>
  <c r="M3" i="24"/>
  <c r="N3" i="24" s="1"/>
  <c r="M11" i="12"/>
  <c r="S11" i="12" s="1"/>
  <c r="M10" i="12"/>
  <c r="S10" i="12" s="1"/>
  <c r="G9" i="12"/>
  <c r="M9" i="12" s="1"/>
  <c r="S9" i="12" s="1"/>
  <c r="G5" i="12"/>
  <c r="M5" i="12" s="1"/>
  <c r="S5" i="12" s="1"/>
  <c r="G2" i="12"/>
  <c r="M2" i="12" s="1"/>
  <c r="M16" i="13"/>
  <c r="M15" i="13"/>
  <c r="M2" i="13"/>
  <c r="M9" i="10"/>
  <c r="S9" i="10" s="1"/>
  <c r="M3" i="10"/>
  <c r="G5" i="11"/>
  <c r="M5" i="11" s="1"/>
  <c r="S5" i="11" s="1"/>
  <c r="M4" i="11"/>
  <c r="S4" i="11" s="1"/>
  <c r="G3" i="11"/>
  <c r="M3" i="11" s="1"/>
  <c r="M43" i="14"/>
  <c r="S43" i="14" s="1"/>
  <c r="G42" i="14"/>
  <c r="M41" i="14"/>
  <c r="S41" i="14" s="1"/>
  <c r="G40" i="14"/>
  <c r="G39" i="14"/>
  <c r="G38" i="14"/>
  <c r="M38" i="14" s="1"/>
  <c r="S38" i="14" s="1"/>
  <c r="G2" i="14"/>
  <c r="M2" i="14" s="1"/>
  <c r="S2" i="14" s="1"/>
  <c r="M25" i="17"/>
  <c r="S25" i="17" s="1"/>
  <c r="H24" i="17"/>
  <c r="G24" i="17"/>
  <c r="M23" i="17"/>
  <c r="S23" i="17" s="1"/>
  <c r="G22" i="17"/>
  <c r="M22" i="17" s="1"/>
  <c r="H2" i="17"/>
  <c r="G2" i="17"/>
  <c r="G5" i="25"/>
  <c r="M5" i="25" s="1"/>
  <c r="S5" i="25" s="1"/>
  <c r="M4" i="25"/>
  <c r="S4" i="25" s="1"/>
  <c r="H3" i="25"/>
  <c r="G3" i="25"/>
  <c r="M8" i="18"/>
  <c r="S8" i="18" s="1"/>
  <c r="G7" i="18"/>
  <c r="M7" i="18" s="1"/>
  <c r="S7" i="18" s="1"/>
  <c r="G6" i="18"/>
  <c r="M6" i="18" s="1"/>
  <c r="S6" i="18" s="1"/>
  <c r="M3" i="18"/>
  <c r="G40" i="5"/>
  <c r="M40" i="5" s="1"/>
  <c r="M39" i="5"/>
  <c r="S39" i="5" s="1"/>
  <c r="G2" i="5"/>
  <c r="M2" i="5" s="1"/>
  <c r="M42" i="5" s="1"/>
  <c r="S42" i="5" s="1"/>
  <c r="M81" i="7"/>
  <c r="S81" i="7" s="1"/>
  <c r="M80" i="7"/>
  <c r="S80" i="7" s="1"/>
  <c r="M79" i="7"/>
  <c r="S79" i="7" s="1"/>
  <c r="M78" i="7"/>
  <c r="S78" i="7" s="1"/>
  <c r="M77" i="7"/>
  <c r="S77" i="7" s="1"/>
  <c r="M76" i="7"/>
  <c r="S76" i="7" s="1"/>
  <c r="M75" i="7"/>
  <c r="S75" i="7" s="1"/>
  <c r="M72" i="7"/>
  <c r="S72" i="7" s="1"/>
  <c r="M41" i="7"/>
  <c r="S41" i="7" s="1"/>
  <c r="M22" i="7"/>
  <c r="S22" i="7" s="1"/>
  <c r="G18" i="7"/>
  <c r="M18" i="7" s="1"/>
  <c r="S18" i="7" s="1"/>
  <c r="G14" i="7"/>
  <c r="M14" i="7" s="1"/>
  <c r="S14" i="7" s="1"/>
  <c r="G10" i="7"/>
  <c r="M10" i="7" s="1"/>
  <c r="S10" i="7" s="1"/>
  <c r="G6" i="7"/>
  <c r="M6" i="7" s="1"/>
  <c r="S6" i="7" s="1"/>
  <c r="H2" i="7"/>
  <c r="G2" i="7"/>
  <c r="M2" i="19"/>
  <c r="M22" i="23"/>
  <c r="S22" i="23" s="1"/>
  <c r="G18" i="23"/>
  <c r="M18" i="23" s="1"/>
  <c r="S18" i="23" s="1"/>
  <c r="G14" i="23"/>
  <c r="M14" i="23" s="1"/>
  <c r="S14" i="23" s="1"/>
  <c r="G10" i="23"/>
  <c r="G6" i="23"/>
  <c r="M6" i="23" s="1"/>
  <c r="S6" i="23" s="1"/>
  <c r="G2" i="23"/>
  <c r="M2" i="23" s="1"/>
  <c r="S2" i="23" s="1"/>
  <c r="M16" i="1"/>
  <c r="S16" i="1" s="1"/>
  <c r="M15" i="1"/>
  <c r="S15" i="1" s="1"/>
  <c r="M14" i="1"/>
  <c r="S14" i="1" s="1"/>
  <c r="M2" i="1"/>
  <c r="S2" i="1" s="1"/>
  <c r="M16" i="8"/>
  <c r="S16" i="8" s="1"/>
  <c r="M15" i="8"/>
  <c r="S15" i="8" s="1"/>
  <c r="G12" i="8"/>
  <c r="M12" i="8" s="1"/>
  <c r="S12" i="8" s="1"/>
  <c r="G3" i="8"/>
  <c r="M3" i="8" s="1"/>
  <c r="M133" i="19" l="1"/>
  <c r="B18" i="26" s="1"/>
  <c r="M22" i="22"/>
  <c r="B20" i="26" s="1"/>
  <c r="S23" i="3"/>
  <c r="M24" i="23"/>
  <c r="S24" i="23" s="1"/>
  <c r="D20" i="26"/>
  <c r="H20" i="26"/>
  <c r="F20" i="26"/>
  <c r="M19" i="13"/>
  <c r="S3" i="24"/>
  <c r="N4" i="24"/>
  <c r="C2" i="26"/>
  <c r="M3" i="25"/>
  <c r="S3" i="8"/>
  <c r="M17" i="8"/>
  <c r="N3" i="10"/>
  <c r="S3" i="10"/>
  <c r="M10" i="10"/>
  <c r="M7" i="4"/>
  <c r="S2" i="4"/>
  <c r="N12" i="12"/>
  <c r="S12" i="12"/>
  <c r="N3" i="9"/>
  <c r="S3" i="9"/>
  <c r="M5" i="9"/>
  <c r="M27" i="1"/>
  <c r="N27" i="23"/>
  <c r="S27" i="23"/>
  <c r="N20" i="12"/>
  <c r="S21" i="12"/>
  <c r="N38" i="3"/>
  <c r="S38" i="3"/>
  <c r="N2" i="19"/>
  <c r="S2" i="19" s="1"/>
  <c r="M9" i="18"/>
  <c r="S3" i="18"/>
  <c r="M44" i="14"/>
  <c r="M23" i="11"/>
  <c r="S2" i="12"/>
  <c r="M27" i="12"/>
  <c r="N17" i="3"/>
  <c r="S17" i="3"/>
  <c r="N19" i="12"/>
  <c r="S19" i="12"/>
  <c r="N28" i="23"/>
  <c r="S28" i="23"/>
  <c r="S2" i="13"/>
  <c r="M6" i="25"/>
  <c r="S3" i="25"/>
  <c r="N84" i="7"/>
  <c r="S84" i="7"/>
  <c r="N23" i="12"/>
  <c r="S23" i="12"/>
  <c r="N29" i="23"/>
  <c r="S29" i="23"/>
  <c r="S12" i="3"/>
  <c r="N3" i="16"/>
  <c r="M9" i="16"/>
  <c r="S3" i="16"/>
  <c r="N2" i="3"/>
  <c r="M44" i="3"/>
  <c r="N83" i="19"/>
  <c r="S83" i="19"/>
  <c r="N26" i="12"/>
  <c r="S26" i="12"/>
  <c r="S2" i="3"/>
  <c r="N2" i="22"/>
  <c r="M2" i="7"/>
  <c r="N2" i="7" s="1"/>
  <c r="N2" i="6"/>
  <c r="S2" i="5"/>
  <c r="N2" i="5"/>
  <c r="N84" i="19"/>
  <c r="N2" i="1"/>
  <c r="N40" i="3"/>
  <c r="N3" i="25"/>
  <c r="M23" i="23"/>
  <c r="N3" i="18"/>
  <c r="M2" i="17"/>
  <c r="M24" i="17"/>
  <c r="S24" i="17" s="1"/>
  <c r="N2" i="13"/>
  <c r="N16" i="12"/>
  <c r="N24" i="12"/>
  <c r="N16" i="11"/>
  <c r="N3" i="11"/>
  <c r="N3" i="8"/>
  <c r="M3" i="6"/>
  <c r="N3" i="6" s="1"/>
  <c r="N2" i="4"/>
  <c r="N34" i="3"/>
  <c r="N17" i="1"/>
  <c r="N82" i="7"/>
  <c r="N20" i="19"/>
  <c r="N2" i="12"/>
  <c r="N2" i="14"/>
  <c r="H10" i="23"/>
  <c r="M10" i="23" s="1"/>
  <c r="N23" i="23" l="1"/>
  <c r="S27" i="1"/>
  <c r="B2" i="26"/>
  <c r="S17" i="8"/>
  <c r="B8" i="26"/>
  <c r="B5" i="26"/>
  <c r="S23" i="11"/>
  <c r="B11" i="26"/>
  <c r="S10" i="10"/>
  <c r="B10" i="26"/>
  <c r="S44" i="3"/>
  <c r="B3" i="26"/>
  <c r="S44" i="14"/>
  <c r="B14" i="26"/>
  <c r="S5" i="9"/>
  <c r="B9" i="26"/>
  <c r="B22" i="26"/>
  <c r="S4" i="24"/>
  <c r="S9" i="18"/>
  <c r="B17" i="26"/>
  <c r="S7" i="4"/>
  <c r="B4" i="26"/>
  <c r="C27" i="26"/>
  <c r="D2" i="26"/>
  <c r="S19" i="13"/>
  <c r="B13" i="26"/>
  <c r="S9" i="16"/>
  <c r="B15" i="26"/>
  <c r="S133" i="19"/>
  <c r="S6" i="25"/>
  <c r="B26" i="26"/>
  <c r="S27" i="12"/>
  <c r="B12" i="26"/>
  <c r="F2" i="26"/>
  <c r="H2" i="26"/>
  <c r="N2" i="23"/>
  <c r="N45" i="23" s="1"/>
  <c r="S10" i="23"/>
  <c r="M85" i="7"/>
  <c r="S2" i="7"/>
  <c r="M27" i="17"/>
  <c r="S2" i="17"/>
  <c r="M16" i="6"/>
  <c r="N2" i="17"/>
  <c r="S27" i="17" l="1"/>
  <c r="B16" i="26"/>
  <c r="F12" i="26"/>
  <c r="H12" i="26"/>
  <c r="D12" i="26"/>
  <c r="H13" i="26"/>
  <c r="F13" i="26"/>
  <c r="D13" i="26"/>
  <c r="S85" i="7"/>
  <c r="B7" i="26"/>
  <c r="F26" i="26"/>
  <c r="H26" i="26"/>
  <c r="D26" i="26"/>
  <c r="F15" i="26"/>
  <c r="H15" i="26"/>
  <c r="D15" i="26"/>
  <c r="H17" i="26"/>
  <c r="F17" i="26"/>
  <c r="D17" i="26"/>
  <c r="H9" i="26"/>
  <c r="F9" i="26"/>
  <c r="D9" i="26"/>
  <c r="F3" i="26"/>
  <c r="H3" i="26"/>
  <c r="D3" i="26"/>
  <c r="H11" i="26"/>
  <c r="F11" i="26"/>
  <c r="D11" i="26"/>
  <c r="F8" i="26"/>
  <c r="H8" i="26"/>
  <c r="D8" i="26"/>
  <c r="S44" i="23"/>
  <c r="B21" i="26"/>
  <c r="H18" i="26"/>
  <c r="F18" i="26"/>
  <c r="D18" i="26"/>
  <c r="H4" i="26"/>
  <c r="F4" i="26"/>
  <c r="D4" i="26"/>
  <c r="F14" i="26"/>
  <c r="D14" i="26"/>
  <c r="F10" i="26"/>
  <c r="H10" i="26"/>
  <c r="D10" i="26"/>
  <c r="H5" i="26"/>
  <c r="F5" i="26"/>
  <c r="D5" i="26"/>
  <c r="D22" i="26"/>
  <c r="F22" i="26"/>
  <c r="H22" i="26"/>
  <c r="S16" i="6"/>
  <c r="B6" i="26"/>
  <c r="B27" i="26" l="1"/>
  <c r="D27" i="26" s="1"/>
  <c r="F7" i="26"/>
  <c r="H7" i="26"/>
  <c r="D7" i="26"/>
  <c r="H16" i="26"/>
  <c r="F16" i="26"/>
  <c r="D16" i="26"/>
  <c r="F6" i="26"/>
  <c r="H6" i="26"/>
  <c r="D6" i="26"/>
  <c r="H21" i="26"/>
  <c r="F21" i="26"/>
  <c r="D21" i="26"/>
  <c r="H27" i="26" l="1"/>
  <c r="F27" i="26"/>
</calcChain>
</file>

<file path=xl/sharedStrings.xml><?xml version="1.0" encoding="utf-8"?>
<sst xmlns="http://schemas.openxmlformats.org/spreadsheetml/2006/main" count="3284" uniqueCount="1767">
  <si>
    <t>COD. SEGUIM</t>
  </si>
  <si>
    <t xml:space="preserve">No. DE PROYECTO </t>
  </si>
  <si>
    <t>NOMBRE DEL PROYECTO</t>
  </si>
  <si>
    <t>UNIDAD ADMINISTRATIVA RESPONSABLE</t>
  </si>
  <si>
    <t xml:space="preserve">CONSECUTIVO PLATAFORMA BANCO DE PROYECTOS </t>
  </si>
  <si>
    <t xml:space="preserve">CUENTA PRESUPUESTAL </t>
  </si>
  <si>
    <t>ASIGNACIÓN INICIAL ACUERDO No. 022 DE 2020</t>
  </si>
  <si>
    <t xml:space="preserve">TRASLADOS </t>
  </si>
  <si>
    <t>ACUERDO N. 012 - RB ADICIÓN PFI-PFC2020 - PFC2019</t>
  </si>
  <si>
    <t>ACUERDO N. 008 - RECURSOS DEL BALANCE</t>
  </si>
  <si>
    <t xml:space="preserve">ACUERDO N. 009 - RB ESTAMPILLA </t>
  </si>
  <si>
    <t>ACUERDO N. 011 - RB VIGENCIAS ANTERIORES</t>
  </si>
  <si>
    <t>VALOR TOTAL POR CUENTA</t>
  </si>
  <si>
    <t xml:space="preserve">VALOR PROYECTO </t>
  </si>
  <si>
    <t>conep-inv-43</t>
  </si>
  <si>
    <t>PRPOAI- 62</t>
  </si>
  <si>
    <t xml:space="preserve"> Proyecto universidad verde - implementación y certificación del sistema de gestión ambiental de la universidad de Cundinamarca 2020 bajo requisitos del NTC ISO 14001:2015</t>
  </si>
  <si>
    <t xml:space="preserve">Ambiental </t>
  </si>
  <si>
    <t>125</t>
  </si>
  <si>
    <t>MÁQUINAS PARA OFICINA Y CONTABILIDAD, Y SUS PARTES Y ACCESORIOS</t>
  </si>
  <si>
    <t>conep-inv-63</t>
  </si>
  <si>
    <t>PRPOAI-104</t>
  </si>
  <si>
    <t>Realizar consultoría estudio de diseño para laboratorio de hidráulica, mecánica de fluidos y recurso suelo - aire del programa de ingeniería ambiental de la universidad Cundinamarca, extensión Facatativá</t>
  </si>
  <si>
    <t xml:space="preserve">Apoyo Académico </t>
  </si>
  <si>
    <t>SERVICIOS DE ARQUITECTURA, SERVICIOS DE PLANEACIÓN URBANA Y ORDENACIÓN DEL TERRITORIO; SERVICIOS DE ARQUITECTURA PAISAJISTA - POAI Realizar consultoría estudio de diseño para laboratorio de hidráulica, mecánica de fluidos y recurso suelo - aire del programa de ingeniería ambiental de la universidad Cundinamarca, extensión Facatativá</t>
  </si>
  <si>
    <t>conep-inv-25</t>
  </si>
  <si>
    <t>PRPOAI-35</t>
  </si>
  <si>
    <t>Salvaguardar y conservar la memoria documental de la Universidad de Cundinamarca desde su incio hasta su disposicion final.</t>
  </si>
  <si>
    <t>ARCHIVO Y CORRESPONDENCIA</t>
  </si>
  <si>
    <t>079</t>
  </si>
  <si>
    <t>MUEBLES, DEL TIPO UTILIZADO EN OFICINAS - 
POAI 35 Salvaguardar y conservar la memoria documental de la Universidad de Cundinamarca desde su incio hasta su disposicion final.</t>
  </si>
  <si>
    <t>conep-inv-6</t>
  </si>
  <si>
    <t>PRPOAI-57</t>
  </si>
  <si>
    <t xml:space="preserve">
AUTOEVALUACIÓN Y ACREDITACIÓN</t>
  </si>
  <si>
    <t>AUTOEVALUACIÓN Y ACREDITACIÓN</t>
  </si>
  <si>
    <t>031</t>
  </si>
  <si>
    <t>SERVICIOS DE CONSULTORÍA EN ADMINISTRACIÓN Y SERVICIOS DE GESTIÓN - POAI AUTOEVALUACIÓN Y ACREDITACIÓN</t>
  </si>
  <si>
    <t>conep-inv-28</t>
  </si>
  <si>
    <t>PRPOAI-166</t>
  </si>
  <si>
    <t xml:space="preserve">Estudio para la adecuación y habilitación de las unidades  de salud para la sede, seccionales y extensiones </t>
  </si>
  <si>
    <t xml:space="preserve">BIENES Y SERVICIOS </t>
  </si>
  <si>
    <t>117</t>
  </si>
  <si>
    <t xml:space="preserve">SERVICIOS DE ARQUITECTURA, SERVICIOS DE PLANEACIÓN URBANA Y ORDENACIÓN DEL TERRITORIO; SERVICIOS DE ARQUITECTURA PAISAJISTA - BIENES Y SERVICIOS POAI Estudio para la adecuación y habilitación de las unidades  de salud para la sede, seccionales y extensiones </t>
  </si>
  <si>
    <t>conep-inv-29</t>
  </si>
  <si>
    <t>PRPOAI-</t>
  </si>
  <si>
    <t>Diseños, estudios técnicos, obtención de licencias y construcción de edificio de archivo central, oficinas administrativas y procesos técnicos</t>
  </si>
  <si>
    <t>118</t>
  </si>
  <si>
    <t>SERVICIOS DE ARQUITECTURA, SERVICIOS DE PLANEACIÓN URBANA Y ORDENACIÓN DEL TERRITORIO; SERVICIOS DE ARQUITECTURA PAISAJISTA - BIENES Y SERVICIOS POAI Diseños, estudios técnicos, obtención de licencias y construcción de edificio de archivo central, oficinas administrativas y procesos técnicos</t>
  </si>
  <si>
    <t>conep-inv-67</t>
  </si>
  <si>
    <t>PRPOAI-135</t>
  </si>
  <si>
    <t>CERRAMIENTO LOTE CONTIGUO A LA CARCEL LA MODELO</t>
  </si>
  <si>
    <t xml:space="preserve">Bienes y Servicios </t>
  </si>
  <si>
    <t>182</t>
  </si>
  <si>
    <t>SERVICIOS DE PREPARACIÓN DEL TERRENO - POAI CERRAMIENTO LOTE CONTIGUO A LA CARCEL LA MODELO</t>
  </si>
  <si>
    <t>conep-inv-69</t>
  </si>
  <si>
    <t xml:space="preserve">Estudio de fase eletrica para la implementación del CAMPUS SOSTENIBLE de la Universidad de Cundinamarca </t>
  </si>
  <si>
    <t>188</t>
  </si>
  <si>
    <t xml:space="preserve">SERVICIOS DE ARQUITECTURA, SERVICIOS DE PLANEACIÓN URBANA Y ORDENACIÓN DEL TERRITORIO; SERVICIOS DE ARQUITECTURA PAISAJISTA - POAI Estudio de fase eletrica para la implementación del CAMPUS SOSTENIBLE de la Universidad de Cundinamarca </t>
  </si>
  <si>
    <t>conep-inv-65</t>
  </si>
  <si>
    <t>PRPOAI-131</t>
  </si>
  <si>
    <t xml:space="preserve">ADECUACION BLOQUE A, EXTENSION SOACHA DE LA UNIVERSIDAD DE CUNDINAMARCA </t>
  </si>
  <si>
    <t>1</t>
  </si>
  <si>
    <t xml:space="preserve">SERVICIOS DE ARQUITECTURA, SERVICIOS DE PLANEACIÓN URBANA Y ORDENACIÓN DEL TERRITORIO; SERVICIOS DE ARQUITECTURA PAISAJISTA - POAI ADECUACION BLOQUE A, EXTENSION SOACHA DE LA UNIVERSIDAD DE CUNDINAMARCA </t>
  </si>
  <si>
    <t>CONEP-INV-91</t>
  </si>
  <si>
    <t>Estudios Previos, licenciamiento e interventoría para la Construcción de un bloque de aulas en el Centro de Estudios Agroambientales del Vergel en la Extensión Facatativá</t>
  </si>
  <si>
    <t>SERVICIOS DE INGENIERÍA - POAI Estudios Previos, licenciamiento e interventoría para la Construcción de un bloque de aulas en el Centro de Estudios Agroambientales del Vergel en la Extensión Facatativá</t>
  </si>
  <si>
    <t>CONEP-INV-64</t>
  </si>
  <si>
    <t>Estudios Previos, licenciamiento e interventoría para la Construcción de la 2 etapa de la nueva sede de la Extensión Zipaquirá</t>
  </si>
  <si>
    <t>SERVICIOS DE INGENIERÍA - POAI Estudios Previos, licenciamiento e interventoría para la Construcción de la 2 etapa de la nueva sede de la Extensión Zipaquirá</t>
  </si>
  <si>
    <t>conep-inv-66</t>
  </si>
  <si>
    <t xml:space="preserve">Adquisición e instalación de una planta electrica </t>
  </si>
  <si>
    <t xml:space="preserve">MOTORES, GENERADORES Y TRANSFORMADORES ELÉCTRICOS Y SUS PARTES Y PIEZAS - POAI Adquisición e instalación de una planta electrica </t>
  </si>
  <si>
    <t>conep-inv-68</t>
  </si>
  <si>
    <t>PRPOAI-137</t>
  </si>
  <si>
    <t>DISEÑOS URBANÍSTICOS, ARQUITECTÓNICOS Y ESTUDIOS TÉCNICOS NECESARIOS CON EL FIN DE OBTENER LAS LICENCIAS DE URBANISMO, CONSTRUCCIÓN Y/O PERMISOS REQUERIDOS PARA LA NUEVA FACHADA, ZONAS DE ACCESO PRINCIPAL Y PORTERÍA EN LA SEDE FUSAGASUGÁ, JUNTO CON LA ELABORACIÓN DE UNA CARTILLA DE ANDENES Y MOBILIARIO PÚBLICO PARA LA UNIVERSIDAD DE CUNDINAMARCA APLICABLE EN TODAS SUS EXTENSIONES Y SECCIONALES</t>
  </si>
  <si>
    <t>112</t>
  </si>
  <si>
    <t>SERVICIOS DE ARQUITECTURA, SERVICIOS DE PLANEACIÓN URBANA Y ORDENACIÓN DEL TERRITORIO; SERVICIOS DE ARQUITECTURA PAISAJISTA - POAI DISEÑOS URBANÍSTICOS, ARQUITECTÓNICOS Y ESTUDIOS TÉCNICOS NECESARIOS CON EL FIN DE OBTENER LAS LICENCIAS DE URBANISMO, CONSTRUCCIÓN Y/O PERMISOS REQUERIDOS PARA LA NUEVA FACHADA, ZONAS DE ACCESO PRINCIPAL Y PORTERÍA EN LA SEDE FUSAGASUGÁ, JUNTO CON LA ELABORACIÓN DE UNA CARTILLA DE ANDENES Y MOBILIARIO PÚBLICO PARA LA UNIVERSIDAD DE CUNDINAMARCA APLICABLE EN TODAS SUS EXTENSIONES Y SECCIONALES</t>
  </si>
  <si>
    <t>conep-inv-5</t>
  </si>
  <si>
    <t xml:space="preserve"> PRPOAI-70</t>
  </si>
  <si>
    <t>FOMENTO DE LOS HABITOS, ESTILOS DE VIDA SALUDABLES, APROVECHAMIENTO DEL TIEMPO LIBRE Y FORTALECIMIENTO DE LAS APTITUDES Y ACTITUDES DE LA COMUNIDAD UNIVERSITARIA</t>
  </si>
  <si>
    <t xml:space="preserve">BIENESTAR UNIVERSITARIO </t>
  </si>
  <si>
    <t>015</t>
  </si>
  <si>
    <t xml:space="preserve">SUELDO BASICO PERSONAL - POAI FOMENTO DE LOS HABITOS, ESTILOS DE VIDA SALUDABLES, APROVECHAMIENTO DEL TIEMPO LIBRE Y FORTALECIMIENTO DE LAS APTITUDES Y ACTITUDES DE LA COMUNIDAD UNIVERSITARIA </t>
  </si>
  <si>
    <t>conep-inv-17</t>
  </si>
  <si>
    <t>PRPOAI-82</t>
  </si>
  <si>
    <t>Estrategias de apoyo socio económicos para la optimización de la retención estudiantil en estudiantes de pregrado</t>
  </si>
  <si>
    <t>064</t>
  </si>
  <si>
    <t>APOYOS SOCIOECONOMICOS A ESTUDIANTES - BIENESTAR UNIVERITARIO - POAI Estrategias de apoyo socio económicos para la optimización de la retención estudiantil en estudiantes de pregrado</t>
  </si>
  <si>
    <t>conep-inv-30</t>
  </si>
  <si>
    <t>PRPOAI- 85</t>
  </si>
  <si>
    <t>Exoneraciones de matrícula como apoyo económico de matricula de estudiantes de pregrado con el fin de fomentar la permanencia estudiantil.</t>
  </si>
  <si>
    <t>120</t>
  </si>
  <si>
    <t xml:space="preserve"> BENEFICIOS EDUCATIVOS A LA COMUNIDAD UNIVERSITARIA - POAI Exoneraciones de matrícula como apoyo económico de matricula de estudiantes de pregrado con el fin de fomentar la permanencia estudiantil.</t>
  </si>
  <si>
    <t>conep-inv-1</t>
  </si>
  <si>
    <t>PRPOAI-39</t>
  </si>
  <si>
    <t>Sistema Integrado de Gestión - Universidad de Cundinamarca</t>
  </si>
  <si>
    <t>CALIDAD</t>
  </si>
  <si>
    <t>001</t>
  </si>
  <si>
    <t>SERVICIOS DE CONSULTORÍA EN ADMINISTRACIÓN Y SERVICIOS DE GESTIÓN - POAI Sistema Integrado de Gestión - Universidad de Cundinamarca</t>
  </si>
  <si>
    <t>conep-inv-27</t>
  </si>
  <si>
    <t>PRPOAI-76</t>
  </si>
  <si>
    <t>Buenas practicas ganaderas de los Centros de Estudios Agroambientales</t>
  </si>
  <si>
    <t>CENTRO DE ESTUDIOS AGROAMBIENTALES</t>
  </si>
  <si>
    <t>092</t>
  </si>
  <si>
    <t>SERVICIOS DE ENSAYO Y ANÁLISIS TÉCNICOS - POAI Buenas practicas ganaderas de los Centros de Estudios Agroambientales</t>
  </si>
  <si>
    <t>conep-inv-12</t>
  </si>
  <si>
    <t>PRPOAI-73</t>
  </si>
  <si>
    <t>Estrategia de marketing de los fondos especiales de la universidad de Cundinamarca</t>
  </si>
  <si>
    <t>COMUNICACIONES</t>
  </si>
  <si>
    <t>053</t>
  </si>
  <si>
    <t>SERVICIOS DE CONSULTORÍA EN ADMINISTRACIÓN Y SERVICIOS DE GESTIÓN - POAI Estrategia de marketing de los fondos especiales de la universidad de Cundinamarca</t>
  </si>
  <si>
    <t>conep-inv-11</t>
  </si>
  <si>
    <t>PRPOAI-31</t>
  </si>
  <si>
    <t>Aseguramiento de la calidad del aprendizaje</t>
  </si>
  <si>
    <t xml:space="preserve">DESARROLLO ACADÉMICO </t>
  </si>
  <si>
    <t>050</t>
  </si>
  <si>
    <t xml:space="preserve">SERVICIOS DE CONSULTORÍA EN ADMINISTRACIÓN Y SERVICIOS DE GESTIÓN - POAI 31 ASEGURAMIENTO DE LA CALIDAD DEL APRENDIZAJE </t>
  </si>
  <si>
    <t>conep-inv-16</t>
  </si>
  <si>
    <t>PRPOAI-37</t>
  </si>
  <si>
    <t>FORMACIÓN Y DESARROLLO PERSONAL DOCENTE</t>
  </si>
  <si>
    <t>062</t>
  </si>
  <si>
    <t xml:space="preserve"> BENEFICIOS EDUCATIVOS A LA COMUNIDAD UNIVERSITARIA -POAI FORMACIÓN Y DESARROLLO PERSONAL DOCENTE </t>
  </si>
  <si>
    <t>conep-inv-14</t>
  </si>
  <si>
    <t>PRPOAI-66</t>
  </si>
  <si>
    <t>ESTRATEGIAS DE RENDICIÓN DE CUENTAS, TRANSPARENCIA, PARTICIPACIÓN CIUDADANA Y MIPG</t>
  </si>
  <si>
    <t xml:space="preserve">PLANEACIÓN INSTITUCIONAL </t>
  </si>
  <si>
    <t>056</t>
  </si>
  <si>
    <t>SERVICIOS DE CONSULTORÍA EN ADMINISTRACIÓN Y SERVICIOS DE GESTIÓN - POAI ESTRATEGIAS DE RENDICIÓN DE CUENTAS, TRANSPARENCIA, PARTICIPACIÓN CIUDADANA Y MIPG</t>
  </si>
  <si>
    <t>conep-inv-26</t>
  </si>
  <si>
    <t>PRPOAI-67</t>
  </si>
  <si>
    <t>DOCTORADO EN CIENCIAS DE LA EDUCACIÓN</t>
  </si>
  <si>
    <t>087</t>
  </si>
  <si>
    <t>SERVICIOS INTERDISCIPLINARIOS DE INVESTIGACIÓN Y DESARROLLO EXPERIMENTAL - POAI DOCTORADO EN CIENCIAS DE LA EDUCACIÓN</t>
  </si>
  <si>
    <t>conep-inv-44</t>
  </si>
  <si>
    <t>PRPOAI- 128</t>
  </si>
  <si>
    <t>CENTRO DE INNOVACIÓN FACATATIVÁ - DISEÑO, CONSTRUCCIÓN E IMPLEMENTACIÓN DE UNA ESTRATEGIA DE INCREMENTO DE LA PRODUCTIVIDAD DE LAS UPAS DE LA REGIÓN SABANA OCCIDENTE A PARTIR DE UNA ALTERNATIVA TECNOLÓGICA SOSTENIBLE BASADA EN UN PROTOTIPO DE SISTEMA ACUAPÓNICO AUTOMATIZADO</t>
  </si>
  <si>
    <t xml:space="preserve">Dirección de Planeación </t>
  </si>
  <si>
    <t>156</t>
  </si>
  <si>
    <t>MONTAJE Y ERECCIÓN DE CONSTRUCCIONES PREFABRICADAS</t>
  </si>
  <si>
    <t>conep-inv-49</t>
  </si>
  <si>
    <t>PRPOAI-132</t>
  </si>
  <si>
    <t xml:space="preserve">Contratar la señalización de los espacios físicos de la universidad en pro de la inclusión educativa, condiciones de calidad y seguridad y salud en el trabajo </t>
  </si>
  <si>
    <t xml:space="preserve">Planeación Institucional </t>
  </si>
  <si>
    <t>122</t>
  </si>
  <si>
    <t xml:space="preserve">SERVICIOS DE INSTALACIONES </t>
  </si>
  <si>
    <t>conep-inv-47</t>
  </si>
  <si>
    <t>PRPOAI-141</t>
  </si>
  <si>
    <t xml:space="preserve">Dotación del centro de investigación Orlando Fals y mapoteca Ernesto Guhl </t>
  </si>
  <si>
    <t>INSTRUMENTOS Y APARATOS DE MEDICIÓN, VERIFICACIÓN, ANÁLISIS, DE NAVEGACIÓN Y PARA OTROS FINES (EXCEPTO INSTRUMENTOS ÓPTICOS); INSTRUMENTOS DE CONTROL DE PROCESOS INDUSTRIALES, SUS PARTES, PIEZAS Y ACCESORIOS</t>
  </si>
  <si>
    <t>conep-inv-45</t>
  </si>
  <si>
    <t>DOTACIÓN DEL LABORATORIO DE BIOMECANICA</t>
  </si>
  <si>
    <t>PRODUCTOS QUÍMICOS N.C.P.</t>
  </si>
  <si>
    <t>conep-inv-46</t>
  </si>
  <si>
    <t>PRPOAI-134</t>
  </si>
  <si>
    <t>FASE 3: ADQUISICIÓN DE EQUIPO TÉCNICO CENTRO DE FORMACIÓN E INNOVACIÓN DOCENTE</t>
  </si>
  <si>
    <t>178</t>
  </si>
  <si>
    <t>MAQUINARIA DE INFORMÁTICA Y SUS PARTES, PIEZAS Y ACCESORIOS</t>
  </si>
  <si>
    <t>conep-inv-50</t>
  </si>
  <si>
    <t>PRPOAI-123</t>
  </si>
  <si>
    <t xml:space="preserve">Realizar el estudio y análisis de la tasa de permanencia, tasa de deserción y tasa de graduación y creación de estrategias </t>
  </si>
  <si>
    <t xml:space="preserve">SERVICIOS DE CONSULTORÍA EN ADMINISTRACIÓN Y SERVICIOS DE GESTIÓN </t>
  </si>
  <si>
    <t>conep-inv-13</t>
  </si>
  <si>
    <t>PRPOAI-80</t>
  </si>
  <si>
    <t>Tecnología integrada al medit</t>
  </si>
  <si>
    <t xml:space="preserve">EDUCACIÓN VIRTUAL Y A DISTANCIA </t>
  </si>
  <si>
    <t>055</t>
  </si>
  <si>
    <t>SERVICIOS DE CONSULTORÍA EN ADMINISTRACIÓN Y SERVICIOS DE GESTIÓN - POAI  Tecnología integrada al medit</t>
  </si>
  <si>
    <t>conep-inv-48</t>
  </si>
  <si>
    <t>PRPOAI-126</t>
  </si>
  <si>
    <t>Diseño pedagógico y tecnológico de los campos de aprendizaje disciplinar de los programas académicos</t>
  </si>
  <si>
    <t xml:space="preserve">Educación Virtual y a Distancia </t>
  </si>
  <si>
    <t xml:space="preserve">SERVICIOS DE DISEÑO Y DESARROLLO DE LA TECNOLOGÍA DE LA INFORMACIÓN (TI)  </t>
  </si>
  <si>
    <t>conep-inv-10</t>
  </si>
  <si>
    <t>PRPOAI-60</t>
  </si>
  <si>
    <t>ESCUELA DE FORMACIÓN Y APRENDIZAJE DOCENTE EFAD S21</t>
  </si>
  <si>
    <t>043</t>
  </si>
  <si>
    <t>SERVICIOS DE CONSULTORÍA EN ADMINISTRACIÓN Y SERVICIOS DE GESTIÓN - POAI  ESCUELA DE FORMACIÓN Y APRENDIZAJE DOCENTE</t>
  </si>
  <si>
    <t>conep-inv-76</t>
  </si>
  <si>
    <t>SUMINISTRO E INSTALACIÓN DE SISTEMA DE ILUMINACIÓN CON ENERGIA FOTOVOLTAICA (PANELES SOLARES) - PARA LAS AULAS ESPECIALES DE FORMACIÓN (BLOQUE D - AREAS DEPORTIVAS, LABORATORIOS, CAMPOS DEPORTIVOS 3XTERIORES,   ETC.) DEL PROGRAMA DE CIENCIAS DEL DEPORTE Y LA EDUCACIÓN FÍSICA - DE LA UNIVERSIDAD DE CUNDINAMARCA, EXTENSIÓN SOACHA</t>
  </si>
  <si>
    <t>Extensión Soacha</t>
  </si>
  <si>
    <t>SERVICIOS DE INSTALACIONES - POAI SUMINISTRO E INSTALACIÓN DE SISTEMA DE ILUMINACIÓN CON ENERGIA FOTOVOLTAICA (PANELES SOLARES) - PARA LAS AULAS ESPECIALES DE FORMACIÓN (BLOQUE D - AREAS DEPORTIVAS, LABORATORIOS, CAMPOS DEPORTIVOS 3XTERIORES,   ETC.) DEL PROGRAMA DE CIENCIAS DEL DEPORTE Y LA EDUCACIÓN FÍSICA - DE LA UNIVERSIDAD DE CUNDINAMARCA, EXTENSIÓN SOACHA</t>
  </si>
  <si>
    <t>conep-inv-2</t>
  </si>
  <si>
    <t>PRPOAI-55</t>
  </si>
  <si>
    <t>PROYECTO UNIVERSIDAD DE CUNDINAMARCA EN  EQUILIBRIO CON LA NATURALEZA - IMPLEMENTACIÓN Y 
CERTIFICACIÓN DEL SISTEMA DE GESTIÓN AMBIENTAL ISO 14001:2015. FASE 3-2021</t>
  </si>
  <si>
    <t xml:space="preserve">GESTIÓN AMBIENTAL </t>
  </si>
  <si>
    <t>005</t>
  </si>
  <si>
    <t xml:space="preserve">SERVICIOS DE CONSULTORÍA EN ADMINISTRACIÓN Y SERVICIOS DE GESTIÓN - POAI PROYECTO UNIVERSIDAD DE CUNDINAMARCA EN  EQUILIBRIO CON LA NATURALEZA - IMPLEMENTACIÓN Y CERTIFICACIÓN DEL SISTEMA DE GESTIÓN AMBIENTAL ISO 14001:2015. </t>
  </si>
  <si>
    <t>conep-inv-18</t>
  </si>
  <si>
    <t>PRPOAI-58</t>
  </si>
  <si>
    <t>Fortalecimiento de la identidad del graduado de la Ucundinamarca</t>
  </si>
  <si>
    <t xml:space="preserve">GRADUADOS </t>
  </si>
  <si>
    <t>065</t>
  </si>
  <si>
    <t>OTROS TIPOS DE EDUCACIÓN Y SERVICIOS DE APOYO EDUCATIVO - POAI Fortalecimiento de la identidad del graduado de la Ucundinamarca</t>
  </si>
  <si>
    <t>conep-inv-9</t>
  </si>
  <si>
    <t>PRPOAI-36</t>
  </si>
  <si>
    <t>INTERACCIÓN SOCIAL UNIVERSITARIA</t>
  </si>
  <si>
    <t>039</t>
  </si>
  <si>
    <t>SERVICIOS DE CONSULTORÍA EN ADMINISTRACIÓN Y SERVICIOS DE GESTIÓN - POAI INTERACCIÓN SOCIAL UNIVERSITARIA</t>
  </si>
  <si>
    <t>conep-inv-71</t>
  </si>
  <si>
    <t xml:space="preserve">DESARROLLO TECNOLOGICO DEL PORTAFOLIO VIRTUAL DE EDUCACIÓN CONTINUADA </t>
  </si>
  <si>
    <t xml:space="preserve">Interacción Social </t>
  </si>
  <si>
    <t>187</t>
  </si>
  <si>
    <t xml:space="preserve">SERVICIOS DE DISEÑO Y DESARROLLO DE LA TECNOLOGÍA DE LA INFORMACIÓN (TI) - POAI DESARROLLO TECNOLOGICO DEL PORTAFOLIO VIRTUAL DE EDUCACIÓN CONTINUADA </t>
  </si>
  <si>
    <t>conep-inv-7</t>
  </si>
  <si>
    <t>PRPOAI-81</t>
  </si>
  <si>
    <t xml:space="preserve">Fortalecimiento de las estrategias de Dialogo Transfronterizo </t>
  </si>
  <si>
    <t xml:space="preserve">INTERNACIONALIZACIÓN </t>
  </si>
  <si>
    <t>033</t>
  </si>
  <si>
    <t xml:space="preserve">SERVICIOS DE CONSULTORÍA EN ADMINISTRACIÓN Y SERVICIOS DE GESTIÓN - Fortalecimiento de las estratégias de Dialogo Transfronterizo </t>
  </si>
  <si>
    <t>conep-inv-4</t>
  </si>
  <si>
    <t>PRPOAI-44</t>
  </si>
  <si>
    <t>Servicios Profesionales para el cumplimiento de los objetivos y metas del proceso Ciencia, Tecnología e Innovación.</t>
  </si>
  <si>
    <t xml:space="preserve">INVESTIGACIÓN </t>
  </si>
  <si>
    <t>014</t>
  </si>
  <si>
    <t>SERVICIOS DE CONSULTORÍA EN ADMINISTRACIÓN Y SERVICIOS DE GESTIÓN - POAI 44 Servicios Profesionales para el cumplimiento de los objetivos y metas del proceso Ciencia, Tecnología e Innovación.</t>
  </si>
  <si>
    <t>conep-inv-31</t>
  </si>
  <si>
    <t>PRPOAI-46</t>
  </si>
  <si>
    <t>GESTION DE CONVOCATORIAS INTERNAS,  PROYECTOS DE INVESTIGACION, PLANES DE TRABAJO SEMILLEROS DE INVESTIGACION  Y PROYECTOS DE INTERES INSTITUCIONAL.</t>
  </si>
  <si>
    <t>082</t>
  </si>
  <si>
    <t>OTROS SERVICIOS PROFESIONALES, CIENTÍFICOS Y TÉCNICOS- POAI GESTION DE CONVOCATORIAS INTERNAS,  PROYECTOS DE INVESTIGACION, PLANES DE TRABAJO SEMILLEROS DE INVESTIGACION  Y PROYECTOS DE INTERES INSTITUCIONAL.</t>
  </si>
  <si>
    <t>conep-inv-32</t>
  </si>
  <si>
    <t>PRPOAI-77</t>
  </si>
  <si>
    <t>GESTION DE CONTRAPARTIDAS PARA FINANCIAR PROYECTOS APROBADOS EN CONVOCATORIAS EXTERNAS</t>
  </si>
  <si>
    <t>083</t>
  </si>
  <si>
    <t>SERVICIOS INTERDISCIPLINARIOS DE INVESTIGACIÓN Y DESARROLLO EXPERIMENTAL - POAI  GESTION DE CONTRAPARTIDAS PARA FINANCIAR PROYECTOS APROBADOS EN CONVOCATORIAS EXTERNAS</t>
  </si>
  <si>
    <t>conep-inv-33</t>
  </si>
  <si>
    <t>PRPOAI-45</t>
  </si>
  <si>
    <t>TRANSFERENCIA DE RESULTADOS, FORTALECIMIENTO Y VISIBILIDAD  A LOS PROCESOS DE INVESTIGACION</t>
  </si>
  <si>
    <t>084</t>
  </si>
  <si>
    <t>SERVICIOS DE ORGANIZACIÓN Y ASISTENCIA DE  CONVENCIONES Y FERIAS - POAI TRANSFERENCIA DE RESULTADOS, FORTALECIMIENTO Y VISIBILIDAD  A LOS PROCESOS DE INVESTIGACION</t>
  </si>
  <si>
    <t>conep-inv-52</t>
  </si>
  <si>
    <t>PRPOAI-86</t>
  </si>
  <si>
    <t xml:space="preserve">Posgrados </t>
  </si>
  <si>
    <t>101</t>
  </si>
  <si>
    <t>OTROS TIPOS DE EDUCACIÓN Y SERVICIOS DE APOYO EDUCATIVO</t>
  </si>
  <si>
    <t>conep-inv-70</t>
  </si>
  <si>
    <t>PRPOAI-109</t>
  </si>
  <si>
    <t>CONSTRUCCIÓN DE BATERÍAS SANITARIAS PARA EL ÁREA DE LA CAFETERÍA NORORIENTAL DE LA SECCIONAL GIRARDOT DE LA UNIVERSIDAD DE CUNDINAMARCA</t>
  </si>
  <si>
    <t>Seccional Girardot</t>
  </si>
  <si>
    <t>186</t>
  </si>
  <si>
    <t>SERVICIOS GENERALES DE CONSTRUCCIÓN DE EDIFICACIONES NO RESIDENCIALES - POAI CONSTRUCCIÓN DE BATERÍAS SANITARIAS PARA EL ÁREA DE LA CAFETERÍA NORORIENTAL DE LA SECCIONAL GIRARDOT DE LA UNIVERSIDAD DE CUNDINAMARCA</t>
  </si>
  <si>
    <t>conep-inv-54</t>
  </si>
  <si>
    <t>PRPOAI- 61</t>
  </si>
  <si>
    <t xml:space="preserve">Adecuaciones y adquisiciones para el cumplimiento de protocolos de COVID 19 y seguridad y salud en el trabajo </t>
  </si>
  <si>
    <t xml:space="preserve">Seguridad y Salud en el Trabajo </t>
  </si>
  <si>
    <t>136</t>
  </si>
  <si>
    <t>APARATOS MÉDICOS Y QUIRÚRGICOS Y APARATOS ORTÉSICOS Y PROTÉSICOS</t>
  </si>
  <si>
    <t>conep-inv-3</t>
  </si>
  <si>
    <t>PRPOAI-49</t>
  </si>
  <si>
    <t>Apoyo profesional especializado para la gestión de servicios de ti y el soporte externo a la plataforma institucional de la universidad de cundinamarca.</t>
  </si>
  <si>
    <t>SISTEMAS Y TECNOLOGÍA</t>
  </si>
  <si>
    <t>009</t>
  </si>
  <si>
    <t>SUELDO BASICO PERSONAL - Apoyo profesional especializado para la gestión de servicios de ti y el soporte externo a la plataforma institucional de la universidad de cundinamarca.</t>
  </si>
  <si>
    <t>conep-inv-19</t>
  </si>
  <si>
    <t>PRPOAI-69</t>
  </si>
  <si>
    <t>Fortalecimiento de los controles de la seguridad informática y licenciamiento en la Universidad de Cundinamarca</t>
  </si>
  <si>
    <t>068</t>
  </si>
  <si>
    <t>MAQUINARIA DE INFORMÁTICA Y SUS PARTES, PIEZAS Y ACCESORIOS - DIRECCIÓN DE SIISTEMAS  Y TECNOLOGIA - Fortalecimiento de los controles de la seguridad informática y licenciamiento en la Universidad de Cundinamarca</t>
  </si>
  <si>
    <t>conep-inv-57</t>
  </si>
  <si>
    <t>PRPOAI-125</t>
  </si>
  <si>
    <t xml:space="preserve">Contratar la consultoria para el diseño en arquitectura de TI y de procesos </t>
  </si>
  <si>
    <t xml:space="preserve">Sistemas y Tecnologia </t>
  </si>
  <si>
    <t>121</t>
  </si>
  <si>
    <t xml:space="preserve">SERVICIOS DE TECNOLOGÍA DE LA INFORMACIÓN (TI) DE CONSULTORÍA Y DE APOYO </t>
  </si>
  <si>
    <t>conep-inv-55</t>
  </si>
  <si>
    <t>PRPOAI-78</t>
  </si>
  <si>
    <t>Mejoramiento de la red Wifi de la infraestructura tecnológica de la Extensión Chía</t>
  </si>
  <si>
    <t>Sistemas y Tecnología</t>
  </si>
  <si>
    <t>123</t>
  </si>
  <si>
    <t>conep-inv-56</t>
  </si>
  <si>
    <t>PRPOAI-79</t>
  </si>
  <si>
    <t>Modernización de la infraestructura tecnológica de la red de cableado estructurado, red Wifi, voz y datos de la Extensión Soacha</t>
  </si>
  <si>
    <t>124</t>
  </si>
  <si>
    <t>conep-inv-74</t>
  </si>
  <si>
    <t>PRPOAI-84</t>
  </si>
  <si>
    <t>Fase I de implementacion de un ecosistema Digital para el apoyo y soporte tecnologico del Modelo Educativo Digital Transmoderno - MEDIT.</t>
  </si>
  <si>
    <t>PAQUETES DE SOFTWARE - POAI Fase I de implementacion de un ecosistema Digital para el apoyo y soporte tecnologico del Modelo Educativo Digital Transmoderno - MEDIT.</t>
  </si>
  <si>
    <t>conep-inv-73</t>
  </si>
  <si>
    <t>PRPOAI-51</t>
  </si>
  <si>
    <t>Apoyo a la Implementacion, divulgacion y apropiacion de un Sistema de Gestion de Seguridad de la Informacion - SGSI alineado con el modelo de Seguridad y privacidad de la Informacion</t>
  </si>
  <si>
    <t>113</t>
  </si>
  <si>
    <t>SERVICIOS DE CONSULTORÍA EN ADMINISTRACIÓN Y SERVICIOS DE GESTIÓN - POAI Apoyo a la Implementacion, divulgacion y apropiacion de un Sistema de Gestion de Seguridad de la Informacion - SGSI alineado con el modelo de Seguridad y privacidad de la Informacion</t>
  </si>
  <si>
    <t>conep-inv-75</t>
  </si>
  <si>
    <t>PRPOAI-52</t>
  </si>
  <si>
    <t xml:space="preserve"> Fortalecimiento  de recursos informáticos de la Universidad de Cundinamarca.</t>
  </si>
  <si>
    <t>185</t>
  </si>
  <si>
    <t>MAQUINARIA DE INFORMÁTICA Y SUS PARTES, PIEZAS Y ACCESORIOS - poai  Fortalecimiento  de recursos informáticos de la Universidad de Cundinamarca.</t>
  </si>
  <si>
    <t>conep-inv-15</t>
  </si>
  <si>
    <t>PRPOAI-56</t>
  </si>
  <si>
    <t>Desarrollo y Capacitacion de Personal Administrativo</t>
  </si>
  <si>
    <t xml:space="preserve">TALENTO HUMANO </t>
  </si>
  <si>
    <t>061</t>
  </si>
  <si>
    <t>OTROS TIPOS DE EDUCACIÓN Y SERVICIOS DE APOYO EDUCATIVO - TALENTO HUMANO POAI Desarrollo y Capacitacion de Personal Administrativo</t>
  </si>
  <si>
    <t>conep-inv-20</t>
  </si>
  <si>
    <t>PRPOAI-27</t>
  </si>
  <si>
    <t>Suscripción de  licencias de software académico para la  Universidad de Cundinamarca.</t>
  </si>
  <si>
    <t xml:space="preserve">UNIDAD DE APOYO ACADÉMICO </t>
  </si>
  <si>
    <t>071</t>
  </si>
  <si>
    <t xml:space="preserve">PAQUETES DE SOFTWARE - POAI 27 SUSCRIPCIÓN DE LICENCIAS DE SOFTWARE ACADÉMICO </t>
  </si>
  <si>
    <t>conep-inv-21</t>
  </si>
  <si>
    <t>PRPOAI-26</t>
  </si>
  <si>
    <t>Sistemas de Gestión  para las bibliotecas de  la  Universidad de Cundinamarca en  su sede, seccionales y extensiones.</t>
  </si>
  <si>
    <t>072</t>
  </si>
  <si>
    <t>SERVICIOS DE CONTENIDOS EN LÍNEA (ON-LINE) - POAI 26 Sistemas de Gestión  para las bibliotecas de  la  Universidad de Cundinamarca en  su sede, seccionales y extensiones.</t>
  </si>
  <si>
    <t>conep-inv-22</t>
  </si>
  <si>
    <t>PRPOAI-28</t>
  </si>
  <si>
    <t>Sistemas de Gestión de Suscripción a bases de datos multidisciplinares   para los programas de oferta la Universidad de Cundinamarca en su Sede, Seccionales y Extensiones</t>
  </si>
  <si>
    <t>073</t>
  </si>
  <si>
    <t>SERVICIOS DE CONTENIDOS EN LÍNEA (ON-LINE) - POAI 28 Sistemas de Gestión  para las bibliotecas de  la  Universidad de Cundinamarca en  su sede, seccionales y extensiones.</t>
  </si>
  <si>
    <t>conep-inv-90</t>
  </si>
  <si>
    <t>PRPOAI-29</t>
  </si>
  <si>
    <t>Suscripción a publicaciones seriadas para la Universidad de Cundinamarca  Vigencia 2021</t>
  </si>
  <si>
    <t>074</t>
  </si>
  <si>
    <t>SERVICIOS DE CONTENIDOS EN LÍNEA (ON-LINE) - POAI 29 Suscripción a publicaciones seriadas para la Universidad de Cundinamarca  Vigencia 2021</t>
  </si>
  <si>
    <t>conep-inv-24</t>
  </si>
  <si>
    <t>PRPOAI-30</t>
  </si>
  <si>
    <t>Adqusicion  Recursos Electrónicos para las Bibliotecas de la Universidad de Cundinamarca Vigencia 2021</t>
  </si>
  <si>
    <t>075</t>
  </si>
  <si>
    <t>SERVICIOS DE CONTENIDOS EN LÍNEA (ON-LINE) - POAI 30 Adqusicion  Recursos Electrónicos para las Bibliotecas de la Universidad de Cundinamarca Vigencia 2021</t>
  </si>
  <si>
    <t>conep-inv-60</t>
  </si>
  <si>
    <t>PRPOAI-96</t>
  </si>
  <si>
    <t>Complemento Laboratorio programa Ingeniería Electrónica</t>
  </si>
  <si>
    <t>166</t>
  </si>
  <si>
    <t>MAQUINARIA DE INFORMÁTICA Y SUS PARTES, PIEZAS Y ACCESORIOS - POAI Complemento Laboratorio programa Ingeniería Electrónica</t>
  </si>
  <si>
    <t>conep-inv-62</t>
  </si>
  <si>
    <t>PRPOAI-91</t>
  </si>
  <si>
    <t>EQUIPOS TECNOLÓGICOS DE ÚLTIMA GENERACIÓN PARA LA DOTACIÓN DE LABORATORIO DIGITAL DEL PROGRAMA DE MÚSICA DE LA UNIVERSIDAD DE CUNDINAMARCA EXTENSIÓN ZIPAQUIRÁ</t>
  </si>
  <si>
    <t>162</t>
  </si>
  <si>
    <t>MAQUINARIA DE INFORMÁTICA Y SUS PARTES, PIEZAS Y ACCESORIOS - POAI EQUIPOS TECNOLÓGICOS DE ÚLTIMA GENERACIÓN PARA LA DOTACIÓN DE LABORATORIO DIGITAL DEL PROGRAMA DE MÚSICA DE LA UNIVERSIDAD DE CUNDINAMARCA EXTENSIÓN ZIPAQUIRÁ</t>
  </si>
  <si>
    <t>conep-inv-59</t>
  </si>
  <si>
    <t>PRPOAI-120</t>
  </si>
  <si>
    <t>Adquisición parcial de equipos esenciales para la modernización del laboratorio de reproducción animal, programa de Zootecnia, Seccional Ubaté.</t>
  </si>
  <si>
    <t>170</t>
  </si>
  <si>
    <t>APARATOS MÉDICOS, INSTRUMENTOS ÓPTICOS Y DE PRECISIÓN, RELOJES - POAI Adquisición parcial de equipos esenciales para la modernización del laboratorio de reproducción animal, programa de Zootecnia, Seccional Ubaté.</t>
  </si>
  <si>
    <t>conep-inv-61</t>
  </si>
  <si>
    <t>PRPOAI-105</t>
  </si>
  <si>
    <t>Dotación de equipos para el Laboratorio de Reproducción Animal del Programa de Zootecnia y  biotecnología reproductiva de Ovinos en la Unidad Agroambiental la Esperanza de la Universidad Cundinamarca, Sede Fusagasugá.</t>
  </si>
  <si>
    <t>171</t>
  </si>
  <si>
    <t>APARATOS MÉDICOS, INSTRUMENTOS ÓPTICOS Y DE PRECISIÓN, RELOJES - POAI Dotación de equipos para el Laboratorio de Reproducción Animal del Programa de Zootecnia y  biotecnología reproductiva de Ovinos en la Unidad Agroambiental la Esperanza de la Universidad Cundinamarca, Sede Fusagasugá.</t>
  </si>
  <si>
    <t>conep-inv-58</t>
  </si>
  <si>
    <t>PRPOAI-93</t>
  </si>
  <si>
    <t xml:space="preserve">Adquisición de material bibliografico para la universidad de cundinamarca </t>
  </si>
  <si>
    <t xml:space="preserve">LIBROS IMPRESOS - POAI Adquisición de material bibliografico para la universidad de cundinamarca </t>
  </si>
  <si>
    <t>conep-inv-8</t>
  </si>
  <si>
    <t>PRPOAI-83</t>
  </si>
  <si>
    <t xml:space="preserve">Implementación de la política de Educación Inclusiva </t>
  </si>
  <si>
    <t>VICERRECTORIA ACADÉMICA</t>
  </si>
  <si>
    <t>036</t>
  </si>
  <si>
    <t>SERVICIOS DE CONSULTORÍA EN ADMINISTRACIÓN Y SERVICIOS DE GESTIÓN - POAI  Implementación de la política de Educación Inclusiva</t>
  </si>
  <si>
    <t>002</t>
  </si>
  <si>
    <t>SERVICIOS DE CONTABILIDAD, AUDITORÍA Y TENEDURÍA DE LIBROS - POAI Sistema Integrado de Gestión - Universidad de Cundinamarca</t>
  </si>
  <si>
    <t>003</t>
  </si>
  <si>
    <t>SERVICIOS DE DISEÑO Y DESARROLLO DE LA TECNOLOGÍA DE LA INFORMACIÓN (TI) - POAI Sistema Integrado de Gestión - Universidad de Cundinamarca</t>
  </si>
  <si>
    <t>004</t>
  </si>
  <si>
    <t>SERVICIOS DE CONSULTORÍA PRESTADOS A LAS EMPRESAS - POAI Sistema Integrado de Gestión - Universidad de Cundinamarca</t>
  </si>
  <si>
    <t>006</t>
  </si>
  <si>
    <t>SERVICIOS DE CONTABILIDAD, AUDITORÍA Y TENEDURÍA DE LIBROS - POAI PROYECTO UNIVERSIDAD DE CUNDINAMARCA EN  EQUILIBRIO CON LA NATURALEZA - IMPLEMENTACIÓN Y CERTIFICACIÓN DEL SISTEMA DE GESTIÓN AMBIENTAL ISO 14001:2015. FASE 3-2021</t>
  </si>
  <si>
    <t>007</t>
  </si>
  <si>
    <t>SERVICIOS DE TRATAMIENTO Y DISPOSICIÓN DE DESECHOS - POAI PROYECTO UNIVERSIDAD DE CUNDINAMARCA EN  EQUILIBRIO CON LA NATURALEZA - IMPLEMENTACIÓN Y CERTIFICACIÓN DEL SISTEMA DE GESTIÓN AMBIENTAL ISO 14001:2015. FASE 3-2021</t>
  </si>
  <si>
    <t>008</t>
  </si>
  <si>
    <t>SERVICIOS PRESTADOS POR ORGANIZACIONES Y ORGANISMOS EXTRATERRITORIALES - POAI PROYECTO UNIVERSIDAD DE CUNDINAMARCA EN  EQUILIBRIO CON LA NATURALEZA - IMPLEMENTACIÓN Y CERTIFICACIÓN DEL SISTEMA DE GESTIÓN AMBIENTAL ISO 14001:2015. FASE 3-2021</t>
  </si>
  <si>
    <t>010</t>
  </si>
  <si>
    <t>AUXILIO DE TRANSPORTE - Apoyo profesional especializado para la gestión de servicios de ti y el soporte externo a la plataforma institucional de la universidad de cundinamarca.</t>
  </si>
  <si>
    <t>011</t>
  </si>
  <si>
    <t>AUXILIO DE CESANTÍAS - Apoyo profesional especializado para la gestión de servicios de ti y el soporte externo a la plataforma institucional de la universidad de cundinamarca.</t>
  </si>
  <si>
    <t>012</t>
  </si>
  <si>
    <t>VACACIONES -Apoyo profesional especializado para la gestión de servicios de ti y el soporte externo a la plataforma institucional de la universidad de cundinamarca.</t>
  </si>
  <si>
    <t>013</t>
  </si>
  <si>
    <t>PRIMA DE SERVICIO -Apoyo profesional especializado para la gestión de servicios de ti y el soporte externo a la plataforma institucional de la universidad de cundinamarca.</t>
  </si>
  <si>
    <t>102</t>
  </si>
  <si>
    <t>SERVICIOS DE DISEÑO Y DESARROLLO DE LA TECNOLOGÍA DE LA INFORMACIÓN (TI) - POAI Apoyo profesional especializado para la gestión de servicios de ti y el soporte externo a la plataforma institucional de la universidad de cundinamarca.</t>
  </si>
  <si>
    <t>016</t>
  </si>
  <si>
    <t xml:space="preserve">AUXILIO DE TRANSPORTE - POAI FOMENTO DE LOS HABITOS, ESTILOS DE VIDA SALUDABLES, APROVECHAMIENTO DEL TIEMPO LIBRE Y FORTALECIMIENTO DE LAS APTITUDES Y ACTITUDES DE LA COMUNIDAD UNIVERSITARIA </t>
  </si>
  <si>
    <t>017</t>
  </si>
  <si>
    <t xml:space="preserve">AUXILIO DE CESANTÍAS - POAI FOMENTO DE LOS HABITOS, ESTILOS DE VIDA SALUDABLES, APROVECHAMIENTO DEL TIEMPO LIBRE Y FORTALECIMIENTO DE LAS APTITUDES Y ACTITUDES DE LA COMUNIDAD UNIVERSITARIA </t>
  </si>
  <si>
    <t>018</t>
  </si>
  <si>
    <t xml:space="preserve">VACACIONES - POAI FOMENTO DE LOS HABITOS, ESTILOS DE VIDA SALUDABLES, APROVECHAMIENTO DEL TIEMPO LIBRE Y FORTALECIMIENTO DE LAS APTITUDES Y ACTITUDES DE LA COMUNIDAD UNIVERSITARIA </t>
  </si>
  <si>
    <t>019</t>
  </si>
  <si>
    <t xml:space="preserve">PRIMA DE SERVICIO - POAI FOMENTO DE LOS HABITOS, ESTILOS DE VIDA SALUDABLES, APROVECHAMIENTO DEL TIEMPO LIBRE Y FORTALECIMIENTO DE LAS APTITUDES Y ACTITUDES DE LA COMUNIDAD UNIVERSITARIA </t>
  </si>
  <si>
    <t>021</t>
  </si>
  <si>
    <t>SERVICIOS DE CONSULTORÍA EN ADMINISTRACIÓN Y SERVICIOS DE GESTIÓN - BIENESTAR UNIVERSIITARIO - POAI - FOMENTO DE LOS HABITOS, ESTILOS DE VIDA SALUDABLES, APROVECHAMIENTO DEL TIEMPO LIBRE Y FORTALECIMIENTO DE LAS APTITUDES Y ACTITUDES DE LA COMUNIDAD UNIVERSITARIA</t>
  </si>
  <si>
    <t>022</t>
  </si>
  <si>
    <t>OTROS TIPOS DE EDUCACIÓN Y SERVICIOS DE APOYO EDUCATIVO - POAI - FOMENTO DE LOS HABITOS, ESTILOS DE VIDA SALUDABLES, APROVECHAMIENTO DEL TIEMPO LIBRE Y FORTALECIMIENTO DE LAS APTITUDES Y ACTITUDES DE LA COMUNIDAD UNIVERSITARIA,</t>
  </si>
  <si>
    <t>023</t>
  </si>
  <si>
    <t>MEMBRESIAS, AFILIACIONES Y CUOTAS DE SOSTENIMIENTO - POAI FOMENTO DE LOS HABITOS, ESTILOS DE VIDA SALUDABLES, APROVECHAMIENTO DEL TIEMPO LIBRE Y FORTALECIMIENTO DE LAS APTITUDES Y ACTITUDES DE LA COMUNIDAD UNIVERSITARIA</t>
  </si>
  <si>
    <t>024</t>
  </si>
  <si>
    <t>OTROS SERVICIOS DE ESPARCIMIENTO Y DIVERSIÓN - POAI - FOMENTO DE LOS HABITOS, ESTILOS DE VIDA SALUDABLES, APROVECHAMIENTO DEL TIEMPO LIBRE Y FORTALECIMIENTO DE LAS APTITUDES Y ACTITUDES DE LA COMUNIDAD UNIVERSITARIA</t>
  </si>
  <si>
    <t>025</t>
  </si>
  <si>
    <t>PRODUCTOS FARMACÉUTICOS - BIENESTAR UNIVERSITARIO - POAI FOMENTO DE LOS HABITOS, ESTILOS DE VIDA SALUDABLES, APROVECHAMIENTO DEL TIEMPO LIBRE Y FORTALECIMIENTO DE LAS APTITUDES Y ACTITUDES DE LA COMUNIDAD UNIVERSITARIA</t>
  </si>
  <si>
    <t>026</t>
  </si>
  <si>
    <t>SERVICIOS DE TRANSPORTE DE PASAJEROS - POAI FOMENTO DE LOS HABITOS, ESTILOS DE VIDA SALUDABLES, APROVECHAMIENTO DEL TIEMPO LIBRE Y FORTALECIMIENTO DE LAS APTITUDES Y ACTITUDES DE LA COMUNIDAD UNIVERSITARIA</t>
  </si>
  <si>
    <t>027</t>
  </si>
  <si>
    <t>SERVICIOS DE ALOJAMIENTO PARA ESTANCIAS CORTAS - POAI FOMENTO DE LOS HABITOS, ESTILOS DE VIDA SALUDABLES, APROVECHAMIENTO DEL TIEMPO LIBRE Y FORTALECIMIENTO DE LAS APTITUDES Y ACTITUDES DE LA COMUNIDAD UNIVERSITARIA</t>
  </si>
  <si>
    <t>028</t>
  </si>
  <si>
    <t>DOTACIÓN (PRENDAS DE VESTIR Y CALZADO) BIENESTAR UNIIVERSITARIO - POAI FOMENTO DE LOS HABITOS, ESTILOS DE VIDA SALUDABLES, APROVECHAMIENTO DEL TIEMPO LIBRE Y FORTALECIMIENTO DE LAS APTITUDES Y ACTITUDES DE LA COMUNIDAD UNIVERSITARIA</t>
  </si>
  <si>
    <t>029</t>
  </si>
  <si>
    <t>OTROS ARTÍCULOS MANUFACTURADOS N.C.P. BIENESTARUNIVERSITARIA FOMENTO DE LOS HABITOS, ESTILOS DE VIDA SALUDABLES, APROVECHAMIENTO DEL TIEMPO LIBRE Y FORTALECIMIENTO DE LAS APTITUDES Y ACTITUDES DE LA COMUNIDAD UNIVERSITARIA</t>
  </si>
  <si>
    <t>030</t>
  </si>
  <si>
    <t>SERVICIOS DE SALUD HUMANA BIENESTAR UNIVERSITARIO FOMENTO DE LOS HABITOS, ESTILOS DE VIDA SALUDABLES, APROVECHAMIENTO DEL TIEMPO LIBRE Y FORTALECIMIENTO DE LAS APTITUDES Y ACTITUDES DE LA COMUNIDAD UNIVERSITARIA</t>
  </si>
  <si>
    <t>103</t>
  </si>
  <si>
    <t>SERVICIOS DE DISEÑO Y DESARROLLO DE LA TECNOLOGÍA DE LA INFORMACIÓN (TI) - POAI AUTOEVALUACIÓN Y ACREDITACIÓN</t>
  </si>
  <si>
    <t>032</t>
  </si>
  <si>
    <t>SERVICIOS DE SUMINISTRO DE COMIDAS - POAI AUTOEVALUACIÓN Y ACREDITACIÓN</t>
  </si>
  <si>
    <t>034</t>
  </si>
  <si>
    <t xml:space="preserve">APOYOS SOCIOECONOMICOS A ESTUDIANTES - POAI Fortalecimiento de las estratégias de Dialogo Transfronterizo </t>
  </si>
  <si>
    <t>035</t>
  </si>
  <si>
    <t xml:space="preserve">SERVICIOS PRESTADOS POR ORGANIZACIONES Y ORGANISMOS EXTRATERRITORIALES - POAI Fortalecimiento de las estratégias de Dialogo Transfronterizo </t>
  </si>
  <si>
    <t>000</t>
  </si>
  <si>
    <t xml:space="preserve">OTROS SERVICIOS DIVERSOS N.C.P. - POAI Fortalecimiento de las estratégias de Dialogo Transfronterizo </t>
  </si>
  <si>
    <t>037</t>
  </si>
  <si>
    <t xml:space="preserve">OTROS TIPOS DE EDUCACIÓN Y SERVICIOS DE APOYO EDUCATIVO -Implementación de la política de Educación Inclusiva  </t>
  </si>
  <si>
    <t>038</t>
  </si>
  <si>
    <t>OTROS ARTÍCULOS MANUFACTURADOS N.C.P. - POAI Implementación de la política de Educación</t>
  </si>
  <si>
    <t>041</t>
  </si>
  <si>
    <t>SERVICIOS DE SUMINISTRO DE COMIDAS - POAI INTERACCIÓN SOCIAL UNIVERSITARIA</t>
  </si>
  <si>
    <t>040</t>
  </si>
  <si>
    <t>SERVICIOS DE TRANSPORTE DE PASAJEROS - POAI INTERACCIÓN SOCIAL UNIVERSITARIA</t>
  </si>
  <si>
    <t>042</t>
  </si>
  <si>
    <t>LIBROS DE REGISTROS, LIBROS DE CONTABILIDAD, CUADERNILLOS DE NOTAS, BLOQUES PARA CARTAS, AGENDAS Y ARTÍCULOS SIMILARES, SECANTES, ENCUADERNADORES, CLASIFICADORES PARA ARCHIVOS, FORMULARIOS Y OTROS ARTÍCULOS DE ESCRITORIO, DE PAPEL O CARTÓN - POAI INTERACCIÓN SOCIAL UNIVERSITARIA</t>
  </si>
  <si>
    <t>104</t>
  </si>
  <si>
    <t>SERVICIOS DE DISEÑO Y DESARROLLO DE LA TECNOLOGÍA DE LA INFORMACIÓN (TI) - POAI INTERACCIÓN SOCIAL UNIVERSITARIA</t>
  </si>
  <si>
    <t>044</t>
  </si>
  <si>
    <t>OTROS ARTÍCULOS MANUFACTURADOS N.C.P. - POAI ESCUELA DE FORMACIÓN Y APRENDIZAJE DOCENTE EFAD S21</t>
  </si>
  <si>
    <t>045</t>
  </si>
  <si>
    <t>SERVICIOS DE SUMINISTRO DE COMIDAS - POAI  ESCUELA DE FORMACIÓN Y APRENDIZAJE DOCENTE</t>
  </si>
  <si>
    <t>047</t>
  </si>
  <si>
    <t>SERVICIOS DE TRANSPORTE DE PASAJEROS - POAI  ESCUELA DE FORMACIÓN Y APRENDIZAJE DOCENTE</t>
  </si>
  <si>
    <t>048</t>
  </si>
  <si>
    <t>SERVICIOS AUDIOVISUALES Y SERVICIOS CONEXOS - POAI  ESCUELA DE FORMACIÓN Y APRENDIZAJE DOCENTE</t>
  </si>
  <si>
    <t>049</t>
  </si>
  <si>
    <t>SERVICIOS DE ALOJAMIENTO PARA ESTANCIAS CORTAS - POAI  ESCUELA DE FORMACIÓN Y APRENDIZAJE DOCENTE EFAD S21</t>
  </si>
  <si>
    <t>105</t>
  </si>
  <si>
    <t>SERVICIOS DE DISEÑO Y DESARROLLO DE LA TECNOLOGÍA DE LA INFORMACIÓN (TI) - POAI ESCUELA DE FORMACIÓN Y APRENDIZAJE DOCENTE EFAD S21</t>
  </si>
  <si>
    <t>051</t>
  </si>
  <si>
    <t xml:space="preserve">SERVICIOS DE CONSULTORÍA PRESTADOS A LAS EMPRESAS - POAI 31 ASEGURAMIENTO DE LA CALIDAD DEL APRENDIZAJE  </t>
  </si>
  <si>
    <t>052</t>
  </si>
  <si>
    <t xml:space="preserve">OTROS TIPOS DE EDUCACIÓN Y SERVICIOS DE APOYO EDUCATIVO - POAI ASEGURAMIENTO DE LA CALIDAD DEL APRENDIZAJE </t>
  </si>
  <si>
    <t>054</t>
  </si>
  <si>
    <t>SERVICIOS DE CONSULTORÍA PRESTADOS A LAS EMPRESAS - POAI Estrategia de marketing de los fondos especiales de la universidad de Cundinamarca</t>
  </si>
  <si>
    <t>106</t>
  </si>
  <si>
    <t>MAQUINARIA DE INFORMÁTICA Y SUS PARTES, PIEZAS Y ACCESORIOS - POAI Tecnología integrada al medit</t>
  </si>
  <si>
    <t>107</t>
  </si>
  <si>
    <t>SERVICIOS DE CONTENIDOS EN LÍNEA (ON-LINE) - POAI Tecnología integrada al medit</t>
  </si>
  <si>
    <t>057</t>
  </si>
  <si>
    <t xml:space="preserve">SERVICIOS DE INGENIERÍA - POAI ESTRATEGIAS DE RENDICIÓN DE CUENTAS, TRANSPARENCIA, PARTICIPACIÓN CIUDADANA Y MIPG </t>
  </si>
  <si>
    <t>058</t>
  </si>
  <si>
    <t>SERVICIOS DE DISEÑO Y DESARROLLO DE LA TECNOLOGÍA DE LA INFORMACIÓN (TI) - POAI ESTRATEGIAS DE RENDICIÓN DE CUENTAS, TRANSPARENCIA, PARTICIPACIÓN CIUDADANA Y MIPG</t>
  </si>
  <si>
    <t>059</t>
  </si>
  <si>
    <t>SERVICIOS DE EDICIÓN, IMPRESIÓN Y REPRODUCCIÓN - POAI ESTRATEGIAS DE RENDICIÓN DE CUENTAS, TRANSPARENCIA, PARTICIPACIÓN CIUDADANA Y MIPG</t>
  </si>
  <si>
    <t>060</t>
  </si>
  <si>
    <t xml:space="preserve">SERVICIOS DE CONSULTORÍA PRESTADOS A LAS EMPRESAS - POAI ESTRATEGIAS DE RENDICIÓN DE CUENTAS, TRANSPARENCIA, PARTICIPACIÓN CIUDADANA Y MIPG </t>
  </si>
  <si>
    <t>063</t>
  </si>
  <si>
    <t>OTROS TIPOS DE EDUCACIÓN Y SERVICIOS DE APOYO EDUCATIVO - DESARROLLO ACADÉMICO - POAI FORMACIÓN Y DESARROLLO PERSONAL DOCENTE</t>
  </si>
  <si>
    <t>108</t>
  </si>
  <si>
    <t>OTROS TIPOS DE EDUCACIÓN Y SERVICIOS DE APOYO EDUCATIVO - BIENESTAR UNVERSITARIO - Estrategias de apoyo socio económicos para la optimización de la retención estudiantil en estudiantes de pregrado</t>
  </si>
  <si>
    <t>066</t>
  </si>
  <si>
    <t>SERVICIOS DE ORGANIZACIÓN Y ASISTENCIA DE CONVENCIONES Y FERIAS - POAI Fortalecimiento de la identidad del graduado de la Ucundinamarca</t>
  </si>
  <si>
    <t>067</t>
  </si>
  <si>
    <t>OTROS ARTÍCULOS MANUFACTURADOS N.C.P. - POAI Fortalecimiento de la identidad del graduado de la Ucundinamarca</t>
  </si>
  <si>
    <t>SERVICIOS DE EDICIÓN, IMPRESIÓN Y REPRODUCCIÓN - POAI Fortalecimiento de la identidad del graduado de la Ucundinamarca</t>
  </si>
  <si>
    <t>SERVICIOS DEPORTIVOS Y DEPORTES RECREATIVOS - POAI Fortalecimiento de la identidad del graduado de la Ucundinamarca</t>
  </si>
  <si>
    <t>SERVICIOS DE SUMINISTRO DE COMIDAS - POAI Fortalecimiento de la identidad del graduado de la Ucundinamarca</t>
  </si>
  <si>
    <t>069</t>
  </si>
  <si>
    <t>SERVICIOS DE SUMINISTRO DE INFRAESTRUCTURA DE HOSTING Y DE TECNOLOGÍA DE LA INFORMACIÓN (TI) - SISTEMAS Y TECNOLOGIAS - Fortalecimiento de los controles de la seguridad informática y licenciamiento en la Universidad de Cundinamarca</t>
  </si>
  <si>
    <t>109</t>
  </si>
  <si>
    <t>PAQUETES DE SOFTWARE - POAI Fortalecimiento de los controles de la seguridad informática y licenciamiento en la Universidad de Cundinamarca</t>
  </si>
  <si>
    <t>070</t>
  </si>
  <si>
    <t>VIÁTICOS DE LOS FUNCIONARIOS EN COMISIÓN - SISTEMAS Y TECNOLOGIA - Fortalecimiento de los controles de la seguridad informática y licenciamiento en la Universidad de Cundinamarca</t>
  </si>
  <si>
    <t>080</t>
  </si>
  <si>
    <t>LIBROS DE REGISTROS, LIBROS DE CONTABILIDAD, CUADERNILLOS DE NOTAS, BLOQUES PARA CARTAS, AGENDAS Y ARTÍCULOS SIMILARES, SECANTES, ENCUADERNADORES, CLASIFICADORES PARA ARCHIVOS, FORMULARIOS Y OTROS ARTÍCULOS DE ESCRITORIO, DE PAPEL O CARTÓN - POAI 35 Salvaguardar y conservar la memoria documental de la Universidad de Cundinamarca desde su incio hasta su disposicion final.</t>
  </si>
  <si>
    <t>110</t>
  </si>
  <si>
    <t>SERVICIOS DE CONSULTORÍA EN ADMINISTRACIÓN Y SERVICIOS DE GESTIÓN - POAI Salvaguardar y conservar la memoria documental de la Universidad de Cundinamarca desde su incio hasta su disposicion final.</t>
  </si>
  <si>
    <t>111</t>
  </si>
  <si>
    <t>MAQUINARIA DE INFORMÁTICA Y SUS PARTES, PIEZAS Y ACCESORIOS - poai Salvaguardar y conservar la memoria documental de la Universidad de Cundinamarca desde su incio hasta su disposicion final.</t>
  </si>
  <si>
    <t>081</t>
  </si>
  <si>
    <t>SERVICIOS DE LIMPIEZA - POAI 35 Salvaguardar y conservar la memoria documental de la Universidad de Cundinamarca desde su incio hasta su disposicion final.</t>
  </si>
  <si>
    <t>PRODUCTOS METÁLICOS ELABORADOS (EXCEPTO MAQUINARIA Y EQUIPO) - POAI GESTION DE CONVOCATORIAS INTERNAS,  PROYECTOS DE INVESTIGACION, PLANES DE TRABAJO SEMILLEROS DE INVESTIGACION  Y PROYECTOS DE INTERES INSTITUCIONAL.</t>
  </si>
  <si>
    <t>HORTALIZAS - POAI GESTION DE CONVOCATORIAS INTERNAS,  PROYECTOS DE INVESTIGACION, PLANES DE TRABAJO SEMILLEROS DE INVESTIGACION  Y PROYECTOS DE INTERES INSTITUCIONAL.</t>
  </si>
  <si>
    <t>ANIMALES VIVOS - POAI GESTION DE CONVOCATORIAS INTERNAS,  PROYECTOS DE INVESTIGACION, PLANES DE TRABAJO SEMILLEROS DE INVESTIGACION  Y PROYECTOS DE INTERES INSTITUCIONAL.</t>
  </si>
  <si>
    <t>AVES DE CORRAL - POAI GESTION DE CONVOCATORIAS INTERNAS,  PROYECTOS DE INVESTIGACION, PLANES DE TRABAJO SEMILLEROS DE INVESTIGACION  Y PROYECTOS DE INTERES INSTITUCIONAL.</t>
  </si>
  <si>
    <t>CARBÓN DE HULLA, LIGNITO Y TURBA - POAI GESTION DE CONVOCATORIAS INTERNAS,  PROYECTOS DE INVESTIGACION, PLANES DE TRABAJO SEMILLEROS DE INVESTIGACION  Y PROYECTOS DE INTERES INSTITUCIONAL.</t>
  </si>
  <si>
    <t>PIEDRA, ARENA Y ARCILLA - POAI GESTION DE CONVOCATORIAS INTERNAS,  PROYECTOS DE INVESTIGACION, PLANES DE TRABAJO SEMILLEROS DE INVESTIGACION  Y PROYECTOS DE INTERES INSTITUCIONAL.</t>
  </si>
  <si>
    <t>AZÚCAR - POAI GESTION DE CONVOCATORIAS INTERNAS,  PROYECTOS DE INVESTIGACION, PLANES DE TRABAJO SEMILLEROS DE INVESTIGACION  Y PROYECTOS DE INTERES INSTITUCIONAL.</t>
  </si>
  <si>
    <t>PRENDAS DE VESTIR (EXCEPTO PRENDAS DE PIEL) - POAI GESTION DE CONVOCATORIAS INTERNAS,  PROYECTOS DE INVESTIGACION, PLANES DE TRABAJO SEMILLEROS DE INVESTIGACION  Y PROYECTOS DE INTERES INSTITUCIONAL.</t>
  </si>
  <si>
    <t>PASTA O PULPA, PAPEL Y PRODUCTOS DE PAPE L; IMPRESOS Y ARTÍCULOS RELACIONADOS - POAI GESTION DE CONVOCATORIAS INTERNAS,  PROYECTOS DE INVESTIGACION, PLANES DE TRABAJO SEMILLEROS DE INVESTIGACION  Y PROYECTOS DE INTERES INSTITUCIONAL.</t>
  </si>
  <si>
    <t>LIBROS IMPRESOS - POAI GESTION DE CONVOCATORIAS INTERNAS,  PROYECTOS DE INVESTIGACION, PLANES DE TRABAJO SEMILLEROS DE INVESTIGACION  Y PROYECTOS DE INTERES INSTITUCIONAL.</t>
  </si>
  <si>
    <t>LIBROS DE REGISTROS, LIBROS DE CONTABILIDAD, CUADERNILLOS DE NOTAS, BLOQUES PARA CARTAS, AGENDAS Y ARTÍCULOS SIMILARES, SECANTES, ENCUADERNADORES, CLASIFICADORES PARA ARCHIVOS, FORMULARIOS Y OTROS ARTÍCULOS DE ESCRITORIO, DE PAPEL O CARTÓN - POAI GESTION DE CONVOCATORIAS INTERNAS,  PROYECTOS DE INVESTIGACION, PLANES DE TRABAJO SEMILLEROS DE INVESTIGACION  Y PROYECTOS DE INTERES INSTITUCIONAL.</t>
  </si>
  <si>
    <t>PRODUCTOS QUÍMICOS INORGÁNICOS BÁSICOS N.C.P. - POAI GESTION DE CONVOCATORIAS INTERNAS,  PROYECTOS DE INVESTIGACION, PLANES DE TRABAJO SEMILLEROS DE INVESTIGACION  Y PROYECTOS DE INTERES INSTITUCIONAL.</t>
  </si>
  <si>
    <t>ABONOS Y PLAGUICIDAS - POAI GESTION DE CONVOCATORIAS INTERNAS,  PROYECTOS DE INVESTIGACION, PLANES DE TRABAJO SEMILLEROS DE INVESTIGACION  Y PROYECTOS DE INTERES INSTITUCIONAL.</t>
  </si>
  <si>
    <t>PINTURAS Y BARNICES Y PRODUCTOS RELACIONADOS; COLORES PARA LA PINTURA ARTÍSTICA; TINTAS - POAI GESTION DE CONVOCATORIAS INTERNAS,  PROYECTOS DE INVESTIGACION, PLANES DE TRABAJO SEMILLEROS DE INVESTIGACION  Y PROYECTOS DE INTERES INSTITUCIONAL.</t>
  </si>
  <si>
    <t>JABÓN, PREPARADOS PARA LIMPIEZA, PERFUMES Y PREPARADOS DE TOCADOR - POAI GESTION DE CONVOCATORIAS INTERNAS,  PROYECTOS DE INVESTIGACION, PLANES DE TRABAJO SEMILLEROS DE INVESTIGACION  Y PROYECTOS DE INTERES INSTITUCIONAL.</t>
  </si>
  <si>
    <t>PRODUCTOS QUÍMICOS N.C.P. - POAI GESTION DE CONVOCATORIAS INTERNAS,  PROYECTOS DE INVESTIGACION, PLANES DE TRABAJO SEMILLEROS DE INVESTIGACION  Y PROYECTOS DE INTERES INSTITUCIONAL.</t>
  </si>
  <si>
    <t>FIBRAS TEXTILES MANUFACTURADAS - POAI GESTION DE CONVOCATORIAS INTERNAS,  PROYECTOS DE INVESTIGACION, PLANES DE TRABAJO SEMILLEROS DE INVESTIGACION  Y PROYECTOS DE INTERES INSTITUCIONAL.</t>
  </si>
  <si>
    <t>OTROS PRODUCTOS DE CAUCHO - POAI GESTION DE CONVOCATORIAS INTERNAS,  PROYECTOS DE INVESTIGACION, PLANES DE TRABAJO SEMILLEROS DE INVESTIGACION  Y PROYECTOS DE INTERES INSTITUCIONAL.</t>
  </si>
  <si>
    <t>PRODUCTOS DE EMPAQUE Y ENVASADO, DE PLÁSTICO - POAI GESTION DE CONVOCATORIAS INTERNAS,  PROYECTOS DE INVESTIGACION, PLANES DE TRABAJO SEMILLEROS DE INVESTIGACION  Y PROYECTOS DE INTERES INSTITUCIONAL.</t>
  </si>
  <si>
    <t>OTROS PRODUCTOS PLÁSTICOS - POAI GESTION DE CONVOCATORIAS INTERNAS,  PROYECTOS DE INVESTIGACION, PLANES DE TRABAJO SEMILLEROS DE INVESTIGACION  Y PROYECTOS DE INTERES INSTITUCIONAL.</t>
  </si>
  <si>
    <t>YESO, CAL Y CEMENTO - POAI GESTION DE CONVOCATORIAS INTERNAS,  PROYECTOS DE INVESTIGACION, PLANES DE TRABAJO SEMILLEROS DE INVESTIGACION  Y PROYECTOS DE INTERES INSTITUCIONAL.</t>
  </si>
  <si>
    <t>OTROS MUEBLES N.C.P. - POAI GESTION DE CONVOCATORIAS INTERNAS,  PROYECTOS DE INVESTIGACION, PLANES DE TRABAJO SEMILLEROS DE INVESTIGACION  Y PROYECTOS DE INTERES INSTITUCIONAL.</t>
  </si>
  <si>
    <t>INSTRUMENTOS MUSICALES - POAI GESTION DE CONVOCATORIAS INTERNAS,  PROYECTOS DE INVESTIGACION, PLANES DE TRABAJO SEMILLEROS DE INVESTIGACION  Y PROYECTOS DE INTERES INSTITUCIONAL.</t>
  </si>
  <si>
    <t>JUEGOS Y JUGUETES - POAI GESTION DE CONVOCATORIAS INTERNAS,  PROYECTOS DE INVESTIGACION, PLANES DE TRABAJO SEMILLEROS DE INVESTIGACION  Y PROYECTOS DE INTERES INSTITUCIONAL.</t>
  </si>
  <si>
    <t>OTROS ARTÍCULOS MANUFACTURADOS N.C.P. - POAI GESTION DE CONVOCATORIAS INTERNAS,  PROYECTOS DE INVESTIGACION, PLANES DE TRABAJO SEMILLEROS DE INVESTIGACION  Y PROYECTOS DE INTERES INSTITUCIONAL.</t>
  </si>
  <si>
    <t>DESPERDICIOS; DESECHOS Y RESIDUOS - POAI GESTION DE CONVOCATORIAS INTERNAS,  PROYECTOS DE INVESTIGACION, PLANES DE TRABAJO SEMILLEROS DE INVESTIGACION  Y PROYECTOS DE INTERES INSTITUCIONAL.</t>
  </si>
  <si>
    <t>OTRAS MÁQUINAS PARA USOS GENERALES Y SUS PARTES Y PIEZAS - POAI GESTION DE CONVOCATORIAS INTERNAS,  PROYECTOS DE INVESTIGACION, PLANES DE TRABAJO SEMILLEROS DE INVESTIGACION  Y PROYECTOS DE INTERES INSTITUCIONAL.</t>
  </si>
  <si>
    <t>MAQUINARIA AGROPECUARIA O SILVÍCOLA Y SUS PARTES Y PIEZAS - POAI GESTION DE CONVOCATORIAS INTERNAS,  PROYECTOS DE INVESTIGACION, PLANES DE TRABAJO SEMILLEROS DE INVESTIGACION  Y PROYECTOS DE INTERES INSTITUCIONAL.</t>
  </si>
  <si>
    <t>MAQUINARIA DE INFORMÁTICA Y SUS PARTES, PIEZAS Y ACCESORIOS - POAI GESTION DE CONVOCATORIAS INTERNAS,  PROYECTOS DE INVESTIGACION, PLANES DE TRABAJO SEMILLEROS DE INVESTIGACION  Y PROYECTOS DE INTERES INSTITUCIONAL.</t>
  </si>
  <si>
    <t>ACUMULADORES, PILAS Y BATERÍAS PRIMARIAS Y SUS PARTES Y PIEZAS - POAI GESTION DE CONVOCATORIAS INTERNAS,  PROYECTOS DE INVESTIGACION, PLANES DE TRABAJO SEMILLEROS DE INVESTIGACION  Y PROYECTOS DE INTERES INSTITUCIONAL.</t>
  </si>
  <si>
    <t>APARATOS TRANSMISORES DE TELEVISIÓN Y RADIO; TELEVISIÓN, VIDEO Y CÁMARAS DIGITALES; TELÉFONOS - POAI GESTION DE CONVOCATORIAS INTERNAS,  PROYECTOS DE INVESTIGACION, PLANES DE TRABAJO SEMILLEROS DE INVESTIGACION  Y PROYECTOS DE INTERES INSTITUCIONAL.</t>
  </si>
  <si>
    <t>PAQUETES DE SOFTWARE  - POAI GESTION DE CONVOCATORIAS INTERNAS,  PROYECTOS DE INVESTIGACION, PLANES DE TRABAJO SEMILLEROS DE INVESTIGACION  Y PROYECTOS DE INTERES INSTITUCIONAL.</t>
  </si>
  <si>
    <t>INSTRUMENTOS Y APARATOS DE MEDICIÓN, VERIFICACIÓN, ANÁLISIS, DE NAVEGACIÓN Y PARA OTROS FINES (EXCEPTO INSTRUMENTOS ÓPTICOS); INSTRUMENTOS DE CONTROL DE PROCESOS INDUSTRIALES, SUS PARTES, PIEZAS Y ACCESORIOS - POAI GESTION DE CONVOCATORIAS INTERNAS,  PROYECTOS DE INVESTIGACION, PLANES DE TRABAJO SEMILLEROS DE INVESTIGACION  Y PROYECTOS DE INTERES INSTITUCIONAL.</t>
  </si>
  <si>
    <t>SERVICIOS DE VENTA AL POR MAYOR, EXCEPTO LOS PRESTADOS A CAMBIO DE UNA RETRIBUCIÓN O POR CONTRATA - POAI GESTION DE CONVOCATORIAS INTERNAS,  PROYECTOS DE INVESTIGACION, PLANES DE TRABAJO SEMILLEROS DE INVESTIGACION  Y PROYECTOS DE INTERES INSTITUCIONAL.</t>
  </si>
  <si>
    <t>OTROS SERVICIOS DE VENTA AL POR MENOR NO REALIZADOS EN ESTABLECIMIENTOS - POAI GESTION DE CONVOCATORIAS INTERNAS,  PROYECTOS DE INVESTIGACION, PLANES DE TRABAJO SEMILLEROS DE INVESTIGACION  Y PROYECTOS DE INTERES INSTITUCIONAL.</t>
  </si>
  <si>
    <t>SERVICIOS DE ALOJAMIENTO PARA ESTANCIAS CORTAS - POAI GESTION DE CONVOCATORIAS INTERNAS,  PROYECTOS DE INVESTIGACION, PLANES DE TRABAJO SEMILLEROS DE INVESTIGACION  Y PROYECTOS DE INTERES INSTITUCIONAL.</t>
  </si>
  <si>
    <t>SERVICIOS DE SUMINISTRO DE COMIDAS - POAI GESTION DE CONVOCATORIAS INTERNAS,  PROYECTOS DE INVESTIGACION, PLANES DE TRABAJO SEMILLEROS DE INVESTIGACION  Y PROYECTOS DE INTERES INSTITUCIONAL.</t>
  </si>
  <si>
    <t>SERVICIOS DE TRANSPORTE DE PASAJEROS - POAI GESTION DE CONVOCATORIAS INTERNAS,  PROYECTOS DE INVESTIGACION, PLANES DE TRABAJO SEMILLEROS DE INVESTIGACION  Y PROYECTOS DE INTERES INSTITUCIONAL.</t>
  </si>
  <si>
    <t>SERVICIOS DE ARRENDAMIENTO O ALQUILER DE MAQUINARIA Y EQUIPO SIN OPERARIO - POAI GESTION DE CONVOCATORIAS INTERNAS,  PROYECTOS DE INVESTIGACION, PLANES DE TRABAJO SEMILLEROS DE INVESTIGACION  Y PROYECTOS DE INTERES INSTITUCIONAL.</t>
  </si>
  <si>
    <t>SERVICIOS DE INVESTIGACIÓN Y DESARROLLO EXPERIMENTAL EN CIENCIAS NATURALES E INGENIERÍA - POAI GESTION DE CONVOCATORIAS INTERNAS,  PROYECTOS DE INVESTIGACION, PLANES DE TRABAJO SEMILLEROS DE INVESTIGACION  Y PROYECTOS DE INTERES INSTITUCIONAL.</t>
  </si>
  <si>
    <t>SERVICIOS INTERDISCIPLINARIOS DE INVESTIGACIÓN Y DESARROLLO EXPERIMENTAL - POAI GESTION DE CONVOCATORIAS INTERNAS,  PROYECTOS DE INVESTIGACION, PLANES DE TRABAJO SEMILLEROS DE INVESTIGACION  Y PROYECTOS DE INTERES INSTITUCIONAL.</t>
  </si>
  <si>
    <t>SERVICIOS DE DISEÑO Y DESARROLLO DE LA TECNOLOGÍA DE LA INFORMACIÓN (TI)  - POAI GESTION DE CONVOCATORIAS INTERNAS,  PROYECTOS DE INVESTIGACION, PLANES DE TRABAJO SEMILLEROS DE INVESTIGACION  Y PROYECTOS DE INTERES INSTITUCIONAL.</t>
  </si>
  <si>
    <t>OTROS SERVICIOS PROFESIONALES, CIENTÍFICOS Y TÉCNICOS - POAI GESTION DE CONVOCATORIAS INTERNAS,  PROYECTOS DE INVESTIGACION, PLANES DE TRABAJO SEMILLEROS DE INVESTIGACION  Y PROYECTOS DE INTERES INSTITUCIONAL.</t>
  </si>
  <si>
    <t>SERVICIOS DE ENSAYO Y ANÁLISIS TÉCNICOS - POAI GESTION DE CONVOCATORIAS INTERNAS,  PROYECTOS DE INVESTIGACION, PLANES DE TRABAJO SEMILLEROS DE INVESTIGACION  Y PROYECTOS DE INTERES INSTITUCIONAL.</t>
  </si>
  <si>
    <t>SERVICIOS DE PUBLICIDAD Y EL SUMINISTRO DE ESPACIO O TIEMPO PUBLICITARIOS - POAI GESTION DE CONVOCATORIAS INTERNAS,  PROYECTOS DE INVESTIGACION, PLANES DE TRABAJO SEMILLEROS DE INVESTIGACION  Y PROYECTOS DE INTERES INSTITUCIONAL.</t>
  </si>
  <si>
    <t>OTROS SERVICIOS PROFESIONALES Y TÉCNICOS N.C.P. - POAI GESTION DE CONVOCATORIAS INTERNAS,  PROYECTOS DE INVESTIGACION, PLANES DE TRABAJO SEMILLEROS DE INVESTIGACION  Y PROYECTOS DE INTERES INSTITUCIONAL.</t>
  </si>
  <si>
    <t>SERVICIOS DE CONTENIDOS EN LÍNEA (ON-LINE) - POAI GESTION DE CONVOCATORIAS INTERNAS,  PROYECTOS DE INVESTIGACION, PLANES DE TRABAJO SEMILLEROS DE INVESTIGACION  Y PROYECTOS DE INTERES INSTITUCIONAL.</t>
  </si>
  <si>
    <t>SERVICIOS DE ORGANIZACIÓN DE VIAJES, OPERADORES TURÍSTICOS Y SERVICIOS CONEXOS - POAI GESTION DE CONVOCATORIAS INTERNAS,  PROYECTOS DE INVESTIGACION, PLANES DE TRABAJO SEMILLEROS DE INVESTIGACION  Y PROYECTOS DE INTERES INSTITUCIONAL.</t>
  </si>
  <si>
    <t>OTROS SERVICIOS AUXILIARES - POAI GESTION DE CONVOCATORIAS INTERNAS,  PROYECTOS DE INVESTIGACION, PLANES DE TRABAJO SEMILLEROS DE INVESTIGACION  Y PROYECTOS DE INTERES INSTITUCIONAL.</t>
  </si>
  <si>
    <t>SERVICIOS DE EDICIÓN, IMPRESIÓN Y REPRODUCCIÓN - POAI GESTION DE CONVOCATORIAS INTERNAS,  PROYECTOS DE INVESTIGACION, PLANES DE TRABAJO SEMILLEROS DE INVESTIGACION  Y PROYECTOS DE INTERES INSTITUCIONAL.</t>
  </si>
  <si>
    <t>SERVICIOS DE SALUD HUMANA - POAI GESTION DE CONVOCATORIAS INTERNAS,  PROYECTOS DE INVESTIGACION, PLANES DE TRABAJO SEMILLEROS DE INVESTIGACION  Y PROYECTOS DE INTERES INSTITUCIONAL.</t>
  </si>
  <si>
    <t>SERVICIOS AUDIOVISUALES Y SERVICIOS CONEXOS - POAI GESTION DE CONVOCATORIAS INTERNAS,  PROYECTOS DE INVESTIGACION, PLANES DE TRABAJO SEMILLEROS DE INVESTIGACION  Y PROYECTOS DE INTERES INSTITUCIONAL.</t>
  </si>
  <si>
    <t>085</t>
  </si>
  <si>
    <t>SERVICIOS DE CONTENIDOS EN LÍNEA (ON-LINE) - POAI TRANSFERENCIA DE RESULTADOS, FORTALECIMIENTO Y VISIBILIDAD  A LOS PROCESOS DE INVESTIGACION</t>
  </si>
  <si>
    <t>086</t>
  </si>
  <si>
    <t>MEMBRESIAS, AFILIACIONES Y CUOTAS DE SOSTENIMIENTO - POAI TRANSFERENCIA DE RESULTADOS, FORTALECIMIENTO Y VISIBILIDAD  A LOS PROCESOS DE INVESTIGACION</t>
  </si>
  <si>
    <t>091</t>
  </si>
  <si>
    <t>LIBROS DE REGISTROS, LIBROS DE CONTABILIDAD, CUADERNILLOS DE NOTAS, BLOQUES PARA CARTAS, AGENDAS Y ARTÍCULOS SIMILARES, SECANTES, ENCUADERNADORES, CLASIFICADORES PARA ARCHIVOS, FORMULARIOS Y OTROS ARTÍCULOS DE ESCRITORIO, DE PAPEL O CARTÓN - POAI TRANSFERENCIA DE RESULTADOS, FORTALECIMIENTO Y VISIBILIDAD  A LOS PROCESOS DE INVESTIGACION</t>
  </si>
  <si>
    <t>088</t>
  </si>
  <si>
    <t>MEMBRESIAS, AFILIACIONES Y CUOTAS DE SOSTENIMIENTO - POAI DOCTORADO EN CIENCIAS DE LA EDUCACIÓN</t>
  </si>
  <si>
    <t>089</t>
  </si>
  <si>
    <t>OTROS SERVICIOS DIVERSOS N.C.P. - POAI DOCTORADO EN CIENCIAS DE LA EDUCACIÓN</t>
  </si>
  <si>
    <t>090</t>
  </si>
  <si>
    <t>SERVICIOS DE ORGANIZACIÓN DE VIAJES, OPERADORES TURÍSTICOS Y SERVICIOS CONEXOS - POAI DOCTORADO EN CIENCIAS DE LA EDUCACIÓN</t>
  </si>
  <si>
    <t>093</t>
  </si>
  <si>
    <t>OTRA MAQUINARIA PARA USOS ESPECIALES Y SUS PARTES Y PIEZAS - CENTRO DE ESTUDIOS AGROAMBIENTALES - POAI Buenas practicas ganaderas de los Centros de Estudios Agroambientales</t>
  </si>
  <si>
    <t>119</t>
  </si>
  <si>
    <t>SERVICIOS DE INGENIERÍA - POAI EDIFICIO DE ARCHIVO DE LA UNIVERSIDAD DE CUNDINAMARCA, , FASE DE DISEÑOS</t>
  </si>
  <si>
    <t>126</t>
  </si>
  <si>
    <t>127</t>
  </si>
  <si>
    <t xml:space="preserve">OTRO EQUIPO DE TRANSPORTE, Y SUS PARTES Y PIEZAS </t>
  </si>
  <si>
    <t>128</t>
  </si>
  <si>
    <t xml:space="preserve">PRODUCTOS DE FORRAJE, FIBRAS, PLANTAS VIVAS, FLORES Y CAPULLOS DE FLORES, TABACO EN RAMA Y CAUCHO NATURAL </t>
  </si>
  <si>
    <t>129</t>
  </si>
  <si>
    <t>OTROS PRODUCTOS DE CAUCHO</t>
  </si>
  <si>
    <t>130</t>
  </si>
  <si>
    <t>PRODUCTOS DE EMPAQUE Y ENVASADO, DE PLÁSTICO</t>
  </si>
  <si>
    <t>131</t>
  </si>
  <si>
    <t>PRODUCTOS METÁLICOS ELABORADOS (EXCEPTO MAQUINARIA Y EQUIPO)</t>
  </si>
  <si>
    <t>132</t>
  </si>
  <si>
    <t xml:space="preserve">SERVICIOS DE INGENIERÍA </t>
  </si>
  <si>
    <t>133</t>
  </si>
  <si>
    <t>SERVICIOS DE ENSAYO Y ANÁLISIS TÉCNICOS</t>
  </si>
  <si>
    <t>134</t>
  </si>
  <si>
    <t>SERVICIOS DE DESCONTAMINACIÓN</t>
  </si>
  <si>
    <t>135</t>
  </si>
  <si>
    <t>ARTÍCULOS TEXTILES (EXCEPTO PRENDAS DE VESTIR)</t>
  </si>
  <si>
    <t>137</t>
  </si>
  <si>
    <t>DOTACIÓN (PRENDAS DE VESTIR Y CALZADO)</t>
  </si>
  <si>
    <t>138</t>
  </si>
  <si>
    <t>CUERO Y PRODUCTOS DE
CUERO; CALZADO</t>
  </si>
  <si>
    <t>140</t>
  </si>
  <si>
    <t xml:space="preserve">QUÍMICOS ORGÁNICOS BÁSICOS </t>
  </si>
  <si>
    <t>141</t>
  </si>
  <si>
    <t>142</t>
  </si>
  <si>
    <t>PRODUCTOS FARMACÉUTICOS</t>
  </si>
  <si>
    <t>143</t>
  </si>
  <si>
    <t>JABÓN, PREPARADOS PARA LIMPIEZA, PERFUMES Y PREPARADOS DE TOCADOR</t>
  </si>
  <si>
    <t>144</t>
  </si>
  <si>
    <t>145</t>
  </si>
  <si>
    <t>OTROS PRODUCTOS PLÁSTICOS</t>
  </si>
  <si>
    <t>146</t>
  </si>
  <si>
    <t>INSTRUMENTOS MUSICALES</t>
  </si>
  <si>
    <t>147</t>
  </si>
  <si>
    <t>ARTÍCULOS DE DEPORTE</t>
  </si>
  <si>
    <t>148</t>
  </si>
  <si>
    <t>OTROS ARTÍCULOS MANUFACTURADOS N.C.P.</t>
  </si>
  <si>
    <t>149</t>
  </si>
  <si>
    <t>150</t>
  </si>
  <si>
    <t>LÁMPARAS ELÉCTRICAS DE INCANDESCENCIA O DESCARGA; LÁMPARAS DE ARCO, EQUIPO PARA ALUMBRADO ELÉCTRICO; SUS PARTES Y PIEZAS</t>
  </si>
  <si>
    <t>151</t>
  </si>
  <si>
    <t>152</t>
  </si>
  <si>
    <t>INSTRUMENTOS ÓPTICOS Y EQUIPO FOTOGRÁFICO; PARTES, PIEZAS Y ACCESORIOS</t>
  </si>
  <si>
    <t>153</t>
  </si>
  <si>
    <t>154</t>
  </si>
  <si>
    <t>SERVICIOS DE FABRICACIÓN DE TEXTILES, CONFECCIONES Y PRODUCTOS DE CUERO</t>
  </si>
  <si>
    <t>155</t>
  </si>
  <si>
    <t>OTROS SERVICIOS DE FABRICACIÓN</t>
  </si>
  <si>
    <r>
      <t>PRODUCTOS QUÍMICOS INORGÁNICOS BÁSICO</t>
    </r>
    <r>
      <rPr>
        <b/>
        <sz val="9"/>
        <color indexed="8"/>
        <rFont val="Arial"/>
        <family val="2"/>
      </rPr>
      <t>S</t>
    </r>
    <r>
      <rPr>
        <sz val="9"/>
        <color indexed="8"/>
        <rFont val="Arial"/>
        <family val="2"/>
      </rPr>
      <t xml:space="preserve"> N.C.P.</t>
    </r>
  </si>
  <si>
    <t>164</t>
  </si>
  <si>
    <t>Servicios de venta al por mayor, excepto los prestados a cambio
de una retribución o por contrata</t>
  </si>
  <si>
    <t>165</t>
  </si>
  <si>
    <t>Servicios de venta al por mayor prestados a comisión o por
contrata</t>
  </si>
  <si>
    <t>176</t>
  </si>
  <si>
    <t xml:space="preserve">LIBROS IMPRESOS </t>
  </si>
  <si>
    <t>177</t>
  </si>
  <si>
    <t>DIARIOS, REVISTAS Y PUBLICACIONES PERIÓDICAS, PUBLICADOS POR LO MENOS CUATRO VECES POR SEMANA</t>
  </si>
  <si>
    <t>179</t>
  </si>
  <si>
    <t>APARATOS TRANSMISORES DE TELEVISIÓN Y RADIO; TELEVISIÓN, VIDEO Y CÁMARAS DIGITALES; TELÉFONOS</t>
  </si>
  <si>
    <t>167</t>
  </si>
  <si>
    <t>MOTORES, GENERADORES Y TRANSFORMADORES ELÉCTRICOS Y SUS PARTES Y PIEZAS - Complemento Laboratorio programa Ingeniería Electrónica</t>
  </si>
  <si>
    <t>168</t>
  </si>
  <si>
    <t>APARATOS MÉDICOS, INSTRUMENTOS ÓPTICOS Y DE PRECISIÓN, RELOJES - POAI Complemento Laboratorio programa Ingeniería Electrónica.</t>
  </si>
  <si>
    <t>169</t>
  </si>
  <si>
    <t>PAQUETES DE SOFTWARE - POAI Complemento Laboratorio programa Ingeniería Electrónica</t>
  </si>
  <si>
    <t>172</t>
  </si>
  <si>
    <t>PRODUCTOS FARMACÉUTICOS - POAI Dotación de equipos para el Laboratorio de Reproducción Animal del Programa de Zootecnia y  biotecnología reproductiva de Ovinos en la Unidad Agroambiental la Esperanza de la Universidad Cundinamarca, Sede Fusagasugá.</t>
  </si>
  <si>
    <t>183</t>
  </si>
  <si>
    <t>SERVICIOS DE ARQUITECTURA, SERVICIOS DE PLANEACIÓN URBANA Y ORDENACIÓN DEL TERRITORIO; SERVICIOS DE ARQUITECTURA PAISAJISTA - POAI CERRAMIENTO LOTE CONTIGUO A LA CARCEL LA MODELO</t>
  </si>
  <si>
    <t>184</t>
  </si>
  <si>
    <t>SERVICIOS GENERALES DE CONSTRUCCIÓN DE EDIFICACIONES NO RESIDENCIALES - POAI CERRAMIENTO LOTE CONTIGUO A LA CARCEL LA MODELO</t>
  </si>
  <si>
    <t>189</t>
  </si>
  <si>
    <t xml:space="preserve">SERVICIOS DE INGENIERÍA - POAI Estudio de fase eletrica para la implementación del CAMPUS SOSTENIBLE de la Universidad de Cundinamarca </t>
  </si>
  <si>
    <t>SERVICIOS DE INGENIERÍA - POAI ADECUACION BLOQUE A, EXTENSION SOACHA DE LA UNIVERSIDAD DE CUNDINAMARCA</t>
  </si>
  <si>
    <t>SERVICIOS DE DISEÑO Y DESARROLLO DE LA TECNOLOGÍA DE LA INFORMACIÓN (TI) - POAI Fase I de implementacion de un ecosistema Digital para el apoyo y soporte tecnologico del Modelo Educativo Digital Transmoderno - MEDIT.</t>
  </si>
  <si>
    <t>SERVICIOS DE SUMINISTRO DE INFRAESTRUCTURA DE HOSTING Y DE TECNOLOGÍA DE LA INFORMACIÓN (TI) - POAI Fase I de implementacion de un ecosistema Digital para el apoyo y soporte tecnologico del Modelo Educativo Digital Transmoderno - MEDIT.</t>
  </si>
  <si>
    <t>114</t>
  </si>
  <si>
    <t>MAQUINARIA DE INFORMÁTICA Y SUS PARTES, PIEZAS Y ACCESORIOS - POAI Apoyo a la Implementacion, divulgacion y apropiacion de un Sistema de Gestion de Seguridad de la Informacion - SGSI alineado con el modelo de Seguridad y privacidad de la Informacion</t>
  </si>
  <si>
    <t>115</t>
  </si>
  <si>
    <t>SERVICIOS DE CONSULTORÍA PRESTADOS A LAS EMPRESAS - POAI Apoyo a la Implementacion, divulgacion y apropiacion de un Sistema de Gestion de Seguridad de la Informacion - SGSI alineado con el modelo de Seguridad y privacidad de la Informacion</t>
  </si>
  <si>
    <t>116</t>
  </si>
  <si>
    <t>OTROS TIPOS DE EDUCACIÓN Y SERVICIOS DE APOYO EDUCATIVO - POAI Apoyo a la Implementacion, divulgacion y apropiacion de un Sistema de Gestion de Seguridad de la Informacion - SGSI alineado con el modelo de Seguridad y privacidad de la Informacion</t>
  </si>
  <si>
    <t>n. de certificación BP</t>
  </si>
  <si>
    <t>fecha BP</t>
  </si>
  <si>
    <t>n. de cdp</t>
  </si>
  <si>
    <t>fecha cdp</t>
  </si>
  <si>
    <t>valor CDP</t>
  </si>
  <si>
    <t>RP numero</t>
  </si>
  <si>
    <t>fecha RP</t>
  </si>
  <si>
    <t>valor rp</t>
  </si>
  <si>
    <t>concepto descripción a contratar/ destino de la inversión</t>
  </si>
  <si>
    <t>TOTAL</t>
  </si>
  <si>
    <t>CUENTA PRESUPUESTAL /RUBRO</t>
  </si>
  <si>
    <t>prestar servicios profesionales para apoyar las actividades de alistamiento para la_x000D_
certificación de las normas relacionadas con el sistema de gestión ambiental de la_x000D_
universidad de cundinamarca, en el nodo sur - sede fusagasugá.</t>
  </si>
  <si>
    <t>prestar servicios profesionales para apoyar las actividades de alistamiento para la_x000D_
certificación de las normas relacionadas con el sistema de gestión ambiental de la_x000D_
universidad de cundinamarca, en el nodo norte - seccional ubaté, extensión chía_x000D_
y extensión zipaquirá.</t>
  </si>
  <si>
    <t>prestar servicios profesionales de ingeniera ambiental para asesorar y realizar gestión de actividades de alistamiento para certificación de las normas del sistema de gestión ambiental de la universidad de cundinamarca.</t>
  </si>
  <si>
    <t>prestar servicios profesionales para apoyar las actividades de alistamientopara  la  certificación  de  las  normas  relacionadas  con  el  sistema  degestión  ambiental  de  la  universidad  de  cundinamarca  en  la  extensiónsoacha y oficinas bogotá.</t>
  </si>
  <si>
    <t>contratar el programa de auditoria del sistema de gestión de la calidad bajo la norma iso 9001:2015, del sistema de seguridad y salud en el trabajo bajo la norma iso 45001:2018 y el decreto 1072 de 2015 libro 2, parte 2, titulo 4 capitulo 6 en la universidad de cundinamarca y del sistema de gestión ambiental bajo la norma iso 14001:2015 en la seccional girardot y extensión facatativá de la universidad de cundinamarca</t>
  </si>
  <si>
    <t>prestar  el  servicio  de  recolección  y  disposición  de  residuos  peligrosos 2021  con  cubrimiento  institucional  en la  sede, seccionales extensiones, unidades  agroambientales  y  cad</t>
  </si>
  <si>
    <t>tramite auto drso no.  0268  de  2 mar. 2021 - por medio del cual se declara iniciado tramite administrativo ambiental de concesion de aguas superficiales, se procede a realizar el cobro por concepto del servicio de evaluacion ambiental, se ordena la practica de una visita tecnica y se adoptan otras determinaciones</t>
  </si>
  <si>
    <t>prestar servicios profesionales para apoyar las actividades de alistamiento para la certificacion de las normas relacionadas con el sistema de gestion ambiental de la universidad de cundinamarca, en el nodo norte seccional ubate, extension chia y extension zipaquira.</t>
  </si>
  <si>
    <t>prestar servicios profesionales para apoyar las actividades de alistamiento para la certificacion de las normas relacionadas con el sistema de gestion ambiental de la universidad de cundinamarca, en la seccional girardot</t>
  </si>
  <si>
    <t>prestar servicios profesionales de ingeniera ambiental para asesorar y realizar gestion de actividades de alistamiento para certificacion de las normas del sistema de gestion ambiental de la universidad de cundinamarca</t>
  </si>
  <si>
    <t>prestar servicios profesionales para apoyar las actividades de alistamiento para la certificación de las normas relacionadas con el sistema de gestión ambiental de la universidad de cundinamarca en la extensión soacha y oficinas bogotá.</t>
  </si>
  <si>
    <t>prestar servicios profesionales para apoyar las actividades de alistamiento para la certificacion de las normas relacionadas con el sistema de gestion ambiental de la universidad de cundinamarca, en el nodo sur sede fusagasuga</t>
  </si>
  <si>
    <t>valor $$</t>
  </si>
  <si>
    <t>4</t>
  </si>
  <si>
    <t>5</t>
  </si>
  <si>
    <t>6</t>
  </si>
  <si>
    <t>44</t>
  </si>
  <si>
    <t>174</t>
  </si>
  <si>
    <t>199</t>
  </si>
  <si>
    <t>200</t>
  </si>
  <si>
    <t>325</t>
  </si>
  <si>
    <t>326</t>
  </si>
  <si>
    <t>327</t>
  </si>
  <si>
    <t>328</t>
  </si>
  <si>
    <t>329</t>
  </si>
  <si>
    <t>2021-01-08 18:28:50.0</t>
  </si>
  <si>
    <t>2021-01-08 18:29:09.0</t>
  </si>
  <si>
    <t>2021-01-08 18:29:30.0</t>
  </si>
  <si>
    <t>2021-01-22 09:51:59.0</t>
  </si>
  <si>
    <t>2021-02-25 09:21:28.0</t>
  </si>
  <si>
    <t>2021-03-03 21:49:02.0</t>
  </si>
  <si>
    <t>2021-03-16 11:13:29.0</t>
  </si>
  <si>
    <t>2021-03-18 10:56:00.0</t>
  </si>
  <si>
    <t>2021-06-11 09:44:38.0</t>
  </si>
  <si>
    <t>2021-06-11 09:45:15.0</t>
  </si>
  <si>
    <t>2021-06-11 09:46:12.0</t>
  </si>
  <si>
    <t>2021-06-11 09:46:51.0</t>
  </si>
  <si>
    <t>2021-06-11 09:49:54.0</t>
  </si>
  <si>
    <t>auxilio de cesantias - apoyo profesional especializado para la gestión de servicios de ti y el soporte externo a la plataforma institucional de la universidad de cundinamarca.</t>
  </si>
  <si>
    <t>7</t>
  </si>
  <si>
    <t>2021-01-08 18:29:51.0</t>
  </si>
  <si>
    <t xml:space="preserve">contratacion de personal termino fijo concepto cesantias e intereses de cesantias - apoyo profesional especializado para la gestión de servicios de ti y el soporte externo a la plataforma institucional de la universidad de cundinamarca </t>
  </si>
  <si>
    <t>2021-02-10 14:48:36.0</t>
  </si>
  <si>
    <t xml:space="preserve">concepto de cesantías e interes de ceantias - apoyo profesional especializado para la gestión de servicios de ti y el soporte externo a la plataforma institucional de la universidad de cundinamarca. </t>
  </si>
  <si>
    <t>332</t>
  </si>
  <si>
    <t>2021-06-11 15:22:05.0</t>
  </si>
  <si>
    <t>conectividad móvil - apoyo socioeconomicos a estudiantes de la universidad de cundinamarca para el primer periodo académico</t>
  </si>
  <si>
    <t>49</t>
  </si>
  <si>
    <t>2021-01-21 00:00:00.0</t>
  </si>
  <si>
    <t>auxilio de cesantías personal termino fijo dirección de bienestar universitario</t>
  </si>
  <si>
    <t>13</t>
  </si>
  <si>
    <t>2021-01-13 18:07:12.0</t>
  </si>
  <si>
    <t xml:space="preserve">cesantías e intereses de cesantías personal vinculación termino fijo dirección de bienestar universitario	</t>
  </si>
  <si>
    <t>197</t>
  </si>
  <si>
    <t>2021-03-12 11:45:09.0</t>
  </si>
  <si>
    <t>cesantías e intereses de cesantías personal termino fijo bienestar universitario iipa 2021</t>
  </si>
  <si>
    <t>306</t>
  </si>
  <si>
    <t>2021-06-09 15:42:51.0</t>
  </si>
  <si>
    <t xml:space="preserve">auxilio de transporte - apoyo profesional especializado para la gestión de servicios de ti y el soporte externo a la plataforma institucional de la universidad de cundinamarca. </t>
  </si>
  <si>
    <t>11</t>
  </si>
  <si>
    <t>2021-01-13 17:46:05.0</t>
  </si>
  <si>
    <t xml:space="preserve">contratacion de personal termino fijo concepto auxilio de transporte - apoyo profesional especializado para la gestión de servicios de ti y el soporte externo a la plataforma institucional de la universidad de cundinamarca </t>
  </si>
  <si>
    <t>2021-02-10 16:32:57.0</t>
  </si>
  <si>
    <t xml:space="preserve">auxilio de transporte - apoyo profesional especializado para la gestion de servicios de ti y el soporte externo a la plataforma institucional de la universidad de cundinamarca. </t>
  </si>
  <si>
    <t>331</t>
  </si>
  <si>
    <t>2021-06-11 15:21:39.0</t>
  </si>
  <si>
    <t>auxilio de transporte personal termino fijo dirección de bienestar universitario</t>
  </si>
  <si>
    <t>14</t>
  </si>
  <si>
    <t>2021-01-13 18:07:52.0</t>
  </si>
  <si>
    <t xml:space="preserve">auxilio de transporte personal vinculación termino fijo dirección de bienestar universitario	</t>
  </si>
  <si>
    <t>196</t>
  </si>
  <si>
    <t>2021-03-12 11:44:40.0</t>
  </si>
  <si>
    <t>auxilios de transporte personal termino fijo bienestar universitario iipa 2021</t>
  </si>
  <si>
    <t>304</t>
  </si>
  <si>
    <t>2021-06-09 15:41:59.0</t>
  </si>
  <si>
    <t>exoneraciones de matrícula para el segundo periodo académico de 202</t>
  </si>
  <si>
    <t>353</t>
  </si>
  <si>
    <t>2021-06-29 09:08:33.0</t>
  </si>
  <si>
    <t>VALOR BP</t>
  </si>
  <si>
    <t>N. CDP</t>
  </si>
  <si>
    <t>apoyar la formación posgradual de docentes vinculados a la universidad de cundinamarca, atendiendo lo establecido en la resolución n.083 de 2011 y resolución 235 de 2012, para la vigencia 2021.</t>
  </si>
  <si>
    <t>48</t>
  </si>
  <si>
    <t>2021-01-25 10:20:51.0</t>
  </si>
  <si>
    <t>VALOR</t>
  </si>
  <si>
    <t>fondo renovable no.1 de la vigencia 2021 de la dirección de interacción social universitaria</t>
  </si>
  <si>
    <t>58</t>
  </si>
  <si>
    <t>2021-01-28 17:10:30.0</t>
  </si>
  <si>
    <t>suministros de oficina (carpetas cuatro aletas, folders de colgar, pliegos de cartulina y cinta invisible) para la universidad de cundinamarca</t>
  </si>
  <si>
    <t>2021-02-24 17:44:56.0</t>
  </si>
  <si>
    <t>adquirir equipos tecnológicos de última generación para la dotación de laboratorio digital del programa de música de la universidad de cundinamarca extensión zipaquirá</t>
  </si>
  <si>
    <t>330</t>
  </si>
  <si>
    <t>2021-06-11 12:15:14.0</t>
  </si>
  <si>
    <t>cuota ordinaria anual de sostenimiento vigencia 2021, de la red de universidades estatales de colombia arudecolombia.</t>
  </si>
  <si>
    <t>93</t>
  </si>
  <si>
    <t>2021-02-05 11:43:49.0</t>
  </si>
  <si>
    <t xml:space="preserve">valor </t>
  </si>
  <si>
    <t>pago cuota anual de sostenimiento asociación colombiana de universidades - ascun</t>
  </si>
  <si>
    <t>79</t>
  </si>
  <si>
    <t>2021-02-02 10:21:56.0</t>
  </si>
  <si>
    <t>pago cuota de sostenimiento de la red de bienestar - nodo centro añ;o 2021</t>
  </si>
  <si>
    <t>238</t>
  </si>
  <si>
    <t>2021-04-26 22:22:50.0</t>
  </si>
  <si>
    <t>membresia para hacer parte del nodo bogota cundinamarca de la red colombiana de semilleros de investigacion (redcolsi) para la vigencia 2021.</t>
  </si>
  <si>
    <t>2021-03-01 17:17:19.0</t>
  </si>
  <si>
    <t>valor</t>
  </si>
  <si>
    <t>adquirir sistema modular de archivo rodante para la seccional de ubate de la universidad de cundinamarca</t>
  </si>
  <si>
    <t>239</t>
  </si>
  <si>
    <t>2021-04-27 11:39:55.0</t>
  </si>
  <si>
    <t>adquisicion de equipos para reproduccion animal para la unidad agroambiental la esperanza</t>
  </si>
  <si>
    <t>314</t>
  </si>
  <si>
    <t>2021-06-09 17:55:51.0</t>
  </si>
  <si>
    <t>229</t>
  </si>
  <si>
    <t>2021-04-20 13:27:16.0</t>
  </si>
  <si>
    <t>adquisición de elementos para el apoyo logístico para la realización de los diferentes eventos presenciales y virtuales en los que participa y organiza la oficina de graduados o requeridos para su correcto funcionamiento, a nivel interno, en sedes, seccionales y extensiones o a nivel externo</t>
  </si>
  <si>
    <t>2021-02-18 08:29:24.0</t>
  </si>
  <si>
    <t>adquirir herramientas de apoyo de desplazamiento para personas con dificultad en la movilidad en sedes, seccionales y extensiones</t>
  </si>
  <si>
    <t>224</t>
  </si>
  <si>
    <t>2021-04-15 15:51:55.0</t>
  </si>
  <si>
    <t>fondo renovable n 01, código cuenta 02020209060910114 - otros servicios de esparcimiento y diversión - poai - fomento de los hábitos, estilos de vida saludables, aprovechamiento del tiempo libre y fortalecimiento de las aptitudes y actitudes de la comunidad universitaria.</t>
  </si>
  <si>
    <t>2021-03-10 00:00:00.0</t>
  </si>
  <si>
    <t>prestar los servicios profesionales en la gestión y desarrollo de las actividades alineadas con la editorial de la universidad de cundinamarca.</t>
  </si>
  <si>
    <t>2021-02-24 17:49:52.0</t>
  </si>
  <si>
    <t>prestar los servicios profesionales como investigador para desarrollar y ejecutar los proyectos de investigacion de la facultad de ciencias administrativas, economicas y contables presentados en convocatorias internas y en convocatoria conjunta unal-udec, a fin de fortalecer e incrementar la productividad científica y tecnológica de la universidad de cundinamarca.</t>
  </si>
  <si>
    <t>175</t>
  </si>
  <si>
    <t>2021-03-04 21:31:47.0</t>
  </si>
  <si>
    <t>prestar los servicios profesionales como investigador principal del proyecto de investigación: biodegradacion de residuos plasticos empleando tenebrio molitor y galleriamellonella y su potencial para alimentación en peces, aprobado en convocatoria de proyectos de investigación conjuntos entre la universidad de cundinamarca y la universidad nacional de colombia sede bogotá.</t>
  </si>
  <si>
    <t>2021-03-04 21:32:27.0</t>
  </si>
  <si>
    <t>prestar los servicios profesionales como investigador principal del proyecto de investigación: impacto de la economia social y solidaria (ess) del sector primario en el crecimiento del departamento de cundinamarca, aprobado en convocatoria de proyectos de investigación conjuntos entre la universidad de cundinamarca y la universidad nacional de colombia sede bogota.</t>
  </si>
  <si>
    <t>2021-03-04 21:36:03.0</t>
  </si>
  <si>
    <t xml:space="preserve">pares exernos que realizaran la evaluación de tres (3) proyectos de interes institucional </t>
  </si>
  <si>
    <t>250</t>
  </si>
  <si>
    <t>2021-05-06 10:00:34.0</t>
  </si>
  <si>
    <t>prestar servicios profesionales para brindar apoyo al proceso misional de ciencia, tecnologia e innovación a fin de contribuir al reconocimiento, categorizacion y mejoramiento de categoria de los grupos de investigacion y de investigadores de la universidad de cundinamarca.</t>
  </si>
  <si>
    <t>254</t>
  </si>
  <si>
    <t>2021-05-13 12:06:16.0</t>
  </si>
  <si>
    <t>prestar servicios profesionales como investigador para desarrollar y ejecutar los proyectos presentados y aprobados en convocatorias internas y proyectos de interés institucional de la universidad de cundinamarca, y apoyo en los procesos de capacitacion a fin de fortalecer e incrementar la productividad científica y tecnológica</t>
  </si>
  <si>
    <t>338</t>
  </si>
  <si>
    <t>2021-06-15 10:38:14.0</t>
  </si>
  <si>
    <t>prestar los servicios profesionales para el fortalecimiento de la investigación con productos de ciencia, tecnología e innovación, desarrollando proyectos de investigación y fortaleciendo así mismo el grupo de investigación fitomejoramiento y biotecnología de cultivos del sumapaz.</t>
  </si>
  <si>
    <t>349</t>
  </si>
  <si>
    <t>2021-06-18 10:04:57.0</t>
  </si>
  <si>
    <t>354</t>
  </si>
  <si>
    <t>2021-07-01 11:08:39.0</t>
  </si>
  <si>
    <t xml:space="preserve">inscripción de un (1) docente perteneciente a la facultad de ciencias agropecuarias, en el curso básico y aplicado de nutrición avícola, en modalidad virtual. </t>
  </si>
  <si>
    <t>208</t>
  </si>
  <si>
    <t>2021-04-05 14:30:30.0</t>
  </si>
  <si>
    <t xml:space="preserve">inscripción de un (1) docente perteneciente a la facultad de ciencias de la salud, en el diplomado en cuidados paliativos. </t>
  </si>
  <si>
    <t>231</t>
  </si>
  <si>
    <t>2021-04-21 21:41:42.0</t>
  </si>
  <si>
    <t>inscripción de un (1) docente perteneciente a la facultad de ciencias agropecuarias, para participar en el tercer diplomado virtual en colecta, transferencia y congelamiento de embriones.</t>
  </si>
  <si>
    <t>232</t>
  </si>
  <si>
    <t>2021-04-21 21:42:12.0</t>
  </si>
  <si>
    <t xml:space="preserve">inscripción de un (1) docente perteneciente a la facultad de ciencias agropecuarias, en el curso de agricultura de precisión: aplicaciones con el uso de r y qgis. </t>
  </si>
  <si>
    <t>234</t>
  </si>
  <si>
    <t>2021-04-21 21:45:48.0</t>
  </si>
  <si>
    <t>prestar servicios como instructor de karate do para estudiantes de la comunidad universitaria de la universidad de cundinamarca sede fusagasugá.</t>
  </si>
  <si>
    <t>2021-02-25 17:12:47.0</t>
  </si>
  <si>
    <t>prestar servicios como orientador deportivo para la comunidad universitaria de la universidad de cundinamarca extensión zipaquirá y extensión soacha.</t>
  </si>
  <si>
    <t>2021-02-25 17:15:11.0</t>
  </si>
  <si>
    <t>prestar servicios como instructor de futbol masculino para la comunidad universitaria de la universidad de cundinamarca sede fusagasugá y extensión soacha.</t>
  </si>
  <si>
    <t>2021-02-25 17:16:09.0</t>
  </si>
  <si>
    <t>prestar servicios como instructor de fútbol sala masculino y femenino para la comunidad universitaria de la universidad de cundinamarca sede fusagasugá y extensión soacha.</t>
  </si>
  <si>
    <t>2021-02-25 17:16:47.0</t>
  </si>
  <si>
    <t>prestar servicios como instructor de taekwondo para estudiantes de la universidad de cundinamarca sede fusagasugá y extensión soacha.</t>
  </si>
  <si>
    <t>2021-02-25 17:17:38.0</t>
  </si>
  <si>
    <t>prestar servicios como instructor de atletismo para la comunidad universitaria de la universidad de cundinamarca sede fusagasugá.</t>
  </si>
  <si>
    <t>2021-02-25 17:18:25.0</t>
  </si>
  <si>
    <t>prestar servicios como instructor de voleibol para la comunidad universitaria de la universidad de cundinamarca sede fusagasugá y extensión soacha.</t>
  </si>
  <si>
    <t>2021-02-25 17:19:18.0</t>
  </si>
  <si>
    <t>prestar servicios como orientador deportivo para la comunidad universitaria de la universidad de cundinamarca extensión facatativá.</t>
  </si>
  <si>
    <t>2021-02-25 17:20:44.0</t>
  </si>
  <si>
    <t>prestar servicios como instructor de porras para estudiantes de la universidad de cundinamarca sede fusagasugá y extensión soacha.</t>
  </si>
  <si>
    <t>2021-02-25 17:38:18.0</t>
  </si>
  <si>
    <t>prestar servicios como instructor de danzas para la comunidad universitaria de la universidad de cundinamarca seccional ubaté.</t>
  </si>
  <si>
    <t>2021-02-26 10:33:00.0</t>
  </si>
  <si>
    <t>prestar servicios como instructor de música para la comunidad universitaria de la universidad de cundinamarca extensiones chía y soacha.</t>
  </si>
  <si>
    <t>139</t>
  </si>
  <si>
    <t>2021-02-26 10:34:12.0</t>
  </si>
  <si>
    <t xml:space="preserve">prestar servicios como instructor de orquesta para la comunidad universitaria de la universidad de cundinamarca seccional girardot. </t>
  </si>
  <si>
    <t>2021-02-26 10:35:27.0</t>
  </si>
  <si>
    <t>prestar servicios como instructor de artes plásticas para la comunidad universitaria de la universidad de cundinamarca sede fusagasugá.</t>
  </si>
  <si>
    <t>2021-02-26 10:36:40.0</t>
  </si>
  <si>
    <t>prestar servicios como instructor de danzas para la comunidad universitaria de la universidad de cundinamarca extensiones chía y soacha.</t>
  </si>
  <si>
    <t>2021-02-26 10:37:33.0</t>
  </si>
  <si>
    <t>prestar servicios como instructor de orquesta para la comunidad universitaria de la universidad de cundinamarca sede fusagasugá.</t>
  </si>
  <si>
    <t>2021-02-26 10:38:53.0</t>
  </si>
  <si>
    <t>prestar servicios como instructor de teatro para la comunidad universitaria de la universidad de cundinamarca sede fusagasugá.</t>
  </si>
  <si>
    <t>2021-02-26 10:39:41.0</t>
  </si>
  <si>
    <t>prestar servicios como instructor de teatro para la comunidad universitaria de la universidad de cundinamarca extensión facatativá.</t>
  </si>
  <si>
    <t>2021-02-26 10:41:01.0</t>
  </si>
  <si>
    <t>prestar servicios como instructor de teatro para la comunidad universitaria de la universidad de cundinamarca seccional ubaté y extensión zipaquirá.</t>
  </si>
  <si>
    <t>2021-02-26 10:41:50.0</t>
  </si>
  <si>
    <t xml:space="preserve">prestar servicios como instructor de teatro para la comunidad universitaria de la universidad de cundinamarca extensión soacha. </t>
  </si>
  <si>
    <t>2021-02-26 10:42:47.0</t>
  </si>
  <si>
    <t>prestar servicios como instructor de música para la comunidad universitaria de la universidad de cundinamarca seccional girardot.</t>
  </si>
  <si>
    <t>2021-02-26 10:45:55.0</t>
  </si>
  <si>
    <t>prestar servicios como orientador deportivo para la comunidad universitaria de la universidad de cundinamarca seccional girardot.</t>
  </si>
  <si>
    <t>2021-02-26 10:50:31.0</t>
  </si>
  <si>
    <t>prestar servicios como instructor de teatro para la comunidad universitaria de la universidad de cundinamarca seccional girardot</t>
  </si>
  <si>
    <t>2021-02-26 10:51:14.0</t>
  </si>
  <si>
    <t xml:space="preserve">prestar servicios como instructor de baloncesto de la universidad de cundinamarca sede fusagasugá y extensión soacha. </t>
  </si>
  <si>
    <t>2021-02-26 10:51:48.0</t>
  </si>
  <si>
    <t>prestar servicios como instructor de danza folclórica para la comunidad universitaria de la universidad de cundinamarca sede fusagasugá, seccional girardot y extensión_x000D_
facatativá</t>
  </si>
  <si>
    <t>2021-02-26 10:52:47.0</t>
  </si>
  <si>
    <t>prestar servicios como instructor de artes musicales para la comunidad universitaria de la universidad de cundinamarca sede fusagasugá.</t>
  </si>
  <si>
    <t>2021-02-26 10:53:57.0</t>
  </si>
  <si>
    <t>prestar servicios como instructor de danza urbana para la comunidad universitaria de la universidad de cundinamarca sede fusagasugá.</t>
  </si>
  <si>
    <t>2021-02-26 10:54:32.0</t>
  </si>
  <si>
    <t>prestar servicios como instructor de música para la comunidad universitaria de la universidad de cundinamarca seccional ubaté y extensión facatativá.</t>
  </si>
  <si>
    <t>2021-02-26 10:55:13.0</t>
  </si>
  <si>
    <t>prestar servicios como orientador deportivo para la comunidad universitaria de la universidad de cundinamarca extensión chía y seccional ubaté</t>
  </si>
  <si>
    <t>2021-02-26 11:09:21.0</t>
  </si>
  <si>
    <t>prestar servicios como instructor de rugby masculino y femenino para estudiantes de la universidad de cundinamarca, sede fusagasugá y extensión soacha.</t>
  </si>
  <si>
    <t>163</t>
  </si>
  <si>
    <t>2021-03-01 09:44:40.0</t>
  </si>
  <si>
    <t>prestar servicios como instructor de futbol femenino para estudiantes de la universidad de cundinamarca, extensión soacha y sede fusagasugá.</t>
  </si>
  <si>
    <t>2021-03-01 09:45:28.0</t>
  </si>
  <si>
    <t>realizar un diagnóstico mediante prueba piloto en pensamiento crítico de los estudiantes de la universidad de cundinamarca</t>
  </si>
  <si>
    <t>55</t>
  </si>
  <si>
    <t>2021-01-28 17:02:21.0</t>
  </si>
  <si>
    <t>acompañ;ar el proceso para la puesta en marcha del modelo de gestión curricular en el marco del medit para el primer periodo académico 2021</t>
  </si>
  <si>
    <t>2021-03-08 12:22:28.0</t>
  </si>
  <si>
    <t xml:space="preserve">asesorar a los coordinadores y equipos docentes de los programas académicos de pregrado para el primer periodo académico 2021. </t>
  </si>
  <si>
    <t>2021-03-08 12:23:29.0</t>
  </si>
  <si>
    <t>acompañ;ar el desarrollo de los campos de aprendizaje institucional en los programas académicos de pregrado para el primer periodo académico 2021.</t>
  </si>
  <si>
    <t>2021-03-08 12:24:01.0</t>
  </si>
  <si>
    <t xml:space="preserve">asesorar y realizar el seguimiento del proceso del diseñ;o de los campos de aprendizaje disciplinares de los programas académicos asignados basados en los lineamientos curriculares institucionales en desarrollo del modelo educativo digital transmoderno medit, para el primer periodo académico 2021._x000D_
</t>
  </si>
  <si>
    <t>2021-03-08 12:24:32.0</t>
  </si>
  <si>
    <t>acompañ;ar el desarrollo de los campos de aprendizaje institucional en los programas academicos de pregrado para el segundo periodo academico 2021</t>
  </si>
  <si>
    <t>344</t>
  </si>
  <si>
    <t>2021-06-18 09:56:08.0</t>
  </si>
  <si>
    <t>asesorar a los coordinadores y equipos docentes de los programas académicos de pregrado para el  segundo academico 2021</t>
  </si>
  <si>
    <t>345</t>
  </si>
  <si>
    <t>2021-06-18 09:59:14.0</t>
  </si>
  <si>
    <t>acompañ;ar el proceso para la puesta en marcha del modelo de gestión curricular en el marco del medit para el segundo periodo académico 2021</t>
  </si>
  <si>
    <t>346</t>
  </si>
  <si>
    <t>2021-06-18 10:00:41.0</t>
  </si>
  <si>
    <t>asesorar y realizar el seguimiento del proceso del diseñ;o de los campos de aprendizaje disciplinares de los programas académicos asignados basados en los lineamientos curriculares institucionales en desarrollo del modelo educativo digital transmoderno medit, para el segundo periodo academico 2021</t>
  </si>
  <si>
    <t>347</t>
  </si>
  <si>
    <t>2021-06-18 10:01:41.0</t>
  </si>
  <si>
    <t>asesorar y realizar el seguimiento del proceso de resignificación curricular de los programas académicos asignados, basados en los lineamientos curriculares institucionales en desarrollo del modelo educativo digital transmoderno medit; para el segundo periodo académico 2021</t>
  </si>
  <si>
    <t>348</t>
  </si>
  <si>
    <t>2021-06-18 10:03:53.0</t>
  </si>
  <si>
    <t>ciclo de talleres de formación a la empleabilidad y el emprendimiento con propósito 2021</t>
  </si>
  <si>
    <t>237</t>
  </si>
  <si>
    <t>2021-04-26 09:11:44.0</t>
  </si>
  <si>
    <t>construcción planes de aprendizaje digital para programas de postgrado nuevos y en resignificación</t>
  </si>
  <si>
    <t>diseñ;ar los planes de aprendizaje digital para los campos de aprendizaje disciplinar de los programas de postgrado de la vigencia 2021</t>
  </si>
  <si>
    <t>263</t>
  </si>
  <si>
    <t>2021-05-28 12:10:04.0</t>
  </si>
  <si>
    <t>curso de capacitación y formación dirigido a docentes consejeros en temas relacionados con educación inclusiva y atención a la diversidad</t>
  </si>
  <si>
    <t>225</t>
  </si>
  <si>
    <t>2021-04-15 15:53:48.0</t>
  </si>
  <si>
    <t>pagar las inscripciones a los congresos ponencias, seminarios, talleres, actualizaciones, simposios, foros, y mesas de trabajo dentro de la vigencia 2021, en los cuales participe personal administrativo de planta teniendo correlación a su área de desempeñ;o</t>
  </si>
  <si>
    <t>2021-02-25 00:00:00.0</t>
  </si>
  <si>
    <t>actualización de la licencia siigo nube (divulgación académica) para la facultad de ciencias administrativas, económicas y contables de la universidad de cundinamarca</t>
  </si>
  <si>
    <t>2021-02-25 17:42:31.0</t>
  </si>
  <si>
    <t>actualización del software ganadero tp, para la facultad de agropecuarias de la universidad de cundinamarca</t>
  </si>
  <si>
    <t>2021-02-25 17:43:20.0</t>
  </si>
  <si>
    <t>actualización de la licencia maple para el programa de  licenciatura en matemáticas y el programa de ingeniería de sistemas, y la  licencia stella profesional faculty/phd license para el programa licenciatura en matemáticas, sede fusagasugá y seccional ubaté, de la universidad de cundinamarca</t>
  </si>
  <si>
    <t>2021-02-25 18:04:44.0</t>
  </si>
  <si>
    <t>actualización de la licencia matlab, para la universidad de cundinamarca</t>
  </si>
  <si>
    <t>210</t>
  </si>
  <si>
    <t>2021-04-06 11:59:53.0</t>
  </si>
  <si>
    <t>actualización de la licencia new hotel, para la universidad de cundinamarca</t>
  </si>
  <si>
    <t>213</t>
  </si>
  <si>
    <t>2021-04-08 15:04:21.0</t>
  </si>
  <si>
    <t>adquisicion de licenciamiento para windows server escritorio remoto para la universidad de cundinamarca</t>
  </si>
  <si>
    <t>235</t>
  </si>
  <si>
    <t>2021-04-23 10:46:08.0</t>
  </si>
  <si>
    <t xml:space="preserve">adquisición de la licencia envi para la facultad de ciencias agropecuarias de la universidad de cundinamarca_x000D_
</t>
  </si>
  <si>
    <t>350</t>
  </si>
  <si>
    <t>2021-06-18 14:23:50.0</t>
  </si>
  <si>
    <t xml:space="preserve">adquisición licencia campus anual de maxqda analytics para la universidad de cundinamarca_x000D_
</t>
  </si>
  <si>
    <t xml:space="preserve">adquisición anylogic cloud subscriber v. 1.0 para la universidad de cundinamarca_x000D_
</t>
  </si>
  <si>
    <t>352</t>
  </si>
  <si>
    <t>2021-06-18 14:27:31.0</t>
  </si>
  <si>
    <t>Prima de servicio - apoyo profesional especializado para la gestión de servicios de ti y el soporte externo a la plataforma institucional de la universidad de cundinamarca.</t>
  </si>
  <si>
    <t>9</t>
  </si>
  <si>
    <t>2021-01-08 18:31:07.0</t>
  </si>
  <si>
    <t xml:space="preserve">contratacion de personal termino fijo concepto prima legal - apoyo profesional especializado para la gestión de servicios de ti y el soporte externo a la plataforma institucional de la universidad de cundinamarca </t>
  </si>
  <si>
    <t>2021-02-10 14:49:44.0</t>
  </si>
  <si>
    <t xml:space="preserve">prima de servicio -apoyo profesional especializado para la gestión de servicios de ti y el soporte externo a la plataforma institucional de la universidad de cundinamarca. </t>
  </si>
  <si>
    <t>334</t>
  </si>
  <si>
    <t>2021-06-11 15:23:04.0</t>
  </si>
  <si>
    <t>prima de servicio personal termino fijo dirección de bienestar universitario</t>
  </si>
  <si>
    <t>16</t>
  </si>
  <si>
    <t>2021-01-13 18:09:28.0</t>
  </si>
  <si>
    <t>prima de servicio personal termino fijo bienestar</t>
  </si>
  <si>
    <t>194</t>
  </si>
  <si>
    <t>2021-03-12 11:40:45.0</t>
  </si>
  <si>
    <t>prima legal de servicios personal termino fijo bienestar universitario iipa-2021</t>
  </si>
  <si>
    <t>308</t>
  </si>
  <si>
    <t>2021-06-09 15:44:57.0</t>
  </si>
  <si>
    <t>insumos para las actividades, primeros auxilios, bienestar físico y mental</t>
  </si>
  <si>
    <t>315</t>
  </si>
  <si>
    <t>2021-06-09 18:13:26.0</t>
  </si>
  <si>
    <t>trámite abs para contratación de objeto: realización de video institucional para difundir la oferta de servicios, estrategias y acciones llevadas a cabo en el marco de los circuitos de formación, innovación y evaluación de la escuela de formación y aprendizaje docente</t>
  </si>
  <si>
    <t>206</t>
  </si>
  <si>
    <t>2021-03-24 14:56:00.0</t>
  </si>
  <si>
    <t>otrosi al contrato f-ctc-143 de 2020 que tiene por objeto diseñ;os urbanísticos, arquitectónicos y estudios técnicos necesarios con el fin de obtener las licencias de urbanismo, construcción y/o permisos requeridos para la nueva fachada, zonas de acceso principal y portería en la sede fusagasugá, junto con la elaboración de una cartilla de andenes y mobiliario público para la universidad de cundinamarca aplicable en todas sus extensiones y seccionales</t>
  </si>
  <si>
    <t>262</t>
  </si>
  <si>
    <t>2021-05-27 17:49:27.0</t>
  </si>
  <si>
    <t>prestar servicios en la dirección de bienestar universitario como profesional de éxito académico.</t>
  </si>
  <si>
    <t>53</t>
  </si>
  <si>
    <t>2021-01-27 11:00:29.0</t>
  </si>
  <si>
    <t>prestar servicios profesionales y brindar orientación en el marco de formación integral y permanencia en la universidad de cundinamarca, seccional ubaté.</t>
  </si>
  <si>
    <t>56</t>
  </si>
  <si>
    <t>2021-01-28 17:03:01.0</t>
  </si>
  <si>
    <t>prestar servicios de apoyo para el fortalecimiento de hábitos de vida saludable y mejoramiento de la calidad de vida en la comunidad de la universidad de cundinamarca extensión facatativá.</t>
  </si>
  <si>
    <t>60</t>
  </si>
  <si>
    <t>2021-01-28 18:22:48.0</t>
  </si>
  <si>
    <t>prestar servicios de apoyo para el fortalecimiento  de hábitos de vida saludable y mejoramiento de la calidad de vida en la comunidad de la universidad de cundinamarca  sede fusagasugá.</t>
  </si>
  <si>
    <t>77</t>
  </si>
  <si>
    <t>2021-02-02 10:18:13.0</t>
  </si>
  <si>
    <t>prestar servicio de apoyo para el fortalecimiento  de hábitos  de vida saludable  y mejoramiento de la calidad de vida en la comunidad de la  universidad de cundinamarca extensión chía.</t>
  </si>
  <si>
    <t>78</t>
  </si>
  <si>
    <t>2021-02-02 10:21:27.0</t>
  </si>
  <si>
    <t>prestar su servicios profesionales  para el fortalecimiento  de hábitos de vida saludable y mejoramiento de la calidad de vida en la comunidad de la universidad de cundinamarca  extensión soacha.</t>
  </si>
  <si>
    <t>84</t>
  </si>
  <si>
    <t>2021-02-03 11:46:52.0</t>
  </si>
  <si>
    <t xml:space="preserve">prestar servicios en bienestar universitario como profesional de programas de aprendizaje de hábitos de vida saludable y mejoramiento de la calidad de vida, en lo relacionado con temas osteo musculares, a la comunidad universitaria de la universidad de cundinamarca._x000D_
</t>
  </si>
  <si>
    <t>85</t>
  </si>
  <si>
    <t>2021-02-03 11:50:22.0</t>
  </si>
  <si>
    <t>prestar servicios profesionales para el fortalecimiento de hábitos de vida saludable y mejoramiento de la calidad de vida en la comunidad de la universidad de cundinamarca extensión zipaquirá.</t>
  </si>
  <si>
    <t>86</t>
  </si>
  <si>
    <t>2021-02-03 11:52:07.0</t>
  </si>
  <si>
    <t>prestar servicios profesionales para el fortalecimiento de hábitos de vida saludable y mejoramiento de la calidad de vida en la comunidad de la universidad de cundinamarca seccional girardot</t>
  </si>
  <si>
    <t>87</t>
  </si>
  <si>
    <t>2021-02-03 17:15:41.0</t>
  </si>
  <si>
    <t>prestar servicios de apoyo en el desarrollo de los 4 ejes estratégicos en la universidad de cundinamarca, seccional girardot</t>
  </si>
  <si>
    <t>88</t>
  </si>
  <si>
    <t>2021-02-03 17:16:12.0</t>
  </si>
  <si>
    <t xml:space="preserve">prestar servicios como profesional de programas de aprendizaje de hábitos de vida saludable y mejoramiento de la calidad de vida, en especial lo relacionado con temas osteo musculares, a la comunidad universitaria de la universidad de cundinamarca - extensión zipaquirá_x000D_
</t>
  </si>
  <si>
    <t>89</t>
  </si>
  <si>
    <t>2021-02-04 15:03:45.0</t>
  </si>
  <si>
    <t>prestar servicios profesionales y brindar orientación en el marco de formación integral y permanencia en la universidad de cundinamarca, extensión facatativá.</t>
  </si>
  <si>
    <t>90</t>
  </si>
  <si>
    <t>2021-02-04 15:04:53.0</t>
  </si>
  <si>
    <t>prestar servicios como profesional de apoyo social de la universidad de cundinamarca, sede fusagasugá.</t>
  </si>
  <si>
    <t>92</t>
  </si>
  <si>
    <t>2021-02-05 08:57:07.0</t>
  </si>
  <si>
    <t>prestar servicios como profesional de programas de aprendizaje de hábitos de vida saludable y mejoramiento de la calidad de vida, en especial lo relacionado con temas osteo musculares, a la comunidad universitaria de la universidad de cundinamarca, extensión soacha</t>
  </si>
  <si>
    <t>95</t>
  </si>
  <si>
    <t>2021-02-08 08:09:28.0</t>
  </si>
  <si>
    <t>prestar servicios de apoyo para el fortalecimiento de hábitos de vida saludable y mejoramiento de la calidad de vida en la comunidad de la universidad de cundinamarca seccional ubaté.</t>
  </si>
  <si>
    <t>2021-02-10 14:45:39.0</t>
  </si>
  <si>
    <t xml:space="preserve">prestar servicios profesionales y brindar orientación en el marco de formación integral y permanencia en la universidad de cundinamarca seccional girardot. </t>
  </si>
  <si>
    <t>2021-03-02 16:08:02.0</t>
  </si>
  <si>
    <t>prestar servicios profesionales en bienestar universitario, como líder de formación para la vida.</t>
  </si>
  <si>
    <t>204</t>
  </si>
  <si>
    <t>2021-03-23 15:33:14.0</t>
  </si>
  <si>
    <t>otrosi no. 01 a la orden de prestación de servicios f-ops 062 de 2021 cuyo objeto es prestar servicios en la dirección de bienestar universitario como profesional de éxito académico</t>
  </si>
  <si>
    <t>288</t>
  </si>
  <si>
    <t>2021-06-08 15:57:33.0</t>
  </si>
  <si>
    <t>prestar servicios profesionales de apoyo para la ejecución de los procedimientos de implementacion del sistema de gestion de seguridad de la informacion y la ley de tratamiento de datos personales.</t>
  </si>
  <si>
    <t>266</t>
  </si>
  <si>
    <t>2021-06-01 18:11:26.0</t>
  </si>
  <si>
    <t>prestar servicios profesionales en la dirección de autoevaluación y acreditación brindando asesoría en la construcción de instrumentos y documentos asociados al proceso de autoevaluación institucional.</t>
  </si>
  <si>
    <t>20</t>
  </si>
  <si>
    <t>2021-01-18 17:29:49.0</t>
  </si>
  <si>
    <t>prestar servicios profesionales en la dirección de autoevaluación y acreditación para apoyar la construcción de los documentos maestros con miras a la renovación de registros calificados de los programas facultad de ciencias del deporte y postgrados.</t>
  </si>
  <si>
    <t>21</t>
  </si>
  <si>
    <t>2021-01-18 17:30:54.0</t>
  </si>
  <si>
    <t>prestar servicios profesionales en la dirección de autoevaluación y acreditación, para apoyar el proceso de seguimiento y acompañ;amiento en la ejecución de planes de mejoramiento derivados del proceso de autoevaluación en programas académicos.</t>
  </si>
  <si>
    <t>22</t>
  </si>
  <si>
    <t>2021-01-18 17:32:05.0</t>
  </si>
  <si>
    <t>prestar servicios profesionales en la dirección de autoevaluación y acreditación para apoyar la construcción de los documentos maestros con miras a la obtención de registros calificados de programas académicos.</t>
  </si>
  <si>
    <t>23</t>
  </si>
  <si>
    <t>2021-01-18 17:32:46.0</t>
  </si>
  <si>
    <t>prestar servicios profesionales en la dirección de autoevaluación y acreditación apoyando las actividades de gestión estratégica mediante la elaboración y consolidación de los diferentes documentos asociados a los procesos de la dirección.</t>
  </si>
  <si>
    <t>24</t>
  </si>
  <si>
    <t>2021-01-18 17:33:19.0</t>
  </si>
  <si>
    <t>prestar servicios profesionales en la dirección de autoevaluación y acreditación apoyando la consolidación, verificación y actualización de documentos asociados al proceso de aseguramiento de la calidad académica; apoyando la gestión administrativa de la dirección.</t>
  </si>
  <si>
    <t>25</t>
  </si>
  <si>
    <t>2021-01-18 17:34:30.0</t>
  </si>
  <si>
    <t>prestar servicios profesionales en la dirección de autoevaluación y acreditación para apoyar la construcción de los documentos maestros con miras a renovación de registro calificado de programas de ciencias administrativas, económicas y contables e ingeniería.</t>
  </si>
  <si>
    <t>26</t>
  </si>
  <si>
    <t>2021-01-18 17:35:11.0</t>
  </si>
  <si>
    <t>prestar servicios profesionales en la dirección de autoevaluación y acreditación creando entornos virtuales y recursos digitales para la difusión de los procesos de aseguramiento de la calidad académica.</t>
  </si>
  <si>
    <t>27</t>
  </si>
  <si>
    <t>2021-01-18 17:37:36.0</t>
  </si>
  <si>
    <t>prestar servicios profesionales en la dirección de autoevaluación y acreditación para realizar la corrección de estilo y verificación de aspectos técnicos de documentos maestros que se remiten al ministerio de educación nacional en el marco de los procesos de registro calificado y de acreditación, así como los documentos académicos asociados a los procesos de aseguramiento de la calidad académica</t>
  </si>
  <si>
    <t>28</t>
  </si>
  <si>
    <t>2021-01-18 17:38:08.0</t>
  </si>
  <si>
    <t>apertura fondo renovable no. 1 vigencia 2021 - dirección de autoevaluación y acreditación.</t>
  </si>
  <si>
    <t>45</t>
  </si>
  <si>
    <t>2021-01-22 19:00:49.0</t>
  </si>
  <si>
    <t>prestar servicios profesionales en la dirección de autoevaluación y acreditación apoyando la construcción y verificación de condiciones de calidad en el proceso de obtención y renovación de registro calificado de programas académicos vigencia 2021.</t>
  </si>
  <si>
    <t>96</t>
  </si>
  <si>
    <t>2021-02-08 19:04:19.0</t>
  </si>
  <si>
    <t>prestar servicios profesionales en la dirección de autoevaluación y acreditación apoyando los procesos de registro calificado y obtención de condiciones institucionales de calidad para la universidad de cundinamarca.</t>
  </si>
  <si>
    <t>97</t>
  </si>
  <si>
    <t>2021-02-08 19:04:56.0</t>
  </si>
  <si>
    <t>prestar servicios profesionales en la dirección de autoevaluación y acreditación apoyando la construcción y verificación de condiciones de calidad en el proceso de acreditación de programas académicos vigencia 2021</t>
  </si>
  <si>
    <t>98</t>
  </si>
  <si>
    <t>2021-02-08 19:05:27.0</t>
  </si>
  <si>
    <t>prestar servicios profesionales en la dirección de autoevaluación y acreditación desarrollando el soporte estratégico documental en los procesos de obtención y renovación de registro calificado de programas académicos de la universidad de cundinamarca.</t>
  </si>
  <si>
    <t>99</t>
  </si>
  <si>
    <t>2021-02-08 19:05:52.0</t>
  </si>
  <si>
    <t>prestar servicios profesionales en la dirección de autoevaluación y acreditación para implementar estrategias de seguimiento y soporte a los procesos de obtención y renovación de registro calificado de programas académicos y el cumplimiento de las condiciones de calidad institucional.</t>
  </si>
  <si>
    <t>100</t>
  </si>
  <si>
    <t>2021-02-08 19:06:17.0</t>
  </si>
  <si>
    <t>prestar servicios profesionales para la construcción de documentos estrategicos, asesoria y acompañ;amiento en los procesos de obtención, renovación y/o modificacion de registro calificado que adelanta la dirección de autoevaluación de la ucundinamarca en los respectivos lugares de desarrollo.</t>
  </si>
  <si>
    <t>159</t>
  </si>
  <si>
    <t>2021-02-26 15:49:55.0</t>
  </si>
  <si>
    <t>prestar servicios profesionales brindando asesoria y acompañ;amiento en los procesos de obtención, renovación y/o modificacion de registro calificado y acreditación de programas modalidad presencial y virtual, en coherencia con la normatividad vigente y lineamientos de la dirección de autoevaluación y acreditación.</t>
  </si>
  <si>
    <t>2021-02-26 15:52:02.0</t>
  </si>
  <si>
    <t>prestar servicios profesionales en la dirección de autoevaluación y acreditación para apoyar en la construcción, orientación, verificación de procesos de aseguramiento de la calidad académica en coherencia con la normativa del ministerio de educación y lineamientos institucionales</t>
  </si>
  <si>
    <t>252</t>
  </si>
  <si>
    <t>2021-05-13 11:47:27.0</t>
  </si>
  <si>
    <t>otrosi 01 al anexo de personal académico no. 031 de 2021 cuyo objeto contractual es "prestar servicios profesionales en la dirección de autoevaluación y acreditación para implementar estrategias de seguimiento y soporte a los procesos de obtención y renovación de registro calificado de programas académicos y el cumplimiento de las condiciones de calidad institucional."</t>
  </si>
  <si>
    <t>255</t>
  </si>
  <si>
    <t>2021-05-13 13:08:08.0</t>
  </si>
  <si>
    <t>prestar servicios profesionales en la direccion de autoevaluacion y acreditacion para implementar estrategias de seguimiento y soporte a los procesos de obtencion y renovacion de registro calificado de programas academicos y el cumplimiento de las condiciones de calidad institucional</t>
  </si>
  <si>
    <t>270</t>
  </si>
  <si>
    <t>2021-06-04 09:52:00.0</t>
  </si>
  <si>
    <t>prestar servicios profesionales en la direccion de autoevaluacion y acreditacion apoyando los procesos de registro calificado y obtencion de condiciones institucionales de calidad para la universidad de cundinamarca</t>
  </si>
  <si>
    <t>271</t>
  </si>
  <si>
    <t>2021-06-04 09:53:02.0</t>
  </si>
  <si>
    <t>prestar servicios profesionales en la direccion de autoevaluacion y acreditacion, para apoyar el proceso de seguimiento y acompañ;amiento en la ejecucion de planes de mejoramiento derivados del proceso de autoevaluacion en programas academicos</t>
  </si>
  <si>
    <t>278</t>
  </si>
  <si>
    <t>2021-06-04 09:59:57.0</t>
  </si>
  <si>
    <t>prestar servicios profesionales en la direccion de autoevaluacion y acreditacion para apoyar en la construccion, orientacion, verificacion de procesos de aseguramiento de la calidad academica en coherencia con la normativa del ministerio de educacion y lineamientos institucionales</t>
  </si>
  <si>
    <t>280</t>
  </si>
  <si>
    <t>2021-06-04 10:02:21.0</t>
  </si>
  <si>
    <t>prestar servicios profesionales en la dirección de autoevaluación y acreditación apoyando las actividades de gestión estratégica mediante la elaboración y consolidación de los diferentes documentos asociados a los procesos de la dirección</t>
  </si>
  <si>
    <t>290</t>
  </si>
  <si>
    <t>2021-06-09 15:27:07.0</t>
  </si>
  <si>
    <t>prestar servicios profesionales desarrollando soporte academico en los procesos de obtencion, renovacion y/o modificacion de registro calificado de programas, en coherencia con la normatividad vigente y lineamientos institucionales</t>
  </si>
  <si>
    <t>292</t>
  </si>
  <si>
    <t>2021-06-09 15:29:48.0</t>
  </si>
  <si>
    <t>prestar servicios profesionales en la direccion de autoevaluacion y acreditacion para apoyar la construccion de los documentos maestros con miras a renovacion de registro calificado de programas de ciencias administrativas, economicas y contables e ingenieria</t>
  </si>
  <si>
    <t>294</t>
  </si>
  <si>
    <t>2021-06-09 15:31:27.0</t>
  </si>
  <si>
    <t>prestar servicios profesionales en la direccion de autoevaluacion y acreditacion desarrollando el soporte estrategico documental en los procesos de obtencion y renovacion de registro calificado de programas academicos de la universidad de cundinamarca</t>
  </si>
  <si>
    <t>295</t>
  </si>
  <si>
    <t>2021-06-09 15:32:22.0</t>
  </si>
  <si>
    <t>prestar servicios profesionales en la direccion de autoevaluacion y acreditacion para apoyar la construccion de los documentos maestros con miras a la obtencion de registros calificados de programas academicos</t>
  </si>
  <si>
    <t>296</t>
  </si>
  <si>
    <t>2021-06-09 15:32:53.0</t>
  </si>
  <si>
    <t>prestar servicios profesionales para desarrollar estudios y medicion del valor agregado, analitica de procesos de autoevaluacion de los programas academicos por cada unidad regional y facultad</t>
  </si>
  <si>
    <t>297</t>
  </si>
  <si>
    <t>2021-06-09 15:33:35.0</t>
  </si>
  <si>
    <t>prestar servicios profesionales en la direccion de autoevaluacion y acreditacion apoyando la construccion y verificacion de condiciones de calidad en el proceso de obtencion y renovacion de registro calificado de programas academicos vigencia 2021</t>
  </si>
  <si>
    <t>299</t>
  </si>
  <si>
    <t>2021-06-09 15:35:04.0</t>
  </si>
  <si>
    <t>prestar servicios profesionales en la dirección de autoevaluación y acreditación apoyando la consolidación, verificación y actualización de documentos asociados al proceso de aseguramiento de la calidad académica; apoyando la gestión administrativa de la dirección</t>
  </si>
  <si>
    <t>300</t>
  </si>
  <si>
    <t>2021-06-09 15:35:43.0</t>
  </si>
  <si>
    <t>prestar servicios profesionales en la direccion de autoevaluacion y acreditacion brindando apoyo a la gestion y el aseguramiento de la calidad a traves del desarrollo de procesos estrategicos</t>
  </si>
  <si>
    <t>301</t>
  </si>
  <si>
    <t>2021-06-09 15:37:49.0</t>
  </si>
  <si>
    <t>prestar servicios profesionales en la direccion de autoevaluacion y acreditacion apoyando la construccion y verificacion de condiciones de calidad en el proceso de acreditacion de programas academicos vigencia 2021</t>
  </si>
  <si>
    <t>302</t>
  </si>
  <si>
    <t>2021-06-09 15:38:35.0</t>
  </si>
  <si>
    <t>prestar servicios profesionales para la construccion de documentos estrategicos, asesoria y acompañ;amiento en los procesos de obtencion, renovacion y/o modificacion de registro calificado que adelanta la direccion de autoevaluacion de la ucundinamarca en los respectivos lugares de desarrollo</t>
  </si>
  <si>
    <t>303</t>
  </si>
  <si>
    <t>2021-06-09 15:39:26.0</t>
  </si>
  <si>
    <t>prestar servicios profesionales en la direccion de autoevaluacion y acreditacion brindando asesoria en la construccion de instrumentos y documentos asociados al proceso de autoevaluacion institucional</t>
  </si>
  <si>
    <t>317</t>
  </si>
  <si>
    <t>2021-06-09 21:01:46.0</t>
  </si>
  <si>
    <t>prestar servicios profesionales brindando asesoria y acompañ;amiento en los procesos de obtencion, renovacion y/o modificacion de registro calificado y acreditacion de programas modalidad presencial y virtual, en coherencia con la normatividad vigente y lineamientos de la direccion de autoevaluacion y acreditacion</t>
  </si>
  <si>
    <t>318</t>
  </si>
  <si>
    <t>2021-06-09 21:02:25.0</t>
  </si>
  <si>
    <t>prestar servicios profesionales en la escuela de formación y aprendizaje docente para estructurar y gestionar el desarrollo de los circuitos de formación, evaluación e innovación, en el marco de los procesos de aseguramiento de la calidad de los aprendizajes que desarrolla la efad.</t>
  </si>
  <si>
    <t>33</t>
  </si>
  <si>
    <t>2021-01-18 17:43:56.0</t>
  </si>
  <si>
    <t>prestar servicios profesionales en la escuela de formación y aprendizaje docente gestionando los recursos educativos digitales requeridos para el diseñ;o e implementación de los campos de aprendizaje disciplinar de programas resignificados curricularmente.</t>
  </si>
  <si>
    <t>34</t>
  </si>
  <si>
    <t>2021-01-22 09:00:21.0</t>
  </si>
  <si>
    <t>prestar servicios profesionales en la escuela de formación y aprendizaje docente gestionando el desarrollo de aplicativo para sistematizar las experiencias derivadas de la implementación de los circuitos de formación dirigidos a profesores de la universidad de cundinamarca.</t>
  </si>
  <si>
    <t>35</t>
  </si>
  <si>
    <t>2021-01-22 09:01:37.0</t>
  </si>
  <si>
    <t>prestar servicios profesionales en la escuela de formación y aprendizaje docente estructurando el desarrollo e implementación de los servicios de atención y orientación a profesores en el marco de la implementación del plan de aprendizaje digital.</t>
  </si>
  <si>
    <t>36</t>
  </si>
  <si>
    <t>2021-01-22 09:02:40.0</t>
  </si>
  <si>
    <t>prestar servicios profesionales en la escuela de formación y aprendizaje docente apoyando el desarrollo de recursos, metodologías y estrategias para implementar los campos de aprendizaje disciplinar.</t>
  </si>
  <si>
    <t>37</t>
  </si>
  <si>
    <t>2021-01-22 09:03:36.0</t>
  </si>
  <si>
    <t>prestar servicios profesionales en la escuela de formación y aprendizaje docente gestionando, sistematizando analíticas académicas y acompañ;amiento a profesores en el marco de los circuitos de formación e innovación.</t>
  </si>
  <si>
    <t>39</t>
  </si>
  <si>
    <t>2021-01-22 09:06:11.0</t>
  </si>
  <si>
    <t>prestar servicios profesionales en la escuela de formación y aprendizaje docente apoyando la sistematización de datos y analítica académica, en el marco de los procesos realizados en los circuitos de formación, aprendizaje e innovación desarrollados por la escuela de formación docente de la universidad de cundinamarca.</t>
  </si>
  <si>
    <t>40</t>
  </si>
  <si>
    <t>2021-01-22 09:08:39.0</t>
  </si>
  <si>
    <t>prestar servicios profesionales en la escuela de formación y aprendizaje docente de la ucundinamarca para implementar piezas gráficas, micrositio, videotutoriales y recursos educativos digitales requeridos en el desarrollo de los circuitos de evaluación, formación e innovación.</t>
  </si>
  <si>
    <t>41</t>
  </si>
  <si>
    <t>2021-01-22 09:10:14.0</t>
  </si>
  <si>
    <t>prestar servicios profesionales en la escuela de formación y aprendizaje docente elaborando la sistematización de experiencias pedagógicas asociadas a la implementación de los circuitos de formación, evaluación e innovación realizados a través del proceso de cualificación a profesores.</t>
  </si>
  <si>
    <t>42</t>
  </si>
  <si>
    <t>2021-01-22 09:11:31.0</t>
  </si>
  <si>
    <t>prestar servicios profesionales en la escuela de formación y aprendizaje docente apoyando el diseñ;o e implementación de los campos de aprendizaje disciplinar de los programas resignificados curricularmente.</t>
  </si>
  <si>
    <t>43</t>
  </si>
  <si>
    <t>2021-01-22 09:12:29.0</t>
  </si>
  <si>
    <t>prestar servicios profesionales en la escuela de formación y aprendizaje docente apoyando la implementación de la mesa de ayuda para asesorar a los profesores y monitores adscritos a la escuela de formación docente, en el diseñ;o e implementación de los planes de aprendizaje digital elaborados en el marco de los circuitos de formación.</t>
  </si>
  <si>
    <t>46</t>
  </si>
  <si>
    <t>2021-01-22 19:11:26.0</t>
  </si>
  <si>
    <t>prestar servicios profesionales en la escuela de formación y aprendizaje docente gestionando el diseñ;o e implementación de entornos virtuales requeridos en los campos de aprendizaje disciplinar de programas académicos resignificados curricularmente</t>
  </si>
  <si>
    <t>160</t>
  </si>
  <si>
    <t>2021-02-26 15:50:34.0</t>
  </si>
  <si>
    <t>prestar servicios profesionales en la escuela de formacion y aprendizaje docente para desarrollar contenidos de tipo grafico (imagen - video) y recursos educativos digitales, que soporten las estrategias ejecutadas dentro de los circuitos de formacion, evaluacion e innovacion y otras actividades adelantadas en el area.</t>
  </si>
  <si>
    <t>161</t>
  </si>
  <si>
    <t>2021-02-26 15:51:22.0</t>
  </si>
  <si>
    <t>prestar servicios profesionales en la escuela de formacion y aprendizaje docente gestionando, sistematizando analiticas academicas y acompañ;amiento a profesores en el marco de los circuitos de formacion e innovacion</t>
  </si>
  <si>
    <t>2021-03-10 08:49:23.0</t>
  </si>
  <si>
    <t>prestar servicios profesionales en la escuela de formacion y aprendizaje docente gestionando el desarrollo de aplicativo para sistematizar las experiencias derivadas de la implementacion de los circuitos de formacion dirigidos a profesores de la universidad de cundinamarca</t>
  </si>
  <si>
    <t>201</t>
  </si>
  <si>
    <t>2021-03-18 12:07:43.0</t>
  </si>
  <si>
    <t>apertura caja menor no. 1 - escuela de formación y aprendizaje docente, vigencia 2021.</t>
  </si>
  <si>
    <t>209</t>
  </si>
  <si>
    <t>2021-04-05 16:16:57.0</t>
  </si>
  <si>
    <t>prestar servicios profesionales en la escuela de formación y aprendizaje docente apoyando la sistematización de datos y analítica académica, en el marco de los procesos realizados en los circuitos de formación, aprendizaje e innovación desarrollados por la escuela de formación docente de la universidad de cundinamarca</t>
  </si>
  <si>
    <t>253</t>
  </si>
  <si>
    <t>2021-05-13 11:48:17.0</t>
  </si>
  <si>
    <t>otrosi 01 al anexo de personal académico no. 003 de 2021 cuyo objeto contractual es "prestar servicios profesionales en la escuela de formación y aprendizaje docente para estructurar y gestionar el desarrollo de los circuitos de formación, evaluación e innovación, en el marco de los procesos de aseguramiento de la calidad de los aprendizajes que desarrolla la efad.a</t>
  </si>
  <si>
    <t>258</t>
  </si>
  <si>
    <t>2021-05-19 18:31:59.0</t>
  </si>
  <si>
    <t>otrosi 01 al anexo de personal académico no. 017 de 2021 cuyo objeto contractual es "prestar servicios profesionales en la escuela de formación y aprendizaje docente apoyando la implementación de la mesa de ayuda para asesorar a los profesores y monitores adscritos a la escuela de formación docente, en el diseñ;o e implementación de los planes de aprendizaje digital elaborados en el marco de los circuitos de formación.a</t>
  </si>
  <si>
    <t>260</t>
  </si>
  <si>
    <t>2021-05-19 18:34:30.0</t>
  </si>
  <si>
    <t>prestar servicios profesionales en la escuela de formacion y aprendizaje docente para estructurar y gestionar el desarrollo de los circuitos de formacion, evaluacion e innovacion, en el marco de los procesos de aseguramiento de la calidad de los aprendizajes que desarrolla la efad.</t>
  </si>
  <si>
    <t>267</t>
  </si>
  <si>
    <t>2021-06-04 09:44:13.0</t>
  </si>
  <si>
    <t>prestar servicios profesionales en la escuela de formacion y aprendizaje docente apoyando el desarrollo de recursos, metodologias y estrategias para implementar los campos de aprendizaje disciplinar</t>
  </si>
  <si>
    <t>268</t>
  </si>
  <si>
    <t>2021-06-04 09:46:10.0</t>
  </si>
  <si>
    <t>prestar servicios profesionales en la escuela de formacion y aprendizaje docente gestionando el diseñ;o e implementacion de entornos virtuales requeridos en los campos de aprendizaje disciplinar de programas academicos resignificados curricularmente</t>
  </si>
  <si>
    <t>269</t>
  </si>
  <si>
    <t>2021-06-04 09:48:21.0</t>
  </si>
  <si>
    <t>prestar servicios profesionales en la escuela de formacion y aprendizaje docente gestionando los recursos educativos digitales requeridos para el diseñ;o e implementacion de los campos de aprendizaje disciplinar de programas resignificados curricularmente</t>
  </si>
  <si>
    <t>272</t>
  </si>
  <si>
    <t>2021-06-04 09:53:52.0</t>
  </si>
  <si>
    <t>prestar servicios profesionales en la escuela de formacion y aprendizaje docente estructurando el desarrollo e implementacion de los servicios de atencion y orientacion a profesores en el marco de la implementacion del plan de aprendizaje digital</t>
  </si>
  <si>
    <t>273</t>
  </si>
  <si>
    <t>2021-06-04 09:54:47.0</t>
  </si>
  <si>
    <t>prestar servicios profesionales en la escuela de formacion y aprendizaje docente para desarrollar contenidos de tipo grafico (imagen - video) y recursos educativos digitales, que soporten las estrategias ejecutadas dentro de los circuitos de formacion, evaluacion e innovacion y otras actividades adelantadas en el area</t>
  </si>
  <si>
    <t>274</t>
  </si>
  <si>
    <t>2021-06-04 09:56:46.0</t>
  </si>
  <si>
    <t>prestar servicios profesionales en la escuela de formacion y aprendizaje docente de la ucundinamarca para implementar piezas graficas, micrositio, videotutoriales y recursos educativos digitales requeridos en el desarrollo de los circuitos de evaluacion, formacion e innovacion</t>
  </si>
  <si>
    <t>275</t>
  </si>
  <si>
    <t>2021-06-04 09:57:26.0</t>
  </si>
  <si>
    <t>276</t>
  </si>
  <si>
    <t>2021-06-04 09:58:43.0</t>
  </si>
  <si>
    <t>prestar servicios profesionales en la escuela de formacion y aprendizaje docente elaborando la sistematizacion de experiencias pedagogicas asociadas a la implementacion de los circuitos de formacion, evaluacion e innovacion realizados a traves del proceso de cualificacion a profesores</t>
  </si>
  <si>
    <t>277</t>
  </si>
  <si>
    <t>2021-06-04 09:59:14.0</t>
  </si>
  <si>
    <t>279</t>
  </si>
  <si>
    <t>2021-06-04 10:01:10.0</t>
  </si>
  <si>
    <t>prestar servicios profesionales en la escuela de formacion y aprendizaje docente apoyando la sistematizacion de datos y analitica academica, en el marco de los procesos realizados en los circuitos de formacion, aprendizaje e innovacion desarrollados por la escuela de formacion docente de la universidad de cundinamarca</t>
  </si>
  <si>
    <t>281</t>
  </si>
  <si>
    <t>2021-06-04 10:03:04.0</t>
  </si>
  <si>
    <t>prestar servicios profesionales en la escuela de formacion y aprendizaje docente apoyando el diseñ;o e implementacion de los campos de aprendizaje disciplinar de los programas resignificados curricularmente</t>
  </si>
  <si>
    <t>282</t>
  </si>
  <si>
    <t>2021-06-04 10:03:35.0</t>
  </si>
  <si>
    <t>prestar servicios profesionales en la escuela de formacion y aprendizaje docente para gestionar el acompañ;amiento, construccion y retroalimentacion en el diseñ;o de campos de aprendizaje derivados de los procesos de resignificacion curricular de programas academicos de la universidad de cundinamarca</t>
  </si>
  <si>
    <t>291</t>
  </si>
  <si>
    <t>2021-06-09 15:29:04.0</t>
  </si>
  <si>
    <t>prestar servicios profesionales en la escuela de formacion y aprendizaje docente apoyando la implementacion de la mesa de ayuda para asesorar a los profesores y monitores adscritos a la escuela de formacion docente, en el diseñ;o e implementacion de los planes de aprendizaje digital elaborados en el marco de los circuitos de formacion</t>
  </si>
  <si>
    <t>293</t>
  </si>
  <si>
    <t>2021-06-09 15:30:47.0</t>
  </si>
  <si>
    <t>prestar servicios profesionales para realizar la correccion de estilo y verificacion de aspectos tecnicos de documentos estrategicos en el marco de los procesos misionales que adelanta la efad</t>
  </si>
  <si>
    <t>298</t>
  </si>
  <si>
    <t>2021-06-09 15:34:17.0</t>
  </si>
  <si>
    <t>prestar servicios profesionales en la escuela de formacion y aprendizaje docente para la verificacion, seguimiento y despliegue de circuitos de formacion, innovacion y evaluacion, requeridos en el desarrollo de procesos de formacion profesoral</t>
  </si>
  <si>
    <t>316</t>
  </si>
  <si>
    <t>2021-06-09 21:00:52.0</t>
  </si>
  <si>
    <t>prestar servicios estructuración y parametrización de los indicadores estratégicos del plan de acción 2020-2023 de acuerdo al plan de desarrollo de la universidad de cundinamarca.</t>
  </si>
  <si>
    <t>54</t>
  </si>
  <si>
    <t>2021-01-28 09:02:41.0</t>
  </si>
  <si>
    <t>prestar servicios en la estructuración y parametrización de los indicadores estratégicos del plan de acción 2020-2023 de acuerdo al plan de desarrollo de la universidad de cundinamarca.</t>
  </si>
  <si>
    <t>323</t>
  </si>
  <si>
    <t>2021-06-11 09:26:38.0</t>
  </si>
  <si>
    <t>prestar servicios como profesional en lenguas modernas para liderar el fortalecimiento de la internacionalización en los programas y el desarrollo de las políticas del eje estratégico -dialogando con el mundo-, que requiera la universidad de cundinamarca con el fin de asegurar la calidad educativa de la misma.</t>
  </si>
  <si>
    <t>17</t>
  </si>
  <si>
    <t>2021-01-18 17:25:58.0</t>
  </si>
  <si>
    <t xml:space="preserve">prestar servicios como profesional para apoyar al líder de la oficina de relaciones internacionales en el desarrollo de las políticas del eje estratégico a¿dialogando con el mundoa¿, que requiera la universidad de cundinamarca con el fin de asegurar la calidad educativa de la misma. </t>
  </si>
  <si>
    <t>80</t>
  </si>
  <si>
    <t>2021-02-02 12:01:00.0</t>
  </si>
  <si>
    <t>prestar servicios para liderar el proceso de articulación e implementación de la política de educación superior inclusiva declarada en la universidad de cundinamarca con cada una de las áreas misionales y administrativas. para el ipa 2021</t>
  </si>
  <si>
    <t>18</t>
  </si>
  <si>
    <t>2021-01-18 17:27:08.0</t>
  </si>
  <si>
    <t>prestación de servicios profesionales en la dirección de interacción social universitaria para apoyar el diseñ;o de recursos educativos digitales, piezas publicitarias y entornos virtuales para la difusión de los proyectos de interacción social</t>
  </si>
  <si>
    <t>19</t>
  </si>
  <si>
    <t>2021-01-18 17:28:32.0</t>
  </si>
  <si>
    <t>prestación de servicios profesionales en la dirección de interacción social universitaria para apoyar el mercadeo, divulgación y gestión de educación continuada, proyectos sociales y voluntariado de la universidad de cundinamarca.</t>
  </si>
  <si>
    <t>29</t>
  </si>
  <si>
    <t>2021-01-18 17:39:54.0</t>
  </si>
  <si>
    <t>prestar servicios profesionales en la dirección de interacción social universitaria apoyando la sistematización y digitalización de los procesos de interacción social universitaria en coherencia con el sistema de gestión de la calidad y política de interacción social.</t>
  </si>
  <si>
    <t>30</t>
  </si>
  <si>
    <t>2021-01-18 17:41:02.0</t>
  </si>
  <si>
    <t>prestar servicios profesionales en la dirección de interacción social universitaria, apoyando el desarrollo de los lineamientos  de responsabilidad social universitaria en coherencia con el medit y políticas institucionales</t>
  </si>
  <si>
    <t>31</t>
  </si>
  <si>
    <t>2021-01-18 17:41:43.0</t>
  </si>
  <si>
    <t>prestar servicios profesionales en la direccion de interaccion social universitaria, apoyando el desarrollo misional y operativo de las areas de la direccion de interaccion social universitaria</t>
  </si>
  <si>
    <t>32</t>
  </si>
  <si>
    <t>2021-01-18 17:42:43.0</t>
  </si>
  <si>
    <t>prestación de servicios para la implementación de analítica y resultados derivados de los campos de aprendizaje cultural de la universidad de cundinamarca</t>
  </si>
  <si>
    <t>38</t>
  </si>
  <si>
    <t>2021-01-22 09:05:12.0</t>
  </si>
  <si>
    <t>fondo renovable no. 1 de la vigencia 2021 de la dirección de interacción social universitaria</t>
  </si>
  <si>
    <t>59</t>
  </si>
  <si>
    <t>2021-01-28 17:12:33.0</t>
  </si>
  <si>
    <t>prestar servicios profesionales en la dirección de interacción social universitaria gestionando la suscripción, sistematización y analítica de resultados derivados de convenios académicos.</t>
  </si>
  <si>
    <t>2021-02-10 14:46:34.0</t>
  </si>
  <si>
    <t>prestar servicios profesionales para la gestión de voluntariado y laboratorio de innovación social</t>
  </si>
  <si>
    <t>245</t>
  </si>
  <si>
    <t>2021-04-29 09:30:41.0</t>
  </si>
  <si>
    <t>adquirir servicios de consultoría para implementar la norma 3000-1 modelo empresa familiarmente responsable en el sector educativo</t>
  </si>
  <si>
    <t>257</t>
  </si>
  <si>
    <t>2021-05-19 16:19:52.0</t>
  </si>
  <si>
    <t>adquirir servicios de formación para implementar la norma 3000-1 modelo empresa familiarmente responsable en el sector educativo</t>
  </si>
  <si>
    <t>259</t>
  </si>
  <si>
    <t>2021-05-19 18:33:56.0</t>
  </si>
  <si>
    <t>prestar servicios prestar servicios profesionales en la direccion de interaccion social universitaria, apoyando el desarrollo misional y operativo de las areas de la direccion de interaccion social universitaria</t>
  </si>
  <si>
    <t>283</t>
  </si>
  <si>
    <t>2021-06-08 09:57:26.0</t>
  </si>
  <si>
    <t>285</t>
  </si>
  <si>
    <t>2021-06-08 10:00:46.0</t>
  </si>
  <si>
    <t>286</t>
  </si>
  <si>
    <t>2021-06-08 10:01:35.0</t>
  </si>
  <si>
    <t>287</t>
  </si>
  <si>
    <t>2021-06-08 10:02:23.0</t>
  </si>
  <si>
    <t>prestar servicios profesionales en la dirección de interacción social universitaria, apoyando el desarrollo de los lineamientos de responsabilidad social universitaria en coherencia con el medit y políticas institucionales</t>
  </si>
  <si>
    <t>289</t>
  </si>
  <si>
    <t>2021-06-09 15:26:05.0</t>
  </si>
  <si>
    <t>prestar servicios profesionales en la dirección de interacción social universitaria apoyando la sistematización y digitalización de los procesos, en coherencia con el sistema de gestión de la calidad y política de interacción social universitaria</t>
  </si>
  <si>
    <t>313</t>
  </si>
  <si>
    <t>2021-06-09 17:36:09.0</t>
  </si>
  <si>
    <t>prestar servicios profesionales para la gestio de voluntariado y laboratorio de innovacion social</t>
  </si>
  <si>
    <t>320</t>
  </si>
  <si>
    <t>2021-06-10 12:37:12.0</t>
  </si>
  <si>
    <t>339</t>
  </si>
  <si>
    <t>2021-06-15 15:19:37.0</t>
  </si>
  <si>
    <t>vacaciones personal termino fijo dirección de bienestar universitario</t>
  </si>
  <si>
    <t>15</t>
  </si>
  <si>
    <t>2021-01-13 18:08:07.0</t>
  </si>
  <si>
    <t>198</t>
  </si>
  <si>
    <t>2021-03-12 11:45:36.0</t>
  </si>
  <si>
    <t>vacaciones personal termino fijo bienestar universitario iipa 2021</t>
  </si>
  <si>
    <t>305</t>
  </si>
  <si>
    <t>2021-06-09 15:42:26.0</t>
  </si>
  <si>
    <t>prestar servicios profesionales para brindar asesoría y acompañ;amiento en la ejecución de proyectos de investigación aprobados en convocatorias externas</t>
  </si>
  <si>
    <t>66</t>
  </si>
  <si>
    <t>2021-01-28 21:01:38.0</t>
  </si>
  <si>
    <t>prestar servicios profesionales para brindar apoyo y acompañ;amiento en el desarrollo de las actividades establecidas en el procedimiento grupos de investigación de la universidad de cundinamarca, a fin de contribuir en el reconocimiento y categorización, entre otras actividades de fortalecimiento a la investigación</t>
  </si>
  <si>
    <t>67</t>
  </si>
  <si>
    <t>2021-01-28 21:05:07.0</t>
  </si>
  <si>
    <t>prestar servicios profesionales como metróloga para contribuir y realizar la verificación de las mediciones, unidades de medida y de los equipos utilizados en el desarrollo de proyectos de investigación.</t>
  </si>
  <si>
    <t>68</t>
  </si>
  <si>
    <t>2021-01-28 21:05:35.0</t>
  </si>
  <si>
    <t>prestar servicios profesionales para brindar apoyo y acompañ;amiento en el desarrollo de las actividades establecidas en el  procedimiento proyectos de investigación, asi como contribuir en el seguimiento de proyectos de interes institucional y convocatorias internas, entre otras actividades de fortalecimiento a la investigación</t>
  </si>
  <si>
    <t>69</t>
  </si>
  <si>
    <t>2021-01-28 21:07:18.0</t>
  </si>
  <si>
    <t>prestar servicios para brindar apoyo y acompañ;amiento en el desarrollo de las actividades establecidas en el procedimiento semilleros de_x000D_
investigación de la universidad de cundinamarca, entre otras actividades de fortalecimiento a la investigación.</t>
  </si>
  <si>
    <t>70</t>
  </si>
  <si>
    <t>2021-01-28 21:07:55.0</t>
  </si>
  <si>
    <t>prestar servicios profesionales como corrector de estilo de la universidad de cundinamarca</t>
  </si>
  <si>
    <t>71</t>
  </si>
  <si>
    <t>2021-01-28 21:08:25.0</t>
  </si>
  <si>
    <t>prestar servicios como investigador para desarrollar, ejecutar y contribuir en la presentación proyectos de investigación en la facultad de ingenieria</t>
  </si>
  <si>
    <t>72</t>
  </si>
  <si>
    <t>2021-01-28 21:16:56.0</t>
  </si>
  <si>
    <t>prestar servicios profesionales como asesor juridico de la universidad de cundinamarca, para contribuir en el desarrollo y ejecucion de programas y proyectos de investigacion internos y externos.</t>
  </si>
  <si>
    <t>73</t>
  </si>
  <si>
    <t>2021-01-28 21:20:07.0</t>
  </si>
  <si>
    <t>prestar servicios profesionales como diseñ;ador gráfico para brindar apoyo y acompañ;amiento en el procedimiento editorial del proceso de ciencia, tecnología e innovación, entre otras actividades de fortalecimiento a la investigación</t>
  </si>
  <si>
    <t>74</t>
  </si>
  <si>
    <t>2021-01-28 21:20:41.0</t>
  </si>
  <si>
    <t>prestar servicios profesionales para el manejo de portal web dirección de investigación y administración del sello editorial de la universidad de cundinamarca, el sistema de revistas de la universidad y el apoyo del sistema de gestión de la calidad del proceso ciencia, tecnología e innovación entre otras actividades de fortalecimiento a la investigación</t>
  </si>
  <si>
    <t>75</t>
  </si>
  <si>
    <t>2021-01-28 21:21:24.0</t>
  </si>
  <si>
    <t>prestar servicios profesionales como investigadora para desarrollar y ejecutar los proyectos presentados y aprobados en convocatorias internas y proyectos de interés_x000D_
institucional de la universidad de cundinamarca, a fin de fortalecer e incrementar la productividad científica y tecnológica, entre otras actividades de ciencia, tecnología e_x000D_
innovación.</t>
  </si>
  <si>
    <t>2021-02-24 09:53:17.0</t>
  </si>
  <si>
    <t>prestar los servicios profesionales como investigador para desarrollar y ejecutar los proyectos presentados y aprobados en convocatorias internas y/o externas, y, proyectos_x000D_
de interés institucional de la universidad de cundinamarca, contribuyendo a la generación de productos de ciencia, tecnología e innovación, preferiblemente de tipo_x000D_
propiedad intelectual, y, fortaleciendo el grupo de investigación fitomejoramiento y biotecnología de cultivos del sumapaz.</t>
  </si>
  <si>
    <t>2021-02-24 09:55:10.0</t>
  </si>
  <si>
    <t>prestar los servicios profesionales como investigador para desarrollar y ejecutar los proyectos presentados en convocatorias externas y en convocatoria conjunta unalaudec, a_x000D_
fin de fortalecer e incrementar la productividad científica y tecnologica de la universidad de cundinamarca.</t>
  </si>
  <si>
    <t>2021-03-04 21:35:25.0</t>
  </si>
  <si>
    <t xml:space="preserve">prestar servicios profesionales para brinda apoyo y acompañ;amiento al proceso de ciencia, tecnología e innovación en el cumplimiento de metas y objetivos._x000D_
</t>
  </si>
  <si>
    <t>2021-03-04 21:37:14.0</t>
  </si>
  <si>
    <t>prestar servicios para brindar apoyo y acompañ;amiento en la ejecución financiera de proyectos de investigación de interés institucional y aprobados en convocatorias internas, externas y del sgr. (ipa2021).</t>
  </si>
  <si>
    <t>191</t>
  </si>
  <si>
    <t>2021-03-11 11:29:49.0</t>
  </si>
  <si>
    <t>prestar servicios profesionales para brindar apoyo y acompañ;amiento en el desarrollo de las actividades establecidas en el procedimiento grupos de investigación de la_x000D_
universidad de cundinamarca, a fin de contribuir en el reconocimiento y categorización, entre otras actividades de fortalecimiento a la investigación</t>
  </si>
  <si>
    <t>264</t>
  </si>
  <si>
    <t>2021-06-01 12:01:46.0</t>
  </si>
  <si>
    <t>prestar servicios profesionales para brindar apoyo y acompañ;amiento a los grupos de investigación e investigadores de la universidad de cundinamarca para la participación_x000D_
en la convocatoria nacional para el reconocimiento y medición de grupos de investigación desarrollo tecnológico o de innovación y para el reconocimiento de investigadores del sistema nacional de ciencia, tecnología e innovación - snctei 2021, según los términos de referencias y sus anexos</t>
  </si>
  <si>
    <t>265</t>
  </si>
  <si>
    <t>2021-06-01 12:02:46.0</t>
  </si>
  <si>
    <t>prestar servicios profesionales de economista para apoyar el mantenimiento del_x000D_
sistema de gestión de la calidad y las actividades de alistamiento para la certificación_x000D_
de las normas relacionadas con el sistema de gestión de la calidad de la universidad_x000D_
de cundinamarca.</t>
  </si>
  <si>
    <t>2021-01-08 15:24:59.0</t>
  </si>
  <si>
    <t>prestar servicios profesionales como ingeniera en procesos industriales para apoyar_x000D_
el mantenimiento del sistema de gestión de la calidad y las actividades de alistamiento_x000D_
para la certificación de las normas relacionadas con el sistema de gestión de la_x000D_
calidad de la universidad de cundinamarca.</t>
  </si>
  <si>
    <t>2</t>
  </si>
  <si>
    <t>2021-01-08 15:25:23.0</t>
  </si>
  <si>
    <t>prestar servicios profesionales de ingeniero industrial para asesorar y realizar gestión_x000D_
de las actividades de alistamiento para la certificación de los sistemas integrados de_x000D_
gestión de la calidad de la universidad de cundinamarca.</t>
  </si>
  <si>
    <t>3</t>
  </si>
  <si>
    <t>2021-01-08 15:29:14.0</t>
  </si>
  <si>
    <t>prestar servicios de apoyo para realizar la digitalizacon y soporte de los tramites procesos y procedimientos administrativos de la universidad de cundinamarca.</t>
  </si>
  <si>
    <t>2021-03-02 21:42:14.0</t>
  </si>
  <si>
    <t>prestar servicios profesionales de economista para apoyar el mantenimiento del sistema de gestión de la calidad y las actividades de alistamiento para la certificación de las normas relacionadas con el sistema de gestión de la calidad de la universidad de cundinamarca</t>
  </si>
  <si>
    <t>319</t>
  </si>
  <si>
    <t>2021-06-10 12:36:22.0</t>
  </si>
  <si>
    <t>prestar servicios de apoyo para realizar la digitalizacion y soporte de los tramites procesos y procedimientos administrativos de la universidad de cundinamarca</t>
  </si>
  <si>
    <t>321</t>
  </si>
  <si>
    <t>2021-06-10 12:39:58.0</t>
  </si>
  <si>
    <t>prestar servicios profesionales como ingeniera en procesos industriales para apoyar el mantenimiento del sistema de gestión de la calidad y las actividades de alistamiento para la certificación de las normas relacionadas con el sistema de gestión de la calidad de la universidad de cundinamarca.</t>
  </si>
  <si>
    <t>322</t>
  </si>
  <si>
    <t>2021-06-11 09:24:11.0</t>
  </si>
  <si>
    <t>prestar servicios profesionales de ingeniero industrial para asesorar y realizar gestión de las actividades de alistamiento para la certificación de los sistemas integrados de gestión de la calidad de la universidad de cundinamarca</t>
  </si>
  <si>
    <t>336</t>
  </si>
  <si>
    <t>2021-06-11 15:53:27.0</t>
  </si>
  <si>
    <t>prestar servicios profesionales en el acompañ;amiento de los aspectos tecnológicos y pedagógicos de la administración y uso de la plataforma de gestión de aprendizaje institucional de los proyectos educativos llevados a cabo en el marco del medit por la oficina de educación virtual y a distancia de la universidad de cundinamarca.</t>
  </si>
  <si>
    <t>61</t>
  </si>
  <si>
    <t>2021-01-28 18:30:57.0</t>
  </si>
  <si>
    <t>prestar servicios profesionales para realizar la administración del servidor de la plataforma educativa institucional y el acompañ;amiento en la implementación y uso de la misma según los proyectos educativos llevados a cabo en el marco del medit por la oficina de educación virtual y a distancia de la universidad de cundinamarca.</t>
  </si>
  <si>
    <t>62</t>
  </si>
  <si>
    <t>2021-01-28 18:31:59.0</t>
  </si>
  <si>
    <t>prestar servicios profesionales para llevar a cabo la consolidación e implementación de estrategias pedagógicas, comunicativas y de gestión en la dinamización del laboratorio profesor siglo 21, según los proyectos educativos llevados a cabo en el marco del medit por la oficina de educación virtual y a distancia de la universidad de cundinamarca.</t>
  </si>
  <si>
    <t>63</t>
  </si>
  <si>
    <t>2021-01-28 18:32:33.0</t>
  </si>
  <si>
    <t>prestar sus servicios profesionales en la realización del diseñ;o pedagógico e instruccional propio del proceso de virtualización de contenidos educativos, y diseñ;ar las estrategias, desde lo pedagógico, de los proyectos educativos llevados a cabo en el marco del medit por la oficina de educación virtual y a distancia de la universidad de cundinamarca.</t>
  </si>
  <si>
    <t>64</t>
  </si>
  <si>
    <t>2021-01-28 18:33:48.0</t>
  </si>
  <si>
    <t>prestar servicios profesionales para desarrollar y brindar soporte del backend y frontend de los recursos educativos digitales que conformen los proyectos educativos llevados a cabo en el marco del medit por la oficina de educación virtual y a distancia de la universidad de cundinamarca.</t>
  </si>
  <si>
    <t>65</t>
  </si>
  <si>
    <t>2021-01-28 18:35:33.0</t>
  </si>
  <si>
    <t>prestar sus servicios profesionales en la elaboración y revisión de los documentos que conformen los proyectos educativos llevados a cabo en el marco del medit por la oficina de educación virtual y a distancia de la universidad de cundinamarca.</t>
  </si>
  <si>
    <t>76</t>
  </si>
  <si>
    <t>2021-01-29 15:37:40.0</t>
  </si>
  <si>
    <t xml:space="preserve">prestar servicios profesionales para diseñ;ar la línea gráfica de los proyectos asignados, así como el diseñ;o del material gráfico, desarrollo y soporte del backend y frontend y montaje en moodle de los recursos educativos digitales que conformen los proyectos educativos llevados a cabo en el marco del medit por la oficina de educación virtual y a distancia de la universidad de cundinamarca. </t>
  </si>
  <si>
    <t>2021-02-08 19:06:42.0</t>
  </si>
  <si>
    <t>prestar sus servicios profesionales en la gestión de los proyectos de virtualización de contenidos educativos, desde la fase de análisis hasta su implementación, llevados a cabo en el marco del medit por la oficina de educación virtual y a distancia de la universidad de cundinamarca</t>
  </si>
  <si>
    <t>2021-02-12 09:49:54.0</t>
  </si>
  <si>
    <t>prestar servicios profesionales para la realización, revisión y actualización de las producciones audiovisuales que conformen los proyectos educativos llevados a cabo en el marco del medit por la oficina de educación virtual y a distancia de la universidad de cundinamarca.</t>
  </si>
  <si>
    <t>2021-03-03 21:32:52.0</t>
  </si>
  <si>
    <t>prestar servicios en el soporte tecnológico y pedagógico de los proyectos educativos llevados a cabo en el marco del medit por la oficina de educación virtual y a distancia de la universidad de cundinamarca</t>
  </si>
  <si>
    <t>233</t>
  </si>
  <si>
    <t>2021-04-21 21:45:16.0</t>
  </si>
  <si>
    <t>prestar sus servicios profesionales en la gestión de los proyectos de virtualización de contenidos educativos, desde la fase de análisis hasta su implementación, llevados a cabo en el marco del medit por la oficina de educación virtual y a distancia de la universidad de cundinamarca.</t>
  </si>
  <si>
    <t>342</t>
  </si>
  <si>
    <t>2021-06-16 11:34:03.0</t>
  </si>
  <si>
    <t>343</t>
  </si>
  <si>
    <t>2021-06-17 16:18:43.0</t>
  </si>
  <si>
    <t>análisis gap (análisis de brechas) con los requisitos dela norma iso37001:2016</t>
  </si>
  <si>
    <t>2021-02-16 18:14:02.0</t>
  </si>
  <si>
    <t>contratar consultoria para el diseñ;o y puesta en marcha de un plan para asegurar la continuidad del negocio.</t>
  </si>
  <si>
    <t>223</t>
  </si>
  <si>
    <t>2021-04-15 15:25:12.0</t>
  </si>
  <si>
    <t>173</t>
  </si>
  <si>
    <t>2021-03-03 21:48:43.0</t>
  </si>
  <si>
    <t>contratar la auditoria de otorgamiento de tercera parte segun la norma iso 9001:2015 para el sistema de gestion de la calidad de la universidad de cundinamarca</t>
  </si>
  <si>
    <t>202</t>
  </si>
  <si>
    <t>2021-03-19 09:57:53.0</t>
  </si>
  <si>
    <t>adquisición base de datos virtual pro para los programas que oferta la universidad de cundinamarca en su sede, seccionales y extensiones.</t>
  </si>
  <si>
    <t>2021-02-24 09:50:24.0</t>
  </si>
  <si>
    <t>adquisición base de datos especializada en normas técnicas colombianas para los programas que oferta la universidad de cundinamarca en su sede, seccionales y extensiones</t>
  </si>
  <si>
    <t>2021-02-24 09:51:05.0</t>
  </si>
  <si>
    <t>adquisición base de datos multidisciplinar para los programas de administración de empresas, contaduría pública e ingenierías que oferta la universidad de cundinamarca en su sede, seccionales y extensiones</t>
  </si>
  <si>
    <t>2021-03-02 16:05:43.0</t>
  </si>
  <si>
    <t>adquisición biblioteca digital editorial especializada para el programa de administración de empresas y enfermería que oferta la universidad de cundinamarca en su sede, seccionales y extensiones</t>
  </si>
  <si>
    <t>2021-03-02 16:09:14.0</t>
  </si>
  <si>
    <t>adquisición biblioteca digital especializada para la facultad de educación de la universidad de cundinamarca.</t>
  </si>
  <si>
    <t>217</t>
  </si>
  <si>
    <t>2021-04-12 16:52:29.0</t>
  </si>
  <si>
    <t>adquisición recurso electrónico especializado para el programa de música que oferta la universidad de cundinamarca en la extensión zipaquirá</t>
  </si>
  <si>
    <t>236</t>
  </si>
  <si>
    <t>2021-04-23 10:46:57.0</t>
  </si>
  <si>
    <t>adquisición base de datos ieee/iet electronic library- ebsco para las bibliotecas de la universidad de cundinamarca en su sede, seccionales y extensiones.</t>
  </si>
  <si>
    <t>309</t>
  </si>
  <si>
    <t>2021-06-09 16:11:34.0</t>
  </si>
  <si>
    <t xml:space="preserve">adquisición base de datos proquest para las bibliotecas de la universidad de cundinamarca en su sede, seccionales y extensiones._x000D_
</t>
  </si>
  <si>
    <t>310</t>
  </si>
  <si>
    <t>2021-06-09 17:29:55.0</t>
  </si>
  <si>
    <t xml:space="preserve">adquisición base de datos especializada en estatutos y jurisprudencia biblioteca en línea de libros y revistas en analítica jurídica para las bibliotecas de la universidad de cundinamarca en su sede, seccionales y extensiones_x000D_
</t>
  </si>
  <si>
    <t>341</t>
  </si>
  <si>
    <t>2021-06-16 11:33:04.0</t>
  </si>
  <si>
    <t>adquisición a plataforma dspace y sistema handle para el repositorio institucional de la universidad de cundinamarca en su sede seccionales y extensiones</t>
  </si>
  <si>
    <t>214</t>
  </si>
  <si>
    <t>2021-04-12 16:49:18.0</t>
  </si>
  <si>
    <t>adquisición sistema de gestión bibliotecaria para las bibliotecas de la universidad de cundinamarca.</t>
  </si>
  <si>
    <t>215</t>
  </si>
  <si>
    <t>2021-04-12 16:50:04.0</t>
  </si>
  <si>
    <t>adquisición de ezproxy- intelproxy (gesezp) en la nube y suscripción al certificado de seguridad wildcard por un añ;o para las bibliotecas de la universidad de cundinamarca en su sede, seccionales y extensiones</t>
  </si>
  <si>
    <t>216</t>
  </si>
  <si>
    <t>2021-04-12 16:50:40.0</t>
  </si>
  <si>
    <t>adquisición base de datos multidisciplinar, referencial y de citas bibliográficas para los programas que oferta la universidad de cundinamarca en su sede, seccionales y extensiones</t>
  </si>
  <si>
    <t>219</t>
  </si>
  <si>
    <t>2021-04-15 15:11:25.0</t>
  </si>
  <si>
    <t>adquisición base de datos biomédica especializada para el programa de enfermería que oferta la universidad de cundinamarca en la seccional girardot</t>
  </si>
  <si>
    <t>220</t>
  </si>
  <si>
    <t>2021-04-15 15:18:20.0</t>
  </si>
  <si>
    <t>adquisición plataforma electrónica de datos científicos en textos completos multidisciplinar para los programas que oferta la universidad de cundinamarca en su sede, seccionales y extensiones</t>
  </si>
  <si>
    <t>221</t>
  </si>
  <si>
    <t>2021-04-15 15:21:05.0</t>
  </si>
  <si>
    <t>adquisición plataforma interactiva con contenidos científicos especializados para la facultad de ingeniería que oferta la universidad de cundinamarca en su sede, seccionales y extensiones</t>
  </si>
  <si>
    <t>222</t>
  </si>
  <si>
    <t>2021-04-15 15:24:49.0</t>
  </si>
  <si>
    <t xml:space="preserve">adquisición de licencia de derechos de autor para el servicio de reprografía que ofrece la biblioteca central de la universidad de cundinamarca._x000D_
</t>
  </si>
  <si>
    <t>312</t>
  </si>
  <si>
    <t>2021-06-09 17:34:46.0</t>
  </si>
  <si>
    <t>servicio de publicaciones seriadas especializadas multidisciplinares en formato on-line para los programas que oferta la universidad de cundinamarca en su sede, seccionales y extensiones.</t>
  </si>
  <si>
    <t>311</t>
  </si>
  <si>
    <t>2021-06-09 17:30:36.0</t>
  </si>
  <si>
    <t xml:space="preserve">isbn- ismn para publicaciones no periodicas (libros, cartillas, libros de trexto, entre otros), producidas a traves de la editorial de la universidad de cundinamarca </t>
  </si>
  <si>
    <t>158</t>
  </si>
  <si>
    <t>2021-02-26 15:46:50.0</t>
  </si>
  <si>
    <t>renovación servicio de soporte y mantenimiento de la plataforma open journal system (ojs) por un (1) añ;o, para garantizar la preservación, gestión y visibilización de la_x000D_
producción intelectual de la universidad de cundinamarca, así como la marcación en xml de los artículos de las revistas ciencias agropecuarias, pensamiento udecino y_x000D_
caminos educativos.</t>
  </si>
  <si>
    <t>228</t>
  </si>
  <si>
    <t>2021-04-19 10:34:12.0</t>
  </si>
  <si>
    <t xml:space="preserve">_x000D_
adquisición de suscripción al banco de imagenes, para apoyo en los diseñ;os y publicaciones de la editorial de la universidad de cundinamarca_x000D_
</t>
  </si>
  <si>
    <t>246</t>
  </si>
  <si>
    <t>2021-05-03 10:00:23.0</t>
  </si>
  <si>
    <t xml:space="preserve">adquisición de la licencia pitstop por un añ;o para ajustes de pdf y finalización de archivos para impresión que se realicen a traves de la editorial de la universidad de cundinamarca_x000D_
</t>
  </si>
  <si>
    <t>247</t>
  </si>
  <si>
    <t>2021-05-03 10:00:58.0</t>
  </si>
  <si>
    <t xml:space="preserve">adquisición de dos (2) licencias acrobat pro dc para realizar actividades de la editorial de la universidad de cundinamarca._x000D_
</t>
  </si>
  <si>
    <t>248</t>
  </si>
  <si>
    <t>2021-05-03 10:01:48.0</t>
  </si>
  <si>
    <t>prestar servicios para el desarrollo del aplicativo del banco de proyectos de la universidad de cundinamarca</t>
  </si>
  <si>
    <t>324</t>
  </si>
  <si>
    <t>2021-06-11 09:27:26.0</t>
  </si>
  <si>
    <t>realizar el pago del mantenimiento de la licencia del software para la automatización de procesos en la universidad de cundinamarca.</t>
  </si>
  <si>
    <t>261</t>
  </si>
  <si>
    <t>2021-05-24 10:14:36.0</t>
  </si>
  <si>
    <t>realizacion de pruebas de brucelosis tuberculosis a los semovientes bovinos y ovinos en las unidades agroambientales de la universidad de cundinamarca</t>
  </si>
  <si>
    <t>249</t>
  </si>
  <si>
    <t>2021-05-06 09:59:48.0</t>
  </si>
  <si>
    <t>prestar servicios como ingeniero civil para diseñ;ar, estructurar, revisar y conceptuar sobre proyectos de inversión universitaria y proyectos de regalías, fomento o ante entidades nacionales o departamentales bajo metodología mml y mga, en la dirección de planeación institucional.</t>
  </si>
  <si>
    <t>50</t>
  </si>
  <si>
    <t>2021-01-27 10:50:30.0</t>
  </si>
  <si>
    <t>51</t>
  </si>
  <si>
    <t>2021-01-27 10:50:56.0</t>
  </si>
  <si>
    <t>prestar servicios como ingeniero civil para diseñ;ar, estructurar, revisar y conceptuar sobre proyectos de inversión universitaria y proyectos de regalias, fomento o ante entidades nacionales o departamentales bajo metodologia mml y mga, en la direccion de planeacion institucional.</t>
  </si>
  <si>
    <t>337</t>
  </si>
  <si>
    <t>2021-06-11 16:33:50.0</t>
  </si>
  <si>
    <t>actualización, fortalecimiento e implementación de la infraestructura wlan de la universidad de cundinamarca extensión chía</t>
  </si>
  <si>
    <t>284</t>
  </si>
  <si>
    <t>2021-06-08 10:00:09.0</t>
  </si>
  <si>
    <t xml:space="preserve">servicio de desinfección o desodorización (fumigación) de los depósitos de los archivos sede, seccionales, extensiones y oficina de bogotá de la universidad de cundinamarca </t>
  </si>
  <si>
    <t>2021-02-24 17:41:13.0</t>
  </si>
  <si>
    <t>pago inscripcion de estudiantes pertenecientes a semilleros de investigación para garantizar su participación en el xix encuentro regional de semilleros de investigación redcolsi nodo bogotá a cundinamarca.</t>
  </si>
  <si>
    <t>227</t>
  </si>
  <si>
    <t>2021-04-16 09:18:47.0</t>
  </si>
  <si>
    <t>inscripción de docente para participar como ponente en el iii congreso en ingeniería geomática.</t>
  </si>
  <si>
    <t>251</t>
  </si>
  <si>
    <t>2021-05-06 10:01:07.0</t>
  </si>
  <si>
    <t>pago contra factura por concepto de renovación aportes patrimoniales actividades ecr, uso de codigo de barras.</t>
  </si>
  <si>
    <t>91</t>
  </si>
  <si>
    <t>2021-02-04 16:23:29.0</t>
  </si>
  <si>
    <t>renovacion del soporte de la licencia oracle version 12c de la universidad de cundinamarca</t>
  </si>
  <si>
    <t>2021-02-12 09:49:28.0</t>
  </si>
  <si>
    <t>renovacion de la plataforma de salas de videconferencia, suscripción por un añ;o</t>
  </si>
  <si>
    <t>2021-03-03 09:11:01.0</t>
  </si>
  <si>
    <t>suscripción del servicio licenciamiento (microsoft campus agreement - ess) educativa para la universidad de cundinamarca</t>
  </si>
  <si>
    <t>2021-03-08 12:21:24.0</t>
  </si>
  <si>
    <t>adquisicion de unidades de certificados ssl (secure sockets layer), para los servicios web de la universidad de cundinamarca</t>
  </si>
  <si>
    <t>207</t>
  </si>
  <si>
    <t>2021-04-05 14:30:03.0</t>
  </si>
  <si>
    <t>adquisición del licenciamiento de antivirus para los equipos de cómputo de la universidad de cundinamarca en su sede, seccionales y extensiones.</t>
  </si>
  <si>
    <t>256</t>
  </si>
  <si>
    <t>2021-05-19 16:17:29.0</t>
  </si>
  <si>
    <t>57</t>
  </si>
  <si>
    <t>2021-01-28 17:05:13.0</t>
  </si>
  <si>
    <t>prestar servicio como personal académico para la consolidación, activación, divulgación y apertura del programa doctorado en ciencias de la educación, así como consolidar la línea de investigación del proyecto doctoral; pedagogías, paz y poblaciones resilientes mediante trabajo y producción investigativa.</t>
  </si>
  <si>
    <t>230</t>
  </si>
  <si>
    <t>2021-04-21 17:54:26.0</t>
  </si>
  <si>
    <t xml:space="preserve">aunar esfuerzos financieros y académicos entre las partes para desarrollar el programa fulbright english teaching assitants (eta) para la movilidad académica de tres (3) asistente(s) estadounidense(s) para la enseñ;anza en el idioma inglés en la universidad de cundinamarca. _x000D_
_x000D_
</t>
  </si>
  <si>
    <t>212</t>
  </si>
  <si>
    <t>2021-04-07 12:39:31.0</t>
  </si>
  <si>
    <t xml:space="preserve">sueldo basico personal - apoyo profesional especializado para la gestión de servicios de ti y el soporte externo a la plataforma institucional de la universidad de cundinamarca. </t>
  </si>
  <si>
    <t>8</t>
  </si>
  <si>
    <t>2021-01-08 18:30:44.0</t>
  </si>
  <si>
    <t xml:space="preserve">contratacion de personal termino fijo concepto sueldo basico personal - apoyo profesional especializado para la gestión de servicios de ti y el soporte externo a la plataforma institucional de la universidad de cundinamarca </t>
  </si>
  <si>
    <t>2021-02-10 14:48:05.0</t>
  </si>
  <si>
    <t>335</t>
  </si>
  <si>
    <t>2021-06-11 15:24:39.0</t>
  </si>
  <si>
    <t>sueldo básico personal vinculación termino fijo dirección de bienestar universitario</t>
  </si>
  <si>
    <t>12</t>
  </si>
  <si>
    <t>2021-01-13 18:06:17.0</t>
  </si>
  <si>
    <t xml:space="preserve">sueldo básico personal vinculación termino fijo dirección de bienestar universitario	</t>
  </si>
  <si>
    <t>195</t>
  </si>
  <si>
    <t>2021-03-12 11:43:19.0</t>
  </si>
  <si>
    <t>sueldo basico personal bienestar universitario iipa 2021</t>
  </si>
  <si>
    <t>307</t>
  </si>
  <si>
    <t>2021-06-09 15:44:26.0</t>
  </si>
  <si>
    <t>vacaciones - apoyo profesional especializado para la gestión de servicios de ti y el soporte externo a la plataforma institucional de la universidad de cundinamarca.</t>
  </si>
  <si>
    <t>10</t>
  </si>
  <si>
    <t>2021-01-08 18:32:02.0</t>
  </si>
  <si>
    <t xml:space="preserve">contratacion de personal termino fijo concepto vacaciones - apoyo profesional especializado para la gestión de servicios de ti y el soporte externo a la plataforma institucional de la universidad de cundinamarca </t>
  </si>
  <si>
    <t>2021-02-10 14:50:32.0</t>
  </si>
  <si>
    <t xml:space="preserve">vacaciones -apoyo profesional especializado para la gestión de servicios de ti y el soporte externo a la plataforma institucional de la universidad de cundinamarca. </t>
  </si>
  <si>
    <t>333</t>
  </si>
  <si>
    <t>2021-06-11 15:22:42.0</t>
  </si>
  <si>
    <t xml:space="preserve">fondo renovable no 1 de direccion de sistemas y tecnologia - concepto de viaticos </t>
  </si>
  <si>
    <t>340</t>
  </si>
  <si>
    <t>2021-06-15 15:20:02.0</t>
  </si>
  <si>
    <t>PORCENTAJE DE AVANCE</t>
  </si>
  <si>
    <t>porcentaje de avance</t>
  </si>
  <si>
    <t>prestar servicios para la creacion de contenidos definiendo estrategias digitales</t>
  </si>
  <si>
    <t>81</t>
  </si>
  <si>
    <t>2021-02-03 10:36:27.0</t>
  </si>
  <si>
    <t>prestar servicios profesionales en marketing digital para generar estrategias de posicionamiento institucional</t>
  </si>
  <si>
    <t>82</t>
  </si>
  <si>
    <t>2021-02-03 10:36:55.0</t>
  </si>
  <si>
    <t>prestar servicios como desarrollador web y tiendas virtuales</t>
  </si>
  <si>
    <t>83</t>
  </si>
  <si>
    <t>2021-02-03 10:37:35.0</t>
  </si>
  <si>
    <t xml:space="preserve">prestar servicios analisis de tendencias en redes sociales, generar metricas, supervision de los resultados de campañ;as en redes sociales._x000D_
</t>
  </si>
  <si>
    <t>2021-02-24 00:00:00.0</t>
  </si>
  <si>
    <t>prestar servicios diseñ;adora digital para generar contenido gráfico publicitario y promocionar que apoye la estrategia de marketing digital de la universidad de cundinamarca.</t>
  </si>
  <si>
    <t>192</t>
  </si>
  <si>
    <t>2021-03-12 11:37:39.0</t>
  </si>
  <si>
    <t>servicios de publicidad y marketing en redes sociales.</t>
  </si>
  <si>
    <t>193</t>
  </si>
  <si>
    <t>2021-03-12 11:39:41.0</t>
  </si>
  <si>
    <t>Fecha BP</t>
  </si>
  <si>
    <t>12-01-2021</t>
  </si>
  <si>
    <t>18-01-2021</t>
  </si>
  <si>
    <t>26-01-2021</t>
  </si>
  <si>
    <t>19-01-2021</t>
  </si>
  <si>
    <t>01-02-2021</t>
  </si>
  <si>
    <t>13-01-2021</t>
  </si>
  <si>
    <t>25-01-2021</t>
  </si>
  <si>
    <t>01-03-2021</t>
  </si>
  <si>
    <t>03-03-2021</t>
  </si>
  <si>
    <t>12-03-2021</t>
  </si>
  <si>
    <t>01-06-2021</t>
  </si>
  <si>
    <t>19-03-2021</t>
  </si>
  <si>
    <t>26-05-2021</t>
  </si>
  <si>
    <t>24-03-2021</t>
  </si>
  <si>
    <t>26-03-2021</t>
  </si>
  <si>
    <t>18-06-2021</t>
  </si>
  <si>
    <t>01-07-2021</t>
  </si>
  <si>
    <t>04-03-2021</t>
  </si>
  <si>
    <t>30-04-2021</t>
  </si>
  <si>
    <t>10-03-2021</t>
  </si>
  <si>
    <t>06-07-2021</t>
  </si>
  <si>
    <t>12-04-2021</t>
  </si>
  <si>
    <t>EN TRAMITE</t>
  </si>
  <si>
    <t>19-04-2021</t>
  </si>
  <si>
    <t>28-04-2021</t>
  </si>
  <si>
    <t xml:space="preserve">EN TRAMITE </t>
  </si>
  <si>
    <t>20-05-2021</t>
  </si>
  <si>
    <t>14-05-2021</t>
  </si>
  <si>
    <t>22-04-2021</t>
  </si>
  <si>
    <t>15-06-2021</t>
  </si>
  <si>
    <t>09-06-2021</t>
  </si>
  <si>
    <t>03-06-2021</t>
  </si>
  <si>
    <t>28-06-2021</t>
  </si>
  <si>
    <t>02-07-2021</t>
  </si>
  <si>
    <t>11-06-2021</t>
  </si>
  <si>
    <t>08-03-2021</t>
  </si>
  <si>
    <t>26-04-2021</t>
  </si>
  <si>
    <t>21-05-2021</t>
  </si>
  <si>
    <t>06-05-2021</t>
  </si>
  <si>
    <t>17-06-2021</t>
  </si>
  <si>
    <t>06-04-2021</t>
  </si>
  <si>
    <t>22-01-2021</t>
  </si>
  <si>
    <t>29-01-2021</t>
  </si>
  <si>
    <t>05-02-2021</t>
  </si>
  <si>
    <t>08-02-2021</t>
  </si>
  <si>
    <t>12-02-2021</t>
  </si>
  <si>
    <t>16-02-2021</t>
  </si>
  <si>
    <t>26-02-2021</t>
  </si>
  <si>
    <t>09-03-2021</t>
  </si>
  <si>
    <t>N. de certificación BP</t>
  </si>
  <si>
    <t>N. de cdp</t>
  </si>
  <si>
    <t>Fecha cdp</t>
  </si>
  <si>
    <t>Valor CDP</t>
  </si>
  <si>
    <t>Fecha RP</t>
  </si>
  <si>
    <t>Valor rp</t>
  </si>
  <si>
    <t>02-06-2021</t>
  </si>
  <si>
    <t>10-06-2021</t>
  </si>
  <si>
    <t>15-01-2021</t>
  </si>
  <si>
    <t>161 177 178
198 199 200
201 203 522
555 558</t>
  </si>
  <si>
    <t xml:space="preserve">19-01-2021
20-01-2021
01-02-2021
</t>
  </si>
  <si>
    <t>17-03-2021</t>
  </si>
  <si>
    <t>1865 1866 1867 1868 1869 1870 1872 1873 1874 1913 1914</t>
  </si>
  <si>
    <t>23-03-2021
05-04-2021</t>
  </si>
  <si>
    <t>2702 2860 2861 2863 2979 2980 2981 2982</t>
  </si>
  <si>
    <t>18-06-2021 
30-06-2021
02-07-2021</t>
  </si>
  <si>
    <t>161 177 178
198 199 200
201 203 522
555 557</t>
  </si>
  <si>
    <t>161 177 178
198 199 200
201 203 522
555 559</t>
  </si>
  <si>
    <t>161 177 178
198 199 200
201 203 522
555 556</t>
  </si>
  <si>
    <t>20-01-2021</t>
  </si>
  <si>
    <t>161 177 178
198 199 200
201 203 522
555 560</t>
  </si>
  <si>
    <t>03-02-2021</t>
  </si>
  <si>
    <t>02-02-2021</t>
  </si>
  <si>
    <t>04-02-2021</t>
  </si>
  <si>
    <t>15-02-2021</t>
  </si>
  <si>
    <t>10-02-2021</t>
  </si>
  <si>
    <t>09-02-2021</t>
  </si>
  <si>
    <t>11-02-2021</t>
  </si>
  <si>
    <t>25-03-2021</t>
  </si>
  <si>
    <t>05-04-2021</t>
  </si>
  <si>
    <t>11-03-2021</t>
  </si>
  <si>
    <t>15-03-2021</t>
  </si>
  <si>
    <t>16-03-2021</t>
  </si>
  <si>
    <t>18-02-2021</t>
  </si>
  <si>
    <t>04-05-2021</t>
  </si>
  <si>
    <t>18-03-2021</t>
  </si>
  <si>
    <t>11-01-2021</t>
  </si>
  <si>
    <t>05-05-2021</t>
  </si>
  <si>
    <t>13-05-2021</t>
  </si>
  <si>
    <t>12-07-2021</t>
  </si>
  <si>
    <t>02-03-2021</t>
  </si>
  <si>
    <t>23-03-2021</t>
  </si>
  <si>
    <t>09-07-2021</t>
  </si>
  <si>
    <t>2329 2330 2347 2469 2470 2744 2745 3232</t>
  </si>
  <si>
    <t>20-05-2021
25-05-2021
31-05-2021
28-06-2021
13-07-2021</t>
  </si>
  <si>
    <t>29-04-2021</t>
  </si>
  <si>
    <t>03-05-2021</t>
  </si>
  <si>
    <t>11-05-2021</t>
  </si>
  <si>
    <t>22-02-2021</t>
  </si>
  <si>
    <t>23-02-2021</t>
  </si>
  <si>
    <t>14-07-2021</t>
  </si>
  <si>
    <t>27-01-2021</t>
  </si>
  <si>
    <t>13-04-2021</t>
  </si>
  <si>
    <t>adquisición de bienes necesarios para el proceso de sensibilización, difusión y socialización de los procesos de formación docente derivados de la implementación de los circuitos de formación, innovación y evaluación declarados en la escuela de formación y aprendizaje docente de la universidad de cundinamarca.</t>
  </si>
  <si>
    <t>DEPENDENCIA</t>
  </si>
  <si>
    <t>VALOR TOTAL ASIGNADO</t>
  </si>
  <si>
    <t>VALOR EJECUTADO BANCO DE PROYECTOS</t>
  </si>
  <si>
    <t>VALOR EN CDPS</t>
  </si>
  <si>
    <t>PORCENTAJE DE AVANCE EN CDPS</t>
  </si>
  <si>
    <t>PORCENTAJE DE AVANCE EN RPS</t>
  </si>
  <si>
    <t>UNIDAD DE APOYO ACADÉMICO</t>
  </si>
  <si>
    <t>BIENES Y SERVICIOS</t>
  </si>
  <si>
    <t>DESARROLLO ACADÉMICO</t>
  </si>
  <si>
    <t>DIRECCIÓN DE PLANEACIÓN</t>
  </si>
  <si>
    <t>EDUCACIÓN VIRTUAL Y A DISTANCIA</t>
  </si>
  <si>
    <t xml:space="preserve">ESCUELA DE FORMACIÓN Y APRENDIZAJE DOCENTE EFAD </t>
  </si>
  <si>
    <t>POSGRADOS</t>
  </si>
  <si>
    <t>SEGURIDAD Y SALUD EN EL TRABAJO</t>
  </si>
  <si>
    <t>TOTALES</t>
  </si>
  <si>
    <t>VALOR EN RPS</t>
  </si>
  <si>
    <t>05-03-2021</t>
  </si>
  <si>
    <t>15-04-2021</t>
  </si>
  <si>
    <t>28-05-2021</t>
  </si>
  <si>
    <t>20-04-2021</t>
  </si>
  <si>
    <t>31-05-2021</t>
  </si>
  <si>
    <t>08-04-2021</t>
  </si>
  <si>
    <t>27-04-2021</t>
  </si>
  <si>
    <t>07-05-2021</t>
  </si>
  <si>
    <t>04-06-2021</t>
  </si>
  <si>
    <t>162 163 164 165 170 171 172 173 174 179 187 188 189 190 195 197 202 205 206 207 214 215 530 531 536 537 575 1030 2047</t>
  </si>
  <si>
    <t xml:space="preserve">19-01-2021
20-01-2021
01-02-2021
21-04-2021
11-02-2021
</t>
  </si>
  <si>
    <t>1447 1448 1518 1519 1520 1521 1522 1523 1526 1527 1528 1529 1917 1918 1919 2048</t>
  </si>
  <si>
    <t>11-03-2021
18-03-2021
06-04-2021
21-04-2023</t>
  </si>
  <si>
    <t>16-06-2021</t>
  </si>
  <si>
    <t>2669 2670 2698 2699 2700 2703 2849 2850 2851 2852 2853 2854 2855 2856 2857 2858 2968 2969 2970 2971 2972 2973 2974 2975 3012 3039 3040 3041 3070 3096 3097 3107</t>
  </si>
  <si>
    <t>18-06-2021 
30-06-2021
02-07-2021
06-07-2021</t>
  </si>
  <si>
    <t>164 165 170
172 173 174
187 188 189
190 197 202
207</t>
  </si>
  <si>
    <t xml:space="preserve">19-01-2021
20-01-2021
</t>
  </si>
  <si>
    <t>2850 2852 2853 2856 2858 2968 2969 2970 2971 2972 2975 3039 3040 3097 3107 3107</t>
  </si>
  <si>
    <t>30-06-2021
02-07-2021
06-07-2021</t>
  </si>
  <si>
    <t xml:space="preserve">163 163 164 165 170 171 172 173 174 179 187 188 189 190 195 197 202 205 206 207 214 215 530 531 536 537 575 1030 </t>
  </si>
  <si>
    <t xml:space="preserve">19-01-2021
20-01-2021
01-02-2021
11-02-2021
</t>
  </si>
  <si>
    <t>11-03-2021
18-03-2021
06-04-2021
21-04-2022</t>
  </si>
  <si>
    <t xml:space="preserve">162 163 164 165 170 171 172 173 174 179 187 188
189 190 195
197 202 205
206 207 214
215 530 531
536 537 575
1030 </t>
  </si>
  <si>
    <t>11-03-2021
18-03-2021
06-04-2021
21-04-2021</t>
  </si>
  <si>
    <t>25-02-2021</t>
  </si>
  <si>
    <t>25-05-2021</t>
  </si>
  <si>
    <t>103 1422 1446 1982 1983 2160 2272</t>
  </si>
  <si>
    <t xml:space="preserve">06-05-2021
08-03-2021
11-03-2021
14-04-2021
26-04-2021
07-05-2021
</t>
  </si>
  <si>
    <t>10-05-2021</t>
  </si>
  <si>
    <t>07-07-2021</t>
  </si>
  <si>
    <t>08-07-2021</t>
  </si>
  <si>
    <t>conep-inv-51</t>
  </si>
  <si>
    <t>PRPOAI-127</t>
  </si>
  <si>
    <t>I Fase - Diseño pedagógico y tecnológico para la creación de especializaciones y maestrías de posgrado en modalidad virtual</t>
  </si>
  <si>
    <t xml:space="preserve">Oficina de Educación Virtual y a Distancia </t>
  </si>
  <si>
    <t>180</t>
  </si>
  <si>
    <t>conep-inv-53</t>
  </si>
  <si>
    <t>PRPOAI-108</t>
  </si>
  <si>
    <t>181</t>
  </si>
  <si>
    <t xml:space="preserve">OTROS TIPOS DE EDUCACIÓN Y SERVICIOS DE APOYO EDUCATIVO </t>
  </si>
  <si>
    <t>VICERRECTORIA ACADÉMICA Inclusion</t>
  </si>
  <si>
    <t>CONEP-INV-82</t>
  </si>
  <si>
    <t>PRPOAI-122</t>
  </si>
  <si>
    <t xml:space="preserve">GESTION DE MACROPROYECTOS DE CONVOCATORIA INTERNA DE FOMENTO </t>
  </si>
  <si>
    <t>PRENDAS DE VESTIR (EXCEPTO PRENDAS DE PIEL) - POAI GESTION DE MACROPROYECTOS DE CONVCATORIA INTERNA</t>
  </si>
  <si>
    <t>LIBROS IMPRESOS - POAI GESTION DE MACROPROYECTOS DE CONVCATORIA INTERNA</t>
  </si>
  <si>
    <t>QUÍMICOS ORGÁNICOS BÁSICOS - POAI GESTION DE MACROPROYECTOS DE CONVCATORIA INTERNA</t>
  </si>
  <si>
    <t>ABONOS Y PLAGUICIDAS - POAI GESTION DE MACROPROYECTOS DE CONVCATORIA INTERNA</t>
  </si>
  <si>
    <t>OTROS PRODUCTOS PLÁSTICOS - POAI GESTION DE MACROPROYECTOS DE CONVCATORIA INTERNA</t>
  </si>
  <si>
    <t>OTROS MUEBLES N.C.P. - POAI GESTION DE MACROPROYECTOS DE CONVCATORIA INTERNA</t>
  </si>
  <si>
    <t>OTROS ARTÍCULOS MANUFACTURADOS N.C.P. - POAI GESTION DE MACROPROYECTOS DE CONVCATORIA INTERNA</t>
  </si>
  <si>
    <t>PRODUCTOS METÁLICOS ELABORADOS (EXCEPTO MAQUINARIA Y EQUIPO)  POAI GESTION DE MACROPROYECTOS DE CONVCATORIA INTERNA</t>
  </si>
  <si>
    <t>MAQUINARIA AGROPECUARIA O SILVÍCOLA Y SUS PARTES Y PIEZAS - POAI GESTION DE MACROPROYECTOS DE CONVCATORIA INTERNA</t>
  </si>
  <si>
    <t>MAQUINARIA DE INFORMÁTICA Y SUS PARTES, PIEZAS Y ACCESORIOS - POAI GESTION DE MACROPROYECTOS DE CONVCATORIA INTERNA</t>
  </si>
  <si>
    <t>LÁMPARAS ELÉCTRICAS DE INCANDESCENCIA O DESCARGA; LÁMPARAS DE ARCO, EQUIPO PARA ALUMBRADO ELÉCTRICO; SUS PARTES Y PIEZAS - POAI GESTION DE MACROPROYECTOS DE CONVCATORIA INTERNA</t>
  </si>
  <si>
    <t>PARTES Y PIEZAS DE LOS PRODUCTOS DE LAS CLASES 4721 A 4733 Y 4822 - POAI GESTION DE MACROPROYECTOS DE CONVCATORIA INTERNA</t>
  </si>
  <si>
    <t>PAQUETES DE SOFTWARE  - POAI GESTION DE MACROPROYECTOS DE CONVCATORIA INTERNA</t>
  </si>
  <si>
    <t>INSTRUMENTOS Y APARATOS DE MEDICIÓN, VERIFICACIÓN, ANÁLISIS, DE NAVEGACIÓN Y PARA OTROS FINES (EXCEPTO INSTRUMENTOS ÓPTICOS); INSTRUMENTOS DE CONTROL DE PROCESOS INDUSTRIALES, SUS PARTES, PIEZAS Y ACCESORIOS  - POAI GESTION DE MACROPROYECTOS DE CONVCATORIA INTERNA</t>
  </si>
  <si>
    <t>SERVICIOS DE VENTA AL POR MAYOR, EXCEPTO LOS PRESTADOS A CAMBIO DE UNA RETRIBUCIÓN O POR CONTRATA  - POAI GESTION DE MACROPROYECTOS DE CONVCATORIA INTERNA - POAI GESTION DE MACROPROYECTOS DE CONVCATORIA INTERNA</t>
  </si>
  <si>
    <t>SERVICIOS DE SUMINISTRO DE COMIDAS - POAI GESTION DE MACROPROYECTOS DE CONVCATORIA INTERNA - POAI GESTION DE MACROPROYECTOS DE CONVCATORIA INTERNA</t>
  </si>
  <si>
    <t>SERVICIOS DE INVESTIGACIÓN Y DESARROLLO - POAI GESTION DE MACROPROYECTOS DE CONVCATORIA INTERNA</t>
  </si>
  <si>
    <t>OTROS SERVICIOS PROFESIONALES, CIENTÍFICOS Y TÉCNICOS - POAI GESTION DE MACROPROYECTOS DE CONVCATORIA INTERNA</t>
  </si>
  <si>
    <t>SERVICIOS DE ENSAYO Y ANÁLISIS TÉCNICOS - POAI GESTION DE MACROPROYECTOS DE CONVCATORIA INTERNA</t>
  </si>
  <si>
    <t>SERVICIOS FOTOGRÁFICOS Y SERVICIOS DE REVELADO FOTOGRÁFICO- POAI GESTION DE MACROPROYECTOS DE CONVCATORIA INTERNA</t>
  </si>
  <si>
    <t>OTROS SERVICIOS PROFESIONALES Y TÉCNICOS N.C.P.- POAI GESTION DE MACROPROYECTOS DE CONVCATORIA INTERNA</t>
  </si>
  <si>
    <t>SERVICIOS DE CONTENIDOS EN LÍNEA (ON-LINE)- POAI GESTION DE MACROPROYECTOS DE CONVCATORIA INTERNA</t>
  </si>
  <si>
    <t>SERVICIOS DE EDICIÓN, IMPRESIÓN Y REPRODUCCIÓN  - POAI GESTION DE MACROPROYECTOS DE CONVCATORIA INTERNA</t>
  </si>
  <si>
    <t>OTROS TIPOS DE EDUCACIÓN Y SERVICIOS DE APOYO EDUCATIVO - POAI GESTION DE MACROPROYECTOS DE CONVCATORIA INTERNA</t>
  </si>
  <si>
    <t>SERVICIOS AUDIOVISUALES Y SERVICIOS CONEXOS - POAI GESTION DE MACROPROYECTOS DE CONVCATORIA INTERNA</t>
  </si>
  <si>
    <t>conep-inv-77</t>
  </si>
  <si>
    <t>PRPOAI-54</t>
  </si>
  <si>
    <t>Implementación de la red de difusión universitaria de la Universidad de Cundinamarca de la Seccional Ubaté</t>
  </si>
  <si>
    <t>SECCIONAL UBATE</t>
  </si>
  <si>
    <t>RADIORRECEPTORES Y RECEPTORES DE TELEVISIÓN; APARATOS PARA LA GRABACIÓN Y REPRODUCCIÓN DE SONIDO Y VIDEO; MICRÓFONOS, ALTAVOCES, AMPLIFICADORES, ETC. - POAI Implementación de la red de difusión universitaria de la Universidad de Cundinamarca de la Seccional Ubaté</t>
  </si>
  <si>
    <t>MOTORES, GENERADORES Y TRANSFORMADORES ELÉCTRICOS Y SUS PARTES Y PIEZAS - POAI Implementación de la red de difusión universitaria de la Universidad de Cundinamarca de la Seccional Ubaté</t>
  </si>
  <si>
    <t>APARATOS TRANSMISORES DE TELEVISIÓN Y RADIO; TELEVISIÓN, VIDEO Y CÁMARAS DIGITALES; TELÉFONOS - Implementación de la red de difusión universitaria de la Universidad de Cundinamarca de la Seccional Ubaté</t>
  </si>
  <si>
    <t>APARATOS DE CONTROL ELÉCTRICO Y DISTRIBUCIÓN DE ELECTRICIDAD Y SUS PARTES Y PIEZAS - POAI Implementación de la red de difusión universitaria de la Universidad de Cundinamarca de la Seccional Ubaté</t>
  </si>
  <si>
    <t>HILOS Y CABLES AISLADOS; CABLE DE FIBRA ÓPTICA - POAI Implementación de la red de difusión universitaria de la Universidad de Cundinamarca de la Seccional Ubaté</t>
  </si>
  <si>
    <t>PARTES Y PIEZAS DE LOS PRODUCTOS DE LAS CLASES 4721 A 4733 Y 4822 - POAI Implementación de la red de difusión universitaria de la Universidad de Cundinamarca de la Seccional Ubaté</t>
  </si>
  <si>
    <t>SERVICIOS DE INGENIERÍA  - POAI Implementación de la red de difusión universitaria de la Universidad de Cundinamarca de la Seccional Ubaté</t>
  </si>
  <si>
    <t>SERVICIOS DE APOYO A LA DISTRIBUCIÓN DE ELECTRICIDAD, GAS Y AGUA - Implementación de la red de difusión universitaria de la Universidad de Cundinamarca de la Seccional Ubaté</t>
  </si>
  <si>
    <t>SERVICIOS DE INSTALACIÓN DE EQUIPOS Y APARATOS DE RADIO, TELEVISIÓN Y COMUNICACIONES - POAI Implementación de la red de difusión universitaria de la Universidad de Cundinamarca de la Seccional Ubaté</t>
  </si>
  <si>
    <t>00</t>
  </si>
  <si>
    <t xml:space="preserve">EXTENSION SOACHA </t>
  </si>
  <si>
    <t>SECCIONAL GIRARDOT</t>
  </si>
  <si>
    <t>conep-inv-72</t>
  </si>
  <si>
    <t>1 FASE: Desarrollo tecnologico y recursos educativos digitales de los Campos de Aprendizaje Cultural de la Universidad de Cundinamarca</t>
  </si>
  <si>
    <t>SERVICIOS DE DISEÑO Y DESARROLLO DE LA TECNOLOGÍA DE LA INFORMACIÓN (TI) - POAI 1 FASE: Desarrollo tecnologico y recursos educativos digitales de los Campos de Aprendizaje Cultural de la Universidad de Cundinamarca</t>
  </si>
  <si>
    <t>UBATÉ</t>
  </si>
  <si>
    <t>SOACHA</t>
  </si>
  <si>
    <t>GIRARDOT</t>
  </si>
  <si>
    <t xml:space="preserve">prestar servicios profesionales para apoyar las actividades de alistamiento para la
certificación de las normas relacionadas con el sistema de gestión ambiental de la
universidad de cundinamarca, en la seccional girardot.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</si>
</sst>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quot;$&quot;* #,##0.00_);_(&quot;$&quot;* \(#,##0.00\);_(&quot;$&quot;* &quot;-&quot;??_);_(@_)"/>
    <numFmt numFmtId="165" formatCode="_-* #,##0.00\ _€_-;\-* #,##0.00\ _€_-;_-* &quot;-&quot;??\ _€_-;_-@_-"/>
    <numFmt numFmtId="166" formatCode="[$$-240A]\ #,##0"/>
    <numFmt numFmtId="167" formatCode="_(* #,##0_);_(* \(#,##0\);_(* &quot;-&quot;??_);_(@_)"/>
    <numFmt numFmtId="168" formatCode="00"/>
    <numFmt numFmtId="169" formatCode="[$$-240A]\ #,##0.00"/>
    <numFmt numFmtId="170" formatCode="###,###"/>
    <numFmt numFmtId="171" formatCode="#,##0\ _€"/>
    <numFmt numFmtId="172" formatCode="###,###,##0.00"/>
  </numFmts>
  <fonts count="27" x14ac:knownFonts="1">
    <font>
      <sz val="11"/>
      <color theme="1"/>
      <name val="Calibri"/>
      <family val="2"/>
      <scheme val="minor"/>
    </font>
    <font>
      <sz val="11"/>
      <color theme="1"/>
      <name val="Calibri"/>
      <family val="2"/>
      <scheme val="minor"/>
    </font>
    <font>
      <b/>
      <sz val="10"/>
      <color theme="0"/>
      <name val="Arial"/>
      <family val="2"/>
    </font>
    <font>
      <sz val="9"/>
      <color theme="1"/>
      <name val="Calibri"/>
      <family val="2"/>
      <scheme val="minor"/>
    </font>
    <font>
      <sz val="9"/>
      <color theme="1"/>
      <name val="Arial"/>
      <family val="2"/>
    </font>
    <font>
      <sz val="10"/>
      <name val="Arial"/>
      <family val="2"/>
    </font>
    <font>
      <b/>
      <sz val="9"/>
      <color indexed="8"/>
      <name val="Arial"/>
      <family val="2"/>
    </font>
    <font>
      <sz val="9"/>
      <color indexed="8"/>
      <name val="Arial"/>
      <family val="2"/>
    </font>
    <font>
      <b/>
      <sz val="11"/>
      <color theme="1"/>
      <name val="Calibri"/>
      <family val="2"/>
      <scheme val="minor"/>
    </font>
    <font>
      <sz val="11"/>
      <name val="Times New Roman"/>
      <family val="1"/>
    </font>
    <font>
      <b/>
      <sz val="12"/>
      <color theme="1"/>
      <name val="Calibri"/>
      <family val="2"/>
      <scheme val="minor"/>
    </font>
    <font>
      <b/>
      <sz val="14"/>
      <color theme="1"/>
      <name val="Calibri"/>
      <family val="2"/>
      <scheme val="minor"/>
    </font>
    <font>
      <b/>
      <sz val="16"/>
      <color theme="1"/>
      <name val="Calibri"/>
      <family val="2"/>
      <scheme val="minor"/>
    </font>
    <font>
      <b/>
      <sz val="14"/>
      <name val="Calibri"/>
      <family val="2"/>
      <scheme val="minor"/>
    </font>
    <font>
      <b/>
      <sz val="16"/>
      <name val="Calibri"/>
      <family val="2"/>
      <scheme val="minor"/>
    </font>
    <font>
      <b/>
      <sz val="10"/>
      <color theme="0"/>
      <name val="Century Gothic"/>
      <family val="2"/>
    </font>
    <font>
      <sz val="9"/>
      <color theme="1"/>
      <name val="Century Gothic"/>
      <family val="2"/>
    </font>
    <font>
      <sz val="11"/>
      <color theme="1"/>
      <name val="Century Gothic"/>
      <family val="2"/>
    </font>
    <font>
      <sz val="10"/>
      <color theme="1"/>
      <name val="Century Gothic"/>
      <family val="2"/>
    </font>
    <font>
      <sz val="10"/>
      <name val="Century Gothic"/>
      <family val="2"/>
    </font>
    <font>
      <b/>
      <sz val="10"/>
      <color theme="1"/>
      <name val="Century Gothic"/>
      <family val="2"/>
    </font>
    <font>
      <b/>
      <sz val="10"/>
      <name val="Century Gothic"/>
      <family val="2"/>
    </font>
    <font>
      <sz val="10"/>
      <color theme="1"/>
      <name val="Calibri"/>
      <family val="2"/>
      <scheme val="minor"/>
    </font>
    <font>
      <b/>
      <sz val="9"/>
      <color theme="1"/>
      <name val="Calibri"/>
      <family val="2"/>
      <scheme val="minor"/>
    </font>
    <font>
      <sz val="11"/>
      <color rgb="FFFF0000"/>
      <name val="Calibri"/>
      <family val="2"/>
      <scheme val="minor"/>
    </font>
    <font>
      <sz val="11"/>
      <name val="Century Gothic"/>
      <family val="2"/>
    </font>
    <font>
      <b/>
      <sz val="11"/>
      <color theme="0"/>
      <name val="Century Gothic"/>
      <family val="2"/>
    </font>
  </fonts>
  <fills count="11">
    <fill>
      <patternFill patternType="none"/>
    </fill>
    <fill>
      <patternFill patternType="gray125"/>
    </fill>
    <fill>
      <patternFill patternType="solid">
        <fgColor theme="9" tint="-0.49998474074526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xf numFmtId="9" fontId="1" fillId="0" borderId="0" applyFont="0" applyFill="0" applyBorder="0" applyAlignment="0" applyProtection="0"/>
    <xf numFmtId="164" fontId="1" fillId="0" borderId="0" applyFont="0" applyFill="0" applyBorder="0" applyAlignment="0" applyProtection="0"/>
  </cellStyleXfs>
  <cellXfs count="440">
    <xf numFmtId="0" fontId="0" fillId="0" borderId="0" xfId="0"/>
    <xf numFmtId="0" fontId="2" fillId="2" borderId="1" xfId="0" applyFont="1" applyFill="1" applyBorder="1" applyAlignment="1">
      <alignment horizontal="center" vertical="center" wrapText="1"/>
    </xf>
    <xf numFmtId="166" fontId="0" fillId="0" borderId="0" xfId="0" applyNumberFormat="1"/>
    <xf numFmtId="0" fontId="3" fillId="0" borderId="0" xfId="0" applyFont="1"/>
    <xf numFmtId="49" fontId="4" fillId="3" borderId="3" xfId="0" applyNumberFormat="1" applyFont="1" applyFill="1" applyBorder="1" applyAlignment="1">
      <alignment horizontal="center" vertical="center" wrapText="1"/>
    </xf>
    <xf numFmtId="167" fontId="4" fillId="3" borderId="3" xfId="2" applyNumberFormat="1" applyFont="1" applyFill="1" applyBorder="1" applyAlignment="1">
      <alignment horizontal="center" vertical="center" wrapText="1"/>
    </xf>
    <xf numFmtId="167" fontId="4" fillId="3" borderId="3" xfId="1"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67" fontId="4" fillId="3" borderId="3" xfId="0" applyNumberFormat="1" applyFont="1" applyFill="1" applyBorder="1" applyAlignment="1">
      <alignment horizontal="right" vertical="center"/>
    </xf>
    <xf numFmtId="167" fontId="4" fillId="4" borderId="3" xfId="2"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167" fontId="4" fillId="4" borderId="3" xfId="1"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167" fontId="4" fillId="4" borderId="3" xfId="0" applyNumberFormat="1" applyFont="1" applyFill="1" applyBorder="1" applyAlignment="1">
      <alignment horizontal="right" vertical="center"/>
    </xf>
    <xf numFmtId="0" fontId="2" fillId="2" borderId="6" xfId="0" applyFont="1" applyFill="1" applyBorder="1" applyAlignment="1">
      <alignment horizontal="center" vertical="center" wrapText="1"/>
    </xf>
    <xf numFmtId="0" fontId="0" fillId="0" borderId="0" xfId="0" applyFill="1"/>
    <xf numFmtId="0" fontId="0" fillId="0" borderId="3" xfId="0" applyFill="1" applyBorder="1"/>
    <xf numFmtId="0" fontId="0" fillId="0" borderId="3" xfId="0" applyBorder="1"/>
    <xf numFmtId="0" fontId="0" fillId="7" borderId="3" xfId="0" applyFill="1" applyBorder="1"/>
    <xf numFmtId="170" fontId="0" fillId="7" borderId="3" xfId="0" applyNumberFormat="1" applyFill="1" applyBorder="1"/>
    <xf numFmtId="0" fontId="9" fillId="9" borderId="3" xfId="0" applyFont="1" applyFill="1" applyBorder="1" applyAlignment="1">
      <alignment horizontal="left" vertical="center"/>
    </xf>
    <xf numFmtId="0" fontId="0" fillId="9" borderId="3" xfId="0" applyFill="1" applyBorder="1"/>
    <xf numFmtId="170" fontId="0" fillId="9" borderId="3" xfId="0" applyNumberFormat="1" applyFill="1" applyBorder="1"/>
    <xf numFmtId="0" fontId="8" fillId="0" borderId="0" xfId="0" applyFont="1"/>
    <xf numFmtId="167" fontId="4" fillId="0" borderId="4" xfId="1" applyNumberFormat="1" applyFont="1" applyFill="1" applyBorder="1" applyAlignment="1">
      <alignment horizontal="center" vertical="center" wrapText="1"/>
    </xf>
    <xf numFmtId="167" fontId="4" fillId="0" borderId="4" xfId="2"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67" fontId="4" fillId="0" borderId="3" xfId="1" applyNumberFormat="1" applyFont="1" applyFill="1" applyBorder="1" applyAlignment="1">
      <alignment horizontal="center" vertical="center" wrapText="1"/>
    </xf>
    <xf numFmtId="167" fontId="4" fillId="0" borderId="3" xfId="2"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right" vertical="center"/>
    </xf>
    <xf numFmtId="170" fontId="0" fillId="0" borderId="3" xfId="0" applyNumberFormat="1" applyFill="1" applyBorder="1" applyAlignment="1">
      <alignment horizontal="center" vertical="center" wrapText="1"/>
    </xf>
    <xf numFmtId="0" fontId="9" fillId="0" borderId="3" xfId="0" applyFont="1" applyFill="1" applyBorder="1" applyAlignment="1">
      <alignment horizontal="left" vertical="center"/>
    </xf>
    <xf numFmtId="9" fontId="2" fillId="2" borderId="6" xfId="5" applyFont="1" applyFill="1" applyBorder="1" applyAlignment="1">
      <alignment horizontal="center" vertical="center" wrapText="1"/>
    </xf>
    <xf numFmtId="9" fontId="0" fillId="0" borderId="3" xfId="5" applyFont="1" applyFill="1" applyBorder="1" applyAlignment="1">
      <alignment horizontal="center" vertical="center" wrapText="1"/>
    </xf>
    <xf numFmtId="9" fontId="0" fillId="0" borderId="3" xfId="5" applyFont="1" applyFill="1" applyBorder="1"/>
    <xf numFmtId="9" fontId="0" fillId="0" borderId="0" xfId="5" applyFont="1"/>
    <xf numFmtId="9" fontId="0" fillId="0" borderId="0" xfId="5" applyNumberFormat="1" applyFont="1"/>
    <xf numFmtId="9" fontId="0" fillId="0" borderId="5" xfId="5" applyNumberFormat="1" applyFont="1" applyFill="1" applyBorder="1" applyAlignment="1">
      <alignment vertical="center" wrapText="1"/>
    </xf>
    <xf numFmtId="0" fontId="0" fillId="0" borderId="0" xfId="0" applyBorder="1"/>
    <xf numFmtId="9" fontId="0" fillId="0" borderId="0" xfId="5" applyNumberFormat="1" applyFont="1" applyFill="1" applyBorder="1" applyAlignment="1">
      <alignment vertical="center" wrapText="1"/>
    </xf>
    <xf numFmtId="9" fontId="0" fillId="0" borderId="0" xfId="5" applyNumberFormat="1" applyFont="1" applyBorder="1"/>
    <xf numFmtId="0" fontId="11" fillId="0" borderId="0" xfId="0" applyFont="1"/>
    <xf numFmtId="167" fontId="11" fillId="0" borderId="0" xfId="0" applyNumberFormat="1" applyFont="1"/>
    <xf numFmtId="170" fontId="11" fillId="0" borderId="0" xfId="0" applyNumberFormat="1" applyFont="1"/>
    <xf numFmtId="0" fontId="0" fillId="0" borderId="4" xfId="0" applyFill="1" applyBorder="1"/>
    <xf numFmtId="0" fontId="11" fillId="0" borderId="8" xfId="0" applyFont="1" applyBorder="1"/>
    <xf numFmtId="167" fontId="11" fillId="0" borderId="9" xfId="0" applyNumberFormat="1" applyFont="1" applyBorder="1"/>
    <xf numFmtId="0" fontId="11" fillId="0" borderId="9" xfId="0" applyFont="1" applyBorder="1"/>
    <xf numFmtId="170" fontId="11" fillId="0" borderId="9" xfId="0" applyNumberFormat="1" applyFont="1" applyBorder="1"/>
    <xf numFmtId="0" fontId="4" fillId="0" borderId="3" xfId="0" applyFont="1" applyFill="1" applyBorder="1" applyAlignment="1">
      <alignment horizontal="center" vertical="center" wrapText="1"/>
    </xf>
    <xf numFmtId="167" fontId="4" fillId="0" borderId="3" xfId="0" applyNumberFormat="1" applyFont="1" applyFill="1" applyBorder="1" applyAlignment="1">
      <alignment horizontal="right" vertical="center"/>
    </xf>
    <xf numFmtId="167" fontId="4" fillId="0" borderId="4" xfId="0" applyNumberFormat="1" applyFont="1" applyFill="1" applyBorder="1" applyAlignment="1">
      <alignment horizontal="right" vertical="center"/>
    </xf>
    <xf numFmtId="0" fontId="9" fillId="0" borderId="3" xfId="0" applyFont="1" applyBorder="1" applyAlignment="1">
      <alignment horizontal="left" vertical="center"/>
    </xf>
    <xf numFmtId="9" fontId="0" fillId="0" borderId="4" xfId="5" applyFont="1" applyFill="1" applyBorder="1"/>
    <xf numFmtId="0" fontId="12" fillId="0" borderId="8" xfId="0" applyFont="1" applyBorder="1"/>
    <xf numFmtId="167" fontId="12" fillId="0" borderId="9" xfId="0" applyNumberFormat="1" applyFont="1" applyBorder="1"/>
    <xf numFmtId="0" fontId="12" fillId="0" borderId="9" xfId="0" applyFont="1" applyBorder="1"/>
    <xf numFmtId="170" fontId="12" fillId="0" borderId="9" xfId="0" applyNumberFormat="1" applyFont="1" applyBorder="1"/>
    <xf numFmtId="9" fontId="12" fillId="0" borderId="11" xfId="5" applyFont="1" applyBorder="1"/>
    <xf numFmtId="0" fontId="9" fillId="0" borderId="4" xfId="0" applyFont="1" applyFill="1" applyBorder="1" applyAlignment="1">
      <alignment horizontal="center" vertical="center"/>
    </xf>
    <xf numFmtId="0" fontId="9" fillId="0" borderId="4" xfId="0" applyFont="1" applyFill="1" applyBorder="1" applyAlignment="1">
      <alignment horizontal="right" vertical="center"/>
    </xf>
    <xf numFmtId="170" fontId="0" fillId="0" borderId="4" xfId="0" applyNumberFormat="1" applyFill="1" applyBorder="1" applyAlignment="1">
      <alignment horizontal="center" vertical="center" wrapText="1"/>
    </xf>
    <xf numFmtId="167" fontId="12" fillId="0" borderId="8" xfId="0" applyNumberFormat="1" applyFont="1" applyBorder="1"/>
    <xf numFmtId="9" fontId="14" fillId="6" borderId="10" xfId="5" applyFont="1" applyFill="1" applyBorder="1" applyAlignment="1">
      <alignment vertical="center"/>
    </xf>
    <xf numFmtId="0" fontId="9" fillId="0" borderId="3" xfId="0" applyFont="1" applyBorder="1" applyAlignment="1">
      <alignment horizontal="center" vertical="center"/>
    </xf>
    <xf numFmtId="0" fontId="0" fillId="0" borderId="4" xfId="0" applyBorder="1"/>
    <xf numFmtId="0" fontId="10" fillId="0" borderId="8" xfId="0" applyFont="1" applyBorder="1"/>
    <xf numFmtId="167" fontId="10" fillId="0" borderId="9" xfId="0" applyNumberFormat="1" applyFont="1" applyBorder="1"/>
    <xf numFmtId="0" fontId="10" fillId="0" borderId="9" xfId="0" applyFont="1" applyBorder="1"/>
    <xf numFmtId="170" fontId="10" fillId="0" borderId="9" xfId="0" applyNumberFormat="1" applyFont="1" applyBorder="1"/>
    <xf numFmtId="166" fontId="11" fillId="0" borderId="9" xfId="0" applyNumberFormat="1" applyFont="1" applyBorder="1"/>
    <xf numFmtId="10" fontId="13" fillId="6" borderId="10" xfId="5" applyNumberFormat="1" applyFont="1" applyFill="1" applyBorder="1" applyAlignment="1">
      <alignment vertical="center"/>
    </xf>
    <xf numFmtId="170" fontId="0" fillId="0" borderId="3" xfId="0" applyNumberFormat="1" applyBorder="1" applyAlignment="1">
      <alignment horizontal="center" vertical="center" wrapText="1"/>
    </xf>
    <xf numFmtId="0" fontId="9" fillId="7" borderId="3" xfId="0" applyFont="1" applyFill="1" applyBorder="1" applyAlignment="1">
      <alignment horizontal="left" vertical="center"/>
    </xf>
    <xf numFmtId="0" fontId="9" fillId="7" borderId="3" xfId="0" applyFont="1" applyFill="1" applyBorder="1" applyAlignment="1">
      <alignment horizontal="center" vertical="center"/>
    </xf>
    <xf numFmtId="0" fontId="9" fillId="7" borderId="3" xfId="0" applyFont="1" applyFill="1" applyBorder="1" applyAlignment="1">
      <alignment horizontal="right" vertical="center"/>
    </xf>
    <xf numFmtId="170" fontId="0" fillId="7" borderId="3" xfId="0" applyNumberFormat="1" applyFill="1" applyBorder="1" applyAlignment="1">
      <alignment horizontal="center" vertical="center" wrapText="1"/>
    </xf>
    <xf numFmtId="9" fontId="11" fillId="0" borderId="10" xfId="5" applyFont="1" applyBorder="1" applyAlignment="1">
      <alignment horizontal="center" vertical="center" wrapText="1"/>
    </xf>
    <xf numFmtId="9" fontId="12" fillId="0" borderId="10" xfId="5" applyFont="1" applyBorder="1" applyAlignment="1">
      <alignment horizontal="center" vertical="center" wrapText="1"/>
    </xf>
    <xf numFmtId="9" fontId="3" fillId="0" borderId="0" xfId="5" applyFont="1"/>
    <xf numFmtId="170" fontId="8" fillId="7" borderId="3" xfId="0" applyNumberFormat="1" applyFont="1" applyFill="1" applyBorder="1" applyAlignment="1">
      <alignment horizontal="center" vertical="center" wrapText="1"/>
    </xf>
    <xf numFmtId="9" fontId="10" fillId="0" borderId="10" xfId="5" applyFont="1" applyFill="1" applyBorder="1" applyAlignment="1">
      <alignment horizontal="center" vertical="center" wrapText="1"/>
    </xf>
    <xf numFmtId="0" fontId="9" fillId="0" borderId="4" xfId="0" applyFont="1" applyFill="1" applyBorder="1" applyAlignment="1">
      <alignment horizontal="left" vertical="center" wrapText="1"/>
    </xf>
    <xf numFmtId="9" fontId="0" fillId="0" borderId="4" xfId="5" applyFont="1" applyFill="1" applyBorder="1" applyAlignment="1">
      <alignment horizontal="center" vertical="center" wrapText="1"/>
    </xf>
    <xf numFmtId="9" fontId="11" fillId="0" borderId="11" xfId="5" applyFont="1" applyBorder="1"/>
    <xf numFmtId="9" fontId="11" fillId="0" borderId="10" xfId="5" applyFont="1" applyFill="1" applyBorder="1" applyAlignment="1">
      <alignment horizontal="center" vertical="center" wrapText="1"/>
    </xf>
    <xf numFmtId="9" fontId="0" fillId="0" borderId="3" xfId="5" applyFont="1" applyBorder="1"/>
    <xf numFmtId="9" fontId="0" fillId="0" borderId="4" xfId="5" applyFont="1" applyBorder="1"/>
    <xf numFmtId="167" fontId="4" fillId="0" borderId="5" xfId="0" applyNumberFormat="1" applyFont="1" applyFill="1" applyBorder="1" applyAlignment="1">
      <alignment horizontal="right" vertical="center"/>
    </xf>
    <xf numFmtId="9" fontId="11" fillId="0" borderId="10" xfId="5" applyFont="1" applyBorder="1"/>
    <xf numFmtId="9" fontId="11" fillId="0" borderId="10" xfId="5" applyFont="1" applyFill="1" applyBorder="1"/>
    <xf numFmtId="167" fontId="4" fillId="0" borderId="5" xfId="0" applyNumberFormat="1" applyFont="1" applyFill="1" applyBorder="1" applyAlignment="1">
      <alignment horizontal="center" vertical="center"/>
    </xf>
    <xf numFmtId="171" fontId="11" fillId="0" borderId="9" xfId="0" applyNumberFormat="1" applyFont="1" applyBorder="1"/>
    <xf numFmtId="167" fontId="4" fillId="0" borderId="4" xfId="2" applyNumberFormat="1" applyFont="1" applyFill="1" applyBorder="1" applyAlignment="1">
      <alignment horizontal="center" vertical="center" wrapText="1"/>
    </xf>
    <xf numFmtId="167" fontId="4" fillId="0" borderId="4" xfId="0" applyNumberFormat="1" applyFont="1" applyFill="1" applyBorder="1" applyAlignment="1">
      <alignment horizontal="right" vertical="center"/>
    </xf>
    <xf numFmtId="9" fontId="0" fillId="0" borderId="4" xfId="5" applyFont="1" applyFill="1" applyBorder="1" applyAlignment="1">
      <alignment horizontal="center" vertical="center" wrapText="1"/>
    </xf>
    <xf numFmtId="0" fontId="0" fillId="0" borderId="3" xfId="0" applyFill="1" applyBorder="1" applyAlignment="1">
      <alignment horizontal="center" vertical="center" wrapText="1"/>
    </xf>
    <xf numFmtId="172" fontId="0" fillId="0" borderId="3" xfId="0" applyNumberFormat="1" applyFill="1" applyBorder="1" applyAlignment="1">
      <alignment horizontal="center" vertical="center" wrapText="1"/>
    </xf>
    <xf numFmtId="0" fontId="0" fillId="0" borderId="3" xfId="0" applyFont="1" applyFill="1" applyBorder="1" applyAlignment="1">
      <alignment horizontal="center" vertical="center" wrapText="1"/>
    </xf>
    <xf numFmtId="172" fontId="0" fillId="0" borderId="3" xfId="0" applyNumberFormat="1" applyFont="1" applyFill="1" applyBorder="1" applyAlignment="1">
      <alignment horizontal="center" vertical="center" wrapText="1"/>
    </xf>
    <xf numFmtId="0" fontId="0" fillId="10" borderId="3" xfId="0" applyFill="1" applyBorder="1" applyAlignment="1">
      <alignment horizontal="center" vertical="center" wrapText="1"/>
    </xf>
    <xf numFmtId="0" fontId="0" fillId="0" borderId="3" xfId="0" applyFont="1" applyBorder="1" applyAlignment="1">
      <alignment horizontal="center" vertical="center" wrapText="1"/>
    </xf>
    <xf numFmtId="172" fontId="0" fillId="0" borderId="3" xfId="0" applyNumberFormat="1" applyFont="1" applyBorder="1" applyAlignment="1">
      <alignment horizontal="center" vertical="center" wrapText="1"/>
    </xf>
    <xf numFmtId="0" fontId="0" fillId="0" borderId="0" xfId="0" applyFill="1" applyBorder="1"/>
    <xf numFmtId="0" fontId="15" fillId="2" borderId="3" xfId="0" applyFont="1" applyFill="1" applyBorder="1" applyAlignment="1">
      <alignment horizontal="center" vertical="center" wrapText="1"/>
    </xf>
    <xf numFmtId="9" fontId="15" fillId="2" borderId="3" xfId="5" applyNumberFormat="1" applyFont="1" applyFill="1" applyBorder="1" applyAlignment="1">
      <alignment horizontal="center" vertical="center" wrapText="1"/>
    </xf>
    <xf numFmtId="0" fontId="17" fillId="0" borderId="3" xfId="0" applyFont="1" applyBorder="1"/>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3" xfId="0" applyFont="1" applyFill="1" applyBorder="1" applyAlignment="1">
      <alignment horizontal="right" vertical="center"/>
    </xf>
    <xf numFmtId="170"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172" fontId="18" fillId="0" borderId="3"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172" fontId="18" fillId="0" borderId="3" xfId="0" applyNumberFormat="1" applyFont="1" applyBorder="1" applyAlignment="1">
      <alignment horizontal="center" vertical="center" wrapText="1"/>
    </xf>
    <xf numFmtId="49" fontId="18" fillId="0" borderId="3" xfId="0" applyNumberFormat="1" applyFont="1" applyFill="1" applyBorder="1" applyAlignment="1">
      <alignment horizontal="center" vertical="center" wrapText="1"/>
    </xf>
    <xf numFmtId="167" fontId="18" fillId="0" borderId="3" xfId="1" applyNumberFormat="1" applyFont="1" applyFill="1" applyBorder="1" applyAlignment="1">
      <alignment horizontal="center" vertical="center" wrapText="1"/>
    </xf>
    <xf numFmtId="167" fontId="18" fillId="0" borderId="3" xfId="2" applyNumberFormat="1" applyFont="1" applyFill="1" applyBorder="1" applyAlignment="1">
      <alignment horizontal="center" vertical="center" wrapText="1"/>
    </xf>
    <xf numFmtId="9" fontId="18" fillId="0" borderId="3" xfId="5" applyNumberFormat="1"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3" xfId="0" applyFont="1" applyBorder="1" applyAlignment="1">
      <alignment horizontal="center" vertical="center"/>
    </xf>
    <xf numFmtId="170" fontId="18" fillId="0" borderId="3" xfId="0" applyNumberFormat="1" applyFont="1" applyFill="1" applyBorder="1" applyAlignment="1">
      <alignment horizontal="center" vertical="center"/>
    </xf>
    <xf numFmtId="170" fontId="18" fillId="8" borderId="3" xfId="0" applyNumberFormat="1" applyFont="1" applyFill="1" applyBorder="1" applyAlignment="1">
      <alignment horizontal="center" vertical="center" wrapText="1"/>
    </xf>
    <xf numFmtId="166" fontId="18" fillId="0" borderId="3" xfId="0" applyNumberFormat="1" applyFont="1" applyBorder="1" applyAlignment="1">
      <alignment horizontal="center" vertical="center" wrapText="1"/>
    </xf>
    <xf numFmtId="0" fontId="15" fillId="2" borderId="5" xfId="0" applyFont="1" applyFill="1" applyBorder="1" applyAlignment="1">
      <alignment horizontal="center" vertical="center" wrapText="1"/>
    </xf>
    <xf numFmtId="9" fontId="15" fillId="2" borderId="5" xfId="5" applyFont="1" applyFill="1" applyBorder="1" applyAlignment="1">
      <alignment horizontal="center" vertical="center" wrapText="1"/>
    </xf>
    <xf numFmtId="170" fontId="18" fillId="10" borderId="3" xfId="0" applyNumberFormat="1" applyFont="1" applyFill="1" applyBorder="1" applyAlignment="1">
      <alignment horizontal="center" vertical="center" wrapText="1"/>
    </xf>
    <xf numFmtId="167" fontId="18" fillId="0" borderId="3" xfId="0" applyNumberFormat="1" applyFont="1" applyFill="1" applyBorder="1" applyAlignment="1">
      <alignment horizontal="center" vertical="center"/>
    </xf>
    <xf numFmtId="9" fontId="18" fillId="0" borderId="3" xfId="5" applyFont="1" applyFill="1" applyBorder="1" applyAlignment="1">
      <alignment horizontal="center" vertical="center" wrapText="1"/>
    </xf>
    <xf numFmtId="167" fontId="18" fillId="0" borderId="4" xfId="1" applyNumberFormat="1" applyFont="1" applyFill="1" applyBorder="1" applyAlignment="1">
      <alignment horizontal="center" vertical="center" wrapText="1"/>
    </xf>
    <xf numFmtId="167" fontId="18" fillId="0" borderId="4" xfId="2" applyNumberFormat="1" applyFont="1" applyFill="1" applyBorder="1" applyAlignment="1">
      <alignment horizontal="center" vertical="center" wrapText="1"/>
    </xf>
    <xf numFmtId="167" fontId="18" fillId="0" borderId="4" xfId="0" applyNumberFormat="1" applyFont="1" applyFill="1" applyBorder="1" applyAlignment="1">
      <alignment horizontal="center" vertical="center"/>
    </xf>
    <xf numFmtId="167" fontId="18" fillId="6" borderId="3"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170" fontId="18" fillId="6" borderId="3" xfId="0" applyNumberFormat="1" applyFont="1" applyFill="1" applyBorder="1" applyAlignment="1">
      <alignment horizontal="center" vertical="center" wrapText="1"/>
    </xf>
    <xf numFmtId="166" fontId="18" fillId="6"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167" fontId="21" fillId="6" borderId="3" xfId="0" applyNumberFormat="1" applyFont="1" applyFill="1" applyBorder="1" applyAlignment="1">
      <alignment horizontal="center" vertical="center" wrapText="1"/>
    </xf>
    <xf numFmtId="0" fontId="21" fillId="6" borderId="3" xfId="0" applyFont="1" applyFill="1" applyBorder="1" applyAlignment="1">
      <alignment horizontal="center" vertical="center" wrapText="1"/>
    </xf>
    <xf numFmtId="170" fontId="21" fillId="6" borderId="3" xfId="0" applyNumberFormat="1" applyFont="1" applyFill="1" applyBorder="1" applyAlignment="1">
      <alignment horizontal="center" vertical="center" wrapText="1"/>
    </xf>
    <xf numFmtId="169" fontId="18" fillId="6" borderId="3" xfId="0" applyNumberFormat="1" applyFont="1" applyFill="1" applyBorder="1" applyAlignment="1">
      <alignment horizontal="center" vertical="center" wrapText="1"/>
    </xf>
    <xf numFmtId="167" fontId="18" fillId="0" borderId="3" xfId="0" applyNumberFormat="1" applyFont="1" applyFill="1" applyBorder="1" applyAlignment="1">
      <alignment horizontal="center" vertical="center" wrapText="1"/>
    </xf>
    <xf numFmtId="167" fontId="20" fillId="7" borderId="3" xfId="0" applyNumberFormat="1" applyFont="1" applyFill="1" applyBorder="1" applyAlignment="1">
      <alignment horizontal="center" vertical="center" wrapText="1"/>
    </xf>
    <xf numFmtId="0" fontId="20" fillId="7" borderId="3" xfId="0" applyFont="1" applyFill="1" applyBorder="1" applyAlignment="1">
      <alignment horizontal="center" vertical="center" wrapText="1"/>
    </xf>
    <xf numFmtId="170" fontId="20" fillId="7" borderId="3" xfId="0" applyNumberFormat="1" applyFont="1" applyFill="1" applyBorder="1" applyAlignment="1">
      <alignment horizontal="center" vertical="center" wrapText="1"/>
    </xf>
    <xf numFmtId="0" fontId="19" fillId="0" borderId="3" xfId="0" applyFont="1" applyBorder="1" applyAlignment="1">
      <alignment horizontal="center" vertical="center" wrapText="1"/>
    </xf>
    <xf numFmtId="0" fontId="19" fillId="10" borderId="3" xfId="0" applyFont="1" applyFill="1" applyBorder="1" applyAlignment="1">
      <alignment horizontal="center" vertical="center" wrapText="1"/>
    </xf>
    <xf numFmtId="167" fontId="18" fillId="7" borderId="3" xfId="0" applyNumberFormat="1" applyFont="1" applyFill="1" applyBorder="1" applyAlignment="1">
      <alignment horizontal="center" vertical="center" wrapText="1"/>
    </xf>
    <xf numFmtId="0" fontId="18" fillId="7" borderId="3" xfId="0" applyFont="1" applyFill="1" applyBorder="1" applyAlignment="1">
      <alignment horizontal="center" vertical="center" wrapText="1"/>
    </xf>
    <xf numFmtId="170" fontId="18" fillId="7" borderId="3" xfId="0" applyNumberFormat="1" applyFont="1" applyFill="1" applyBorder="1" applyAlignment="1">
      <alignment horizontal="center" vertical="center" wrapText="1"/>
    </xf>
    <xf numFmtId="167" fontId="18"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9" fontId="18" fillId="0" borderId="4" xfId="5" applyFont="1" applyFill="1" applyBorder="1" applyAlignment="1">
      <alignment horizontal="center" vertical="center" wrapText="1"/>
    </xf>
    <xf numFmtId="14" fontId="19" fillId="0" borderId="3" xfId="0" applyNumberFormat="1" applyFont="1" applyFill="1" applyBorder="1" applyAlignment="1">
      <alignment horizontal="center" vertical="center" wrapText="1"/>
    </xf>
    <xf numFmtId="14" fontId="18" fillId="8" borderId="3" xfId="0" applyNumberFormat="1"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9" fontId="15" fillId="2" borderId="3" xfId="5"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right" vertical="center"/>
    </xf>
    <xf numFmtId="170" fontId="18" fillId="0" borderId="4" xfId="0" applyNumberFormat="1" applyFont="1" applyFill="1" applyBorder="1" applyAlignment="1">
      <alignment horizontal="center" vertical="center" wrapText="1"/>
    </xf>
    <xf numFmtId="9" fontId="19" fillId="6" borderId="3" xfId="5" applyFont="1" applyFill="1" applyBorder="1" applyAlignment="1">
      <alignment horizontal="center" vertical="center"/>
    </xf>
    <xf numFmtId="9" fontId="19" fillId="6" borderId="4" xfId="5" applyFont="1" applyFill="1" applyBorder="1" applyAlignment="1">
      <alignment horizontal="center" vertical="center"/>
    </xf>
    <xf numFmtId="9" fontId="19" fillId="6" borderId="3" xfId="5" applyFont="1" applyFill="1" applyBorder="1" applyAlignment="1">
      <alignment horizontal="center" vertical="center" wrapText="1"/>
    </xf>
    <xf numFmtId="0" fontId="19" fillId="0" borderId="4" xfId="0" applyFont="1" applyFill="1" applyBorder="1" applyAlignment="1">
      <alignment horizontal="center" vertical="center" wrapText="1"/>
    </xf>
    <xf numFmtId="9" fontId="19" fillId="6" borderId="4" xfId="5" applyFont="1" applyFill="1" applyBorder="1" applyAlignment="1">
      <alignment horizontal="center" vertical="center" wrapText="1"/>
    </xf>
    <xf numFmtId="0" fontId="18" fillId="0" borderId="0" xfId="0" applyFont="1" applyAlignment="1">
      <alignment horizontal="center" vertical="center"/>
    </xf>
    <xf numFmtId="0" fontId="19" fillId="8" borderId="3"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5" fillId="2" borderId="7" xfId="0" applyFont="1" applyFill="1" applyBorder="1" applyAlignment="1">
      <alignment horizontal="center" vertical="center" wrapText="1"/>
    </xf>
    <xf numFmtId="166" fontId="15" fillId="2" borderId="7"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166" fontId="15" fillId="2" borderId="6" xfId="0" applyNumberFormat="1" applyFont="1" applyFill="1" applyBorder="1" applyAlignment="1">
      <alignment horizontal="center" vertical="center" wrapText="1"/>
    </xf>
    <xf numFmtId="9" fontId="15" fillId="2" borderId="4" xfId="5" applyFont="1" applyFill="1" applyBorder="1" applyAlignment="1">
      <alignment horizontal="center" vertical="center" wrapText="1"/>
    </xf>
    <xf numFmtId="166" fontId="18" fillId="0" borderId="3" xfId="2" applyNumberFormat="1" applyFont="1" applyFill="1" applyBorder="1" applyAlignment="1">
      <alignment horizontal="center" vertical="center" wrapText="1"/>
    </xf>
    <xf numFmtId="166" fontId="18" fillId="0" borderId="4" xfId="2" applyNumberFormat="1" applyFont="1" applyFill="1" applyBorder="1" applyAlignment="1">
      <alignment horizontal="center" vertical="center" wrapText="1"/>
    </xf>
    <xf numFmtId="166" fontId="18" fillId="0" borderId="4" xfId="0" applyNumberFormat="1" applyFont="1" applyFill="1" applyBorder="1" applyAlignment="1">
      <alignment horizontal="center" vertical="center" wrapText="1"/>
    </xf>
    <xf numFmtId="166" fontId="18" fillId="0" borderId="3" xfId="0" applyNumberFormat="1" applyFont="1" applyFill="1" applyBorder="1" applyAlignment="1">
      <alignment horizontal="center" vertical="center"/>
    </xf>
    <xf numFmtId="0" fontId="18" fillId="0" borderId="2" xfId="0" applyFont="1" applyFill="1" applyBorder="1" applyAlignment="1">
      <alignment horizontal="center" vertical="center"/>
    </xf>
    <xf numFmtId="166" fontId="18" fillId="0" borderId="2"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9" fontId="15" fillId="2" borderId="6" xfId="5" applyFont="1" applyFill="1" applyBorder="1" applyAlignment="1">
      <alignment horizontal="center" vertical="center" wrapText="1"/>
    </xf>
    <xf numFmtId="170" fontId="18" fillId="0" borderId="3" xfId="0" applyNumberFormat="1" applyFont="1" applyBorder="1" applyAlignment="1">
      <alignment horizontal="center" vertical="center" wrapText="1"/>
    </xf>
    <xf numFmtId="9" fontId="18" fillId="0" borderId="3" xfId="5" applyFont="1" applyBorder="1" applyAlignment="1">
      <alignment horizontal="center" vertical="center" wrapText="1"/>
    </xf>
    <xf numFmtId="0" fontId="18" fillId="0" borderId="3" xfId="4" applyFont="1" applyFill="1" applyBorder="1" applyAlignment="1">
      <alignment horizontal="center" vertical="center" wrapText="1"/>
    </xf>
    <xf numFmtId="9" fontId="18" fillId="0" borderId="4" xfId="5" applyFont="1" applyBorder="1" applyAlignment="1">
      <alignment horizontal="center" vertical="center" wrapText="1"/>
    </xf>
    <xf numFmtId="0" fontId="19" fillId="7" borderId="3" xfId="0" applyFont="1" applyFill="1" applyBorder="1" applyAlignment="1">
      <alignment horizontal="center" vertical="center" wrapText="1"/>
    </xf>
    <xf numFmtId="0" fontId="19" fillId="0" borderId="4" xfId="0" applyFont="1" applyBorder="1" applyAlignment="1">
      <alignment horizontal="center" vertical="center" wrapText="1"/>
    </xf>
    <xf numFmtId="164" fontId="18" fillId="0" borderId="3" xfId="6" applyFont="1" applyBorder="1" applyAlignment="1">
      <alignment horizontal="center" vertical="center" wrapText="1"/>
    </xf>
    <xf numFmtId="0" fontId="9" fillId="0" borderId="3" xfId="0" applyFont="1" applyFill="1" applyBorder="1" applyAlignment="1">
      <alignment horizontal="right" vertical="center" wrapText="1"/>
    </xf>
    <xf numFmtId="164" fontId="18" fillId="0" borderId="3" xfId="6" applyFont="1" applyFill="1" applyBorder="1" applyAlignment="1">
      <alignment horizontal="center" vertical="center" wrapText="1"/>
    </xf>
    <xf numFmtId="164" fontId="18" fillId="0" borderId="3" xfId="6" applyNumberFormat="1" applyFont="1" applyFill="1" applyBorder="1" applyAlignment="1">
      <alignment horizontal="center" vertical="center" wrapText="1"/>
    </xf>
    <xf numFmtId="0" fontId="21" fillId="7" borderId="3" xfId="0" applyFont="1" applyFill="1" applyBorder="1" applyAlignment="1">
      <alignment horizontal="center" vertical="center"/>
    </xf>
    <xf numFmtId="170" fontId="20" fillId="0" borderId="3" xfId="0" applyNumberFormat="1" applyFont="1" applyFill="1" applyBorder="1" applyAlignment="1">
      <alignment horizontal="center" vertical="center" wrapText="1"/>
    </xf>
    <xf numFmtId="9" fontId="20" fillId="0" borderId="3" xfId="5" applyFont="1" applyFill="1" applyBorder="1" applyAlignment="1">
      <alignment horizontal="center" vertical="center" wrapText="1"/>
    </xf>
    <xf numFmtId="9" fontId="20" fillId="0" borderId="4" xfId="5" applyFont="1" applyFill="1" applyBorder="1" applyAlignment="1">
      <alignment horizontal="center" vertical="center" wrapText="1"/>
    </xf>
    <xf numFmtId="0" fontId="19" fillId="0" borderId="4" xfId="0" applyFont="1" applyFill="1" applyBorder="1" applyAlignment="1">
      <alignment horizontal="left" vertical="center" wrapText="1"/>
    </xf>
    <xf numFmtId="0" fontId="22" fillId="0" borderId="0" xfId="0" applyFont="1" applyAlignment="1">
      <alignment horizontal="center" vertical="center"/>
    </xf>
    <xf numFmtId="9" fontId="18" fillId="0" borderId="0" xfId="5" applyFont="1" applyAlignment="1">
      <alignment horizontal="center" vertical="center"/>
    </xf>
    <xf numFmtId="0" fontId="18" fillId="9" borderId="3" xfId="0" applyFont="1" applyFill="1" applyBorder="1" applyAlignment="1">
      <alignment horizontal="center" vertical="center"/>
    </xf>
    <xf numFmtId="170" fontId="18" fillId="9" borderId="3" xfId="0" applyNumberFormat="1" applyFont="1" applyFill="1" applyBorder="1" applyAlignment="1">
      <alignment horizontal="center" vertical="center"/>
    </xf>
    <xf numFmtId="167" fontId="18" fillId="0" borderId="4" xfId="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7" borderId="4" xfId="0" applyFont="1" applyFill="1" applyBorder="1" applyAlignment="1">
      <alignment horizontal="center" vertical="center" wrapText="1"/>
    </xf>
    <xf numFmtId="170" fontId="18" fillId="7" borderId="4" xfId="0" applyNumberFormat="1" applyFont="1" applyFill="1" applyBorder="1" applyAlignment="1">
      <alignment horizontal="center" vertical="center" wrapText="1"/>
    </xf>
    <xf numFmtId="170" fontId="18" fillId="9" borderId="3"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9" borderId="3" xfId="0" applyFont="1" applyFill="1" applyBorder="1" applyAlignment="1">
      <alignment horizontal="center" vertical="center" wrapText="1"/>
    </xf>
    <xf numFmtId="170" fontId="20" fillId="8"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167" fontId="18" fillId="0" borderId="3" xfId="2"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67" fontId="18" fillId="0" borderId="4" xfId="2"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0" borderId="19" xfId="0" applyFont="1" applyBorder="1" applyAlignment="1">
      <alignment horizontal="center" vertical="center" wrapText="1"/>
    </xf>
    <xf numFmtId="14" fontId="18" fillId="0" borderId="4" xfId="0" applyNumberFormat="1" applyFont="1" applyFill="1" applyBorder="1" applyAlignment="1">
      <alignment horizontal="center" vertical="center" wrapText="1"/>
    </xf>
    <xf numFmtId="0" fontId="20" fillId="0" borderId="21" xfId="0" applyFont="1" applyBorder="1" applyAlignment="1">
      <alignment horizontal="center" vertical="center" wrapText="1"/>
    </xf>
    <xf numFmtId="167" fontId="20" fillId="0" borderId="22" xfId="0" applyNumberFormat="1" applyFont="1" applyBorder="1" applyAlignment="1">
      <alignment horizontal="center" vertical="center" wrapText="1"/>
    </xf>
    <xf numFmtId="0" fontId="20" fillId="0" borderId="22" xfId="0" applyFont="1" applyBorder="1" applyAlignment="1">
      <alignment horizontal="center" vertical="center" wrapText="1"/>
    </xf>
    <xf numFmtId="170" fontId="20" fillId="0" borderId="22" xfId="0" applyNumberFormat="1" applyFont="1" applyBorder="1" applyAlignment="1">
      <alignment horizontal="center" vertical="center" wrapText="1"/>
    </xf>
    <xf numFmtId="9" fontId="20" fillId="0" borderId="22" xfId="5" applyNumberFormat="1" applyFont="1" applyFill="1" applyBorder="1" applyAlignment="1">
      <alignment horizontal="center" vertical="center" wrapText="1"/>
    </xf>
    <xf numFmtId="172" fontId="20" fillId="0" borderId="22" xfId="0" applyNumberFormat="1" applyFont="1" applyBorder="1" applyAlignment="1">
      <alignment horizontal="center" vertical="center" wrapText="1"/>
    </xf>
    <xf numFmtId="172" fontId="20" fillId="0" borderId="10" xfId="0" applyNumberFormat="1" applyFont="1" applyBorder="1" applyAlignment="1">
      <alignment horizontal="center" vertical="center" wrapText="1"/>
    </xf>
    <xf numFmtId="0" fontId="0" fillId="0" borderId="9" xfId="0" applyBorder="1"/>
    <xf numFmtId="0" fontId="8" fillId="0" borderId="8" xfId="0" applyFont="1" applyBorder="1"/>
    <xf numFmtId="0" fontId="8" fillId="0" borderId="9" xfId="0" applyFont="1" applyBorder="1"/>
    <xf numFmtId="172" fontId="8" fillId="0" borderId="9" xfId="0" applyNumberFormat="1" applyFont="1" applyBorder="1"/>
    <xf numFmtId="172" fontId="8" fillId="0" borderId="11" xfId="0" applyNumberFormat="1" applyFont="1" applyBorder="1"/>
    <xf numFmtId="172" fontId="0" fillId="0" borderId="4" xfId="0" applyNumberFormat="1" applyFill="1" applyBorder="1" applyAlignment="1">
      <alignment horizontal="center" vertical="center" wrapText="1"/>
    </xf>
    <xf numFmtId="0" fontId="0" fillId="0" borderId="4" xfId="0" applyFont="1" applyFill="1" applyBorder="1" applyAlignment="1">
      <alignment horizontal="center" vertical="center" wrapText="1"/>
    </xf>
    <xf numFmtId="172" fontId="0" fillId="0" borderId="4" xfId="0" applyNumberFormat="1" applyFont="1" applyFill="1" applyBorder="1" applyAlignment="1">
      <alignment horizontal="center" vertical="center" wrapText="1"/>
    </xf>
    <xf numFmtId="172" fontId="8" fillId="0" borderId="8" xfId="0" applyNumberFormat="1" applyFont="1" applyBorder="1"/>
    <xf numFmtId="172" fontId="18" fillId="0" borderId="4" xfId="0" applyNumberFormat="1" applyFont="1" applyFill="1" applyBorder="1" applyAlignment="1">
      <alignment horizontal="center" vertical="center" wrapText="1"/>
    </xf>
    <xf numFmtId="0" fontId="23" fillId="0" borderId="8" xfId="0" applyFont="1" applyBorder="1"/>
    <xf numFmtId="0" fontId="23" fillId="0" borderId="9" xfId="0" applyFont="1" applyBorder="1"/>
    <xf numFmtId="172" fontId="23" fillId="0" borderId="9" xfId="0" applyNumberFormat="1" applyFont="1" applyBorder="1"/>
    <xf numFmtId="172" fontId="23" fillId="0" borderId="11" xfId="0" applyNumberFormat="1" applyFont="1" applyBorder="1"/>
    <xf numFmtId="0" fontId="18" fillId="0" borderId="4" xfId="0" applyFont="1" applyFill="1" applyBorder="1"/>
    <xf numFmtId="0" fontId="0" fillId="0" borderId="11" xfId="0" applyBorder="1"/>
    <xf numFmtId="0" fontId="8" fillId="0" borderId="11" xfId="0" applyFont="1" applyBorder="1"/>
    <xf numFmtId="9" fontId="11" fillId="0" borderId="19" xfId="5" applyFont="1" applyBorder="1" applyAlignment="1">
      <alignment horizontal="center" vertical="center"/>
    </xf>
    <xf numFmtId="0" fontId="17" fillId="0" borderId="3" xfId="0" applyFont="1" applyBorder="1" applyAlignment="1">
      <alignment horizontal="center" vertical="center" wrapText="1"/>
    </xf>
    <xf numFmtId="172" fontId="17" fillId="0" borderId="3"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170" fontId="8" fillId="0" borderId="8" xfId="0" applyNumberFormat="1" applyFont="1" applyBorder="1"/>
    <xf numFmtId="164" fontId="8" fillId="0" borderId="11" xfId="0" applyNumberFormat="1" applyFont="1" applyBorder="1"/>
    <xf numFmtId="167" fontId="11" fillId="0" borderId="20" xfId="0" applyNumberFormat="1" applyFont="1" applyBorder="1"/>
    <xf numFmtId="0" fontId="9" fillId="0" borderId="4" xfId="0" applyFont="1" applyFill="1" applyBorder="1" applyAlignment="1">
      <alignment horizontal="left" vertical="center"/>
    </xf>
    <xf numFmtId="0" fontId="17" fillId="0" borderId="4" xfId="0" applyFont="1" applyBorder="1" applyAlignment="1">
      <alignment horizontal="center" vertical="center" wrapText="1"/>
    </xf>
    <xf numFmtId="172" fontId="17" fillId="0" borderId="4" xfId="0" applyNumberFormat="1" applyFont="1" applyBorder="1" applyAlignment="1">
      <alignment horizontal="center" vertical="center" wrapText="1"/>
    </xf>
    <xf numFmtId="164" fontId="17" fillId="0" borderId="4" xfId="6" applyFont="1" applyFill="1" applyBorder="1" applyAlignment="1">
      <alignment horizontal="center" vertical="center" wrapText="1"/>
    </xf>
    <xf numFmtId="167" fontId="10" fillId="0" borderId="8" xfId="0" applyNumberFormat="1" applyFont="1" applyBorder="1"/>
    <xf numFmtId="9" fontId="10" fillId="0" borderId="22" xfId="5" applyFont="1" applyFill="1" applyBorder="1" applyAlignment="1">
      <alignment horizontal="center" vertical="center" wrapText="1"/>
    </xf>
    <xf numFmtId="172" fontId="10" fillId="0" borderId="9" xfId="0" applyNumberFormat="1" applyFont="1" applyBorder="1"/>
    <xf numFmtId="164" fontId="10" fillId="0" borderId="11" xfId="0" applyNumberFormat="1" applyFont="1" applyBorder="1"/>
    <xf numFmtId="172" fontId="18" fillId="0" borderId="4" xfId="0" applyNumberFormat="1" applyFont="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167" fontId="18" fillId="0" borderId="3" xfId="2" applyNumberFormat="1" applyFont="1" applyFill="1" applyBorder="1" applyAlignment="1">
      <alignment horizontal="center" vertical="center" wrapText="1"/>
    </xf>
    <xf numFmtId="167" fontId="18"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67" fontId="18" fillId="0" borderId="4" xfId="2"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67" fontId="4" fillId="0" borderId="3" xfId="0" applyNumberFormat="1" applyFont="1" applyFill="1" applyBorder="1" applyAlignment="1">
      <alignment horizontal="right" vertical="center"/>
    </xf>
    <xf numFmtId="0" fontId="4" fillId="0" borderId="3" xfId="0" applyFont="1" applyFill="1" applyBorder="1" applyAlignment="1">
      <alignment horizontal="center" vertical="center" wrapText="1"/>
    </xf>
    <xf numFmtId="167" fontId="4" fillId="0" borderId="4" xfId="2"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25" fillId="0" borderId="3" xfId="0" applyFont="1" applyBorder="1" applyAlignment="1">
      <alignment horizontal="left" vertical="center"/>
    </xf>
    <xf numFmtId="0" fontId="25" fillId="0" borderId="3" xfId="0" applyFont="1" applyBorder="1" applyAlignment="1">
      <alignment horizontal="center" vertical="center"/>
    </xf>
    <xf numFmtId="170" fontId="17" fillId="0" borderId="4" xfId="0" applyNumberFormat="1" applyFont="1" applyBorder="1" applyAlignment="1">
      <alignment horizontal="center" vertical="center" wrapText="1"/>
    </xf>
    <xf numFmtId="9" fontId="17" fillId="0" borderId="4" xfId="5" applyFont="1" applyBorder="1" applyAlignment="1">
      <alignment horizontal="center" vertical="center" wrapText="1"/>
    </xf>
    <xf numFmtId="0" fontId="25"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20" fillId="0" borderId="23" xfId="0" applyFont="1" applyBorder="1" applyAlignment="1">
      <alignment horizontal="center" vertical="center" wrapText="1"/>
    </xf>
    <xf numFmtId="167" fontId="20" fillId="0" borderId="24" xfId="0" applyNumberFormat="1" applyFont="1" applyBorder="1" applyAlignment="1">
      <alignment horizontal="center" vertical="center" wrapText="1"/>
    </xf>
    <xf numFmtId="0" fontId="20" fillId="0" borderId="24" xfId="0" applyFont="1" applyBorder="1" applyAlignment="1">
      <alignment horizontal="center" vertical="center" wrapText="1"/>
    </xf>
    <xf numFmtId="170" fontId="20" fillId="0" borderId="24" xfId="0" applyNumberFormat="1" applyFont="1" applyBorder="1" applyAlignment="1">
      <alignment horizontal="center" vertical="center" wrapText="1"/>
    </xf>
    <xf numFmtId="9" fontId="21" fillId="6" borderId="25" xfId="5" applyFont="1" applyFill="1" applyBorder="1" applyAlignment="1">
      <alignment horizontal="center" vertical="center" wrapText="1"/>
    </xf>
    <xf numFmtId="172" fontId="20" fillId="0" borderId="23" xfId="0" applyNumberFormat="1" applyFont="1" applyBorder="1" applyAlignment="1">
      <alignment horizontal="center" vertical="center" wrapText="1"/>
    </xf>
    <xf numFmtId="172" fontId="20" fillId="0" borderId="26" xfId="0" applyNumberFormat="1" applyFont="1" applyBorder="1" applyAlignment="1">
      <alignment horizontal="center" vertical="center" wrapText="1"/>
    </xf>
    <xf numFmtId="0" fontId="19" fillId="6" borderId="3" xfId="5" applyNumberFormat="1" applyFont="1" applyFill="1" applyBorder="1" applyAlignment="1">
      <alignment horizontal="center" vertical="center" wrapText="1"/>
    </xf>
    <xf numFmtId="0" fontId="26" fillId="2" borderId="0" xfId="0" applyFont="1" applyFill="1" applyAlignment="1">
      <alignment horizontal="center" vertical="center" wrapText="1"/>
    </xf>
    <xf numFmtId="166" fontId="26" fillId="2" borderId="0" xfId="0" applyNumberFormat="1" applyFont="1" applyFill="1" applyAlignment="1">
      <alignment horizontal="center" vertical="center" wrapText="1"/>
    </xf>
    <xf numFmtId="9" fontId="26" fillId="2" borderId="0" xfId="5" applyFont="1" applyFill="1" applyAlignment="1">
      <alignment horizontal="center" vertical="center" wrapText="1"/>
    </xf>
    <xf numFmtId="164" fontId="17" fillId="0" borderId="4" xfId="6" applyFont="1" applyBorder="1" applyAlignment="1">
      <alignment horizontal="center" vertical="center" wrapText="1"/>
    </xf>
    <xf numFmtId="0" fontId="25" fillId="0" borderId="4" xfId="0" applyFont="1" applyBorder="1" applyAlignment="1">
      <alignment horizontal="center" vertical="center" wrapText="1"/>
    </xf>
    <xf numFmtId="164" fontId="8" fillId="0" borderId="8" xfId="0" applyNumberFormat="1" applyFont="1" applyBorder="1"/>
    <xf numFmtId="9" fontId="8" fillId="0" borderId="11" xfId="5" applyFont="1" applyBorder="1"/>
    <xf numFmtId="0" fontId="25"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167" fontId="4" fillId="0" borderId="0" xfId="2" applyNumberFormat="1" applyFont="1" applyFill="1" applyBorder="1" applyAlignment="1">
      <alignment horizontal="center" vertical="center" wrapText="1"/>
    </xf>
    <xf numFmtId="167" fontId="4" fillId="0" borderId="0" xfId="0" applyNumberFormat="1" applyFont="1" applyFill="1" applyBorder="1" applyAlignment="1">
      <alignment horizontal="right" vertical="center"/>
    </xf>
    <xf numFmtId="9" fontId="0" fillId="0" borderId="17" xfId="5" applyFont="1" applyBorder="1"/>
    <xf numFmtId="49" fontId="16" fillId="0" borderId="3" xfId="0" applyNumberFormat="1" applyFont="1" applyFill="1" applyBorder="1" applyAlignment="1">
      <alignment horizontal="center" vertical="center" wrapText="1"/>
    </xf>
    <xf numFmtId="168" fontId="16" fillId="0" borderId="3" xfId="4" applyNumberFormat="1" applyFont="1" applyFill="1" applyBorder="1" applyAlignment="1">
      <alignment horizontal="center" vertical="center" wrapText="1"/>
    </xf>
    <xf numFmtId="167" fontId="16" fillId="0" borderId="3" xfId="2" applyNumberFormat="1" applyFont="1" applyFill="1" applyBorder="1" applyAlignment="1">
      <alignment horizontal="center" vertical="center" wrapText="1"/>
    </xf>
    <xf numFmtId="0" fontId="25" fillId="0" borderId="3" xfId="0" applyFont="1" applyFill="1" applyBorder="1" applyAlignment="1">
      <alignment horizontal="right" vertical="center"/>
    </xf>
    <xf numFmtId="170" fontId="17" fillId="0" borderId="3" xfId="0" applyNumberFormat="1" applyFont="1" applyBorder="1" applyAlignment="1">
      <alignment horizontal="center" vertical="center" wrapText="1"/>
    </xf>
    <xf numFmtId="0" fontId="25" fillId="7" borderId="3" xfId="0" applyFont="1" applyFill="1" applyBorder="1" applyAlignment="1">
      <alignment horizontal="left" vertical="center"/>
    </xf>
    <xf numFmtId="0" fontId="25" fillId="7" borderId="3" xfId="0" applyFont="1" applyFill="1" applyBorder="1" applyAlignment="1">
      <alignment horizontal="center" vertical="center"/>
    </xf>
    <xf numFmtId="0" fontId="25" fillId="7" borderId="3" xfId="0" applyFont="1" applyFill="1" applyBorder="1" applyAlignment="1">
      <alignment horizontal="right" vertical="center"/>
    </xf>
    <xf numFmtId="170" fontId="17" fillId="7" borderId="3" xfId="0" applyNumberFormat="1" applyFont="1" applyFill="1" applyBorder="1" applyAlignment="1">
      <alignment horizontal="center" vertical="center" wrapText="1"/>
    </xf>
    <xf numFmtId="0" fontId="17" fillId="0" borderId="3" xfId="0" applyFont="1" applyFill="1" applyBorder="1"/>
    <xf numFmtId="167" fontId="16" fillId="0" borderId="3" xfId="1" applyNumberFormat="1" applyFont="1" applyFill="1" applyBorder="1" applyAlignment="1">
      <alignment horizontal="center" vertical="center" wrapText="1"/>
    </xf>
    <xf numFmtId="0" fontId="17" fillId="7" borderId="3" xfId="0" applyFont="1" applyFill="1" applyBorder="1"/>
    <xf numFmtId="170" fontId="17" fillId="7" borderId="3" xfId="0" applyNumberFormat="1" applyFont="1" applyFill="1" applyBorder="1"/>
    <xf numFmtId="167" fontId="16" fillId="0" borderId="3" xfId="0" applyNumberFormat="1" applyFont="1" applyFill="1" applyBorder="1" applyAlignment="1">
      <alignment horizontal="center" vertical="center"/>
    </xf>
    <xf numFmtId="0" fontId="24" fillId="0" borderId="0" xfId="0" applyFont="1"/>
    <xf numFmtId="0" fontId="9" fillId="0" borderId="4" xfId="0" applyFont="1" applyFill="1" applyBorder="1" applyAlignment="1">
      <alignment horizontal="right" vertical="center" wrapText="1"/>
    </xf>
    <xf numFmtId="9" fontId="18" fillId="8" borderId="3" xfId="5"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9" fontId="18" fillId="0" borderId="3" xfId="5" applyNumberFormat="1" applyFont="1" applyFill="1" applyBorder="1" applyAlignment="1">
      <alignment horizontal="center" vertical="center" wrapText="1"/>
    </xf>
    <xf numFmtId="9" fontId="18" fillId="0" borderId="4" xfId="5" applyNumberFormat="1" applyFont="1" applyFill="1" applyBorder="1" applyAlignment="1">
      <alignment horizontal="center" vertical="center" wrapText="1"/>
    </xf>
    <xf numFmtId="167" fontId="18" fillId="0" borderId="3" xfId="2" applyNumberFormat="1" applyFont="1" applyFill="1" applyBorder="1" applyAlignment="1">
      <alignment horizontal="center" vertical="center" wrapText="1"/>
    </xf>
    <xf numFmtId="167" fontId="18"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67" fontId="18" fillId="0" borderId="4" xfId="0" applyNumberFormat="1" applyFont="1" applyFill="1" applyBorder="1" applyAlignment="1">
      <alignment horizontal="center" vertical="center" wrapText="1"/>
    </xf>
    <xf numFmtId="167" fontId="18" fillId="0" borderId="5" xfId="0" applyNumberFormat="1" applyFont="1" applyFill="1" applyBorder="1" applyAlignment="1">
      <alignment horizontal="center" vertical="center" wrapText="1"/>
    </xf>
    <xf numFmtId="167" fontId="18" fillId="0" borderId="2" xfId="0" applyNumberFormat="1" applyFont="1" applyFill="1" applyBorder="1" applyAlignment="1">
      <alignment horizontal="center" vertical="center" wrapText="1"/>
    </xf>
    <xf numFmtId="9" fontId="19" fillId="6" borderId="4" xfId="5" applyFont="1" applyFill="1" applyBorder="1" applyAlignment="1">
      <alignment horizontal="center" vertical="center" wrapText="1"/>
    </xf>
    <xf numFmtId="9" fontId="19" fillId="6" borderId="5" xfId="5" applyFont="1" applyFill="1" applyBorder="1" applyAlignment="1">
      <alignment horizontal="center" vertical="center" wrapText="1"/>
    </xf>
    <xf numFmtId="9" fontId="19" fillId="6" borderId="2" xfId="5" applyFont="1" applyFill="1" applyBorder="1" applyAlignment="1">
      <alignment horizontal="center" vertical="center" wrapText="1"/>
    </xf>
    <xf numFmtId="9" fontId="21" fillId="6" borderId="4" xfId="5" applyFont="1" applyFill="1" applyBorder="1" applyAlignment="1">
      <alignment horizontal="center" vertical="center" wrapText="1"/>
    </xf>
    <xf numFmtId="9" fontId="21" fillId="6" borderId="5" xfId="5" applyFont="1" applyFill="1" applyBorder="1" applyAlignment="1">
      <alignment horizontal="center" vertical="center" wrapText="1"/>
    </xf>
    <xf numFmtId="9" fontId="21" fillId="6" borderId="2" xfId="5" applyFont="1" applyFill="1" applyBorder="1" applyAlignment="1">
      <alignment horizontal="center" vertical="center" wrapText="1"/>
    </xf>
    <xf numFmtId="9" fontId="20" fillId="7" borderId="4" xfId="5" applyFont="1" applyFill="1" applyBorder="1" applyAlignment="1">
      <alignment horizontal="center" vertical="center" wrapText="1"/>
    </xf>
    <xf numFmtId="9" fontId="20" fillId="7" borderId="5" xfId="5" applyFont="1" applyFill="1" applyBorder="1" applyAlignment="1">
      <alignment horizontal="center" vertical="center" wrapText="1"/>
    </xf>
    <xf numFmtId="9" fontId="20" fillId="7" borderId="2" xfId="5" applyFont="1" applyFill="1" applyBorder="1" applyAlignment="1">
      <alignment horizontal="center" vertical="center" wrapText="1"/>
    </xf>
    <xf numFmtId="9" fontId="18" fillId="7" borderId="4" xfId="5" applyFont="1" applyFill="1" applyBorder="1" applyAlignment="1">
      <alignment horizontal="center" vertical="center" wrapText="1"/>
    </xf>
    <xf numFmtId="9" fontId="18" fillId="7" borderId="5" xfId="5" applyFont="1" applyFill="1" applyBorder="1" applyAlignment="1">
      <alignment horizontal="center" vertical="center" wrapText="1"/>
    </xf>
    <xf numFmtId="9" fontId="18" fillId="7" borderId="2" xfId="5" applyFont="1" applyFill="1" applyBorder="1" applyAlignment="1">
      <alignment horizontal="center" vertical="center" wrapText="1"/>
    </xf>
    <xf numFmtId="167" fontId="18" fillId="0" borderId="4" xfId="0" applyNumberFormat="1" applyFont="1" applyFill="1" applyBorder="1" applyAlignment="1">
      <alignment horizontal="center" vertical="center"/>
    </xf>
    <xf numFmtId="167" fontId="18" fillId="0" borderId="5" xfId="0" applyNumberFormat="1" applyFont="1" applyFill="1" applyBorder="1" applyAlignment="1">
      <alignment horizontal="center" vertical="center"/>
    </xf>
    <xf numFmtId="167" fontId="18" fillId="0" borderId="2" xfId="0" applyNumberFormat="1" applyFont="1" applyFill="1" applyBorder="1" applyAlignment="1">
      <alignment horizontal="center" vertical="center"/>
    </xf>
    <xf numFmtId="167" fontId="18" fillId="0" borderId="4" xfId="2" applyNumberFormat="1" applyFont="1" applyFill="1" applyBorder="1" applyAlignment="1">
      <alignment horizontal="center" vertical="center" wrapText="1"/>
    </xf>
    <xf numFmtId="167" fontId="18" fillId="0" borderId="5" xfId="2" applyNumberFormat="1" applyFont="1" applyFill="1" applyBorder="1" applyAlignment="1">
      <alignment horizontal="center" vertical="center" wrapText="1"/>
    </xf>
    <xf numFmtId="167" fontId="18" fillId="0" borderId="2" xfId="2"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4" fontId="18" fillId="0" borderId="3" xfId="0" applyNumberFormat="1" applyFont="1" applyFill="1" applyBorder="1" applyAlignment="1">
      <alignment horizontal="center" vertical="center" wrapText="1"/>
    </xf>
    <xf numFmtId="9" fontId="19" fillId="6" borderId="3" xfId="5" applyFont="1" applyFill="1" applyBorder="1" applyAlignment="1">
      <alignment horizontal="center" vertical="center" wrapText="1"/>
    </xf>
    <xf numFmtId="167" fontId="18" fillId="0" borderId="3" xfId="0" applyNumberFormat="1" applyFont="1" applyFill="1" applyBorder="1" applyAlignment="1">
      <alignment horizontal="center" vertical="center"/>
    </xf>
    <xf numFmtId="9" fontId="20" fillId="0" borderId="3" xfId="5" applyFont="1" applyFill="1" applyBorder="1" applyAlignment="1">
      <alignment horizontal="center" vertical="center" wrapText="1"/>
    </xf>
    <xf numFmtId="9" fontId="18" fillId="0" borderId="3" xfId="5" applyFont="1" applyBorder="1" applyAlignment="1">
      <alignment horizontal="center" vertical="center" wrapText="1"/>
    </xf>
    <xf numFmtId="9" fontId="18" fillId="0" borderId="3" xfId="5" applyFont="1" applyFill="1" applyBorder="1" applyAlignment="1">
      <alignment horizontal="center" vertical="center" wrapText="1"/>
    </xf>
    <xf numFmtId="9" fontId="20" fillId="0" borderId="3" xfId="5" applyFont="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9" fontId="18" fillId="0" borderId="4" xfId="5" applyFont="1" applyFill="1" applyBorder="1" applyAlignment="1">
      <alignment horizontal="center" vertical="center"/>
    </xf>
    <xf numFmtId="9" fontId="18" fillId="0" borderId="5" xfId="5" applyFont="1" applyFill="1" applyBorder="1" applyAlignment="1">
      <alignment horizontal="center" vertical="center"/>
    </xf>
    <xf numFmtId="9" fontId="18" fillId="0" borderId="2" xfId="5" applyFont="1" applyFill="1" applyBorder="1" applyAlignment="1">
      <alignment horizontal="center" vertical="center"/>
    </xf>
    <xf numFmtId="9" fontId="20" fillId="0" borderId="4" xfId="5" applyFont="1" applyFill="1" applyBorder="1" applyAlignment="1">
      <alignment horizontal="center" vertical="center" wrapText="1"/>
    </xf>
    <xf numFmtId="9" fontId="20" fillId="0" borderId="5" xfId="5" applyFont="1" applyFill="1" applyBorder="1" applyAlignment="1">
      <alignment horizontal="center" vertical="center" wrapText="1"/>
    </xf>
    <xf numFmtId="9" fontId="20" fillId="0" borderId="2" xfId="5" applyFont="1" applyFill="1" applyBorder="1" applyAlignment="1">
      <alignment horizontal="center" vertical="center" wrapText="1"/>
    </xf>
    <xf numFmtId="0" fontId="18" fillId="0" borderId="2" xfId="0" applyFont="1" applyFill="1" applyBorder="1" applyAlignment="1">
      <alignment horizontal="center" vertical="center" wrapText="1"/>
    </xf>
    <xf numFmtId="167" fontId="18" fillId="0" borderId="12" xfId="2" applyNumberFormat="1" applyFont="1" applyFill="1" applyBorder="1" applyAlignment="1">
      <alignment horizontal="center" vertical="center" wrapText="1"/>
    </xf>
    <xf numFmtId="167" fontId="18" fillId="0" borderId="3" xfId="0" applyNumberFormat="1" applyFont="1" applyFill="1" applyBorder="1" applyAlignment="1">
      <alignment horizontal="right" vertical="center"/>
    </xf>
    <xf numFmtId="167" fontId="18" fillId="0" borderId="4" xfId="0" applyNumberFormat="1" applyFont="1" applyFill="1" applyBorder="1" applyAlignment="1">
      <alignment horizontal="right" vertical="center"/>
    </xf>
    <xf numFmtId="9" fontId="18" fillId="0" borderId="4" xfId="5" applyFont="1" applyFill="1" applyBorder="1" applyAlignment="1">
      <alignment horizontal="center" vertical="center" wrapText="1"/>
    </xf>
    <xf numFmtId="9" fontId="18" fillId="0" borderId="5" xfId="5" applyFont="1" applyFill="1" applyBorder="1" applyAlignment="1">
      <alignment horizontal="center" vertical="center" wrapText="1"/>
    </xf>
    <xf numFmtId="9" fontId="18" fillId="0" borderId="2" xfId="5" applyFont="1" applyFill="1" applyBorder="1" applyAlignment="1">
      <alignment horizontal="center" vertical="center" wrapText="1"/>
    </xf>
    <xf numFmtId="167" fontId="18" fillId="0" borderId="4" xfId="1" applyNumberFormat="1" applyFont="1" applyFill="1" applyBorder="1" applyAlignment="1">
      <alignment horizontal="center" vertical="center" wrapText="1"/>
    </xf>
    <xf numFmtId="167" fontId="18" fillId="0" borderId="5" xfId="1" applyNumberFormat="1" applyFont="1" applyFill="1" applyBorder="1" applyAlignment="1">
      <alignment horizontal="center" vertical="center" wrapText="1"/>
    </xf>
    <xf numFmtId="167" fontId="18" fillId="0" borderId="2" xfId="1"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167" fontId="18" fillId="3" borderId="4" xfId="1" applyNumberFormat="1" applyFont="1" applyFill="1" applyBorder="1" applyAlignment="1">
      <alignment horizontal="center" vertical="center" wrapText="1"/>
    </xf>
    <xf numFmtId="167" fontId="18" fillId="3" borderId="5" xfId="1" applyNumberFormat="1" applyFont="1" applyFill="1" applyBorder="1" applyAlignment="1">
      <alignment horizontal="center" vertical="center" wrapText="1"/>
    </xf>
    <xf numFmtId="167" fontId="18" fillId="3" borderId="2" xfId="1" applyNumberFormat="1" applyFont="1" applyFill="1" applyBorder="1" applyAlignment="1">
      <alignment horizontal="center" vertical="center" wrapText="1"/>
    </xf>
    <xf numFmtId="49" fontId="18" fillId="3" borderId="4" xfId="0" applyNumberFormat="1" applyFont="1" applyFill="1" applyBorder="1" applyAlignment="1">
      <alignment horizontal="center" vertical="center" wrapText="1"/>
    </xf>
    <xf numFmtId="49" fontId="18" fillId="3" borderId="5" xfId="0" applyNumberFormat="1" applyFont="1" applyFill="1" applyBorder="1" applyAlignment="1">
      <alignment horizontal="center" vertical="center" wrapText="1"/>
    </xf>
    <xf numFmtId="49" fontId="18" fillId="3" borderId="2"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167" fontId="4" fillId="0" borderId="3" xfId="0" applyNumberFormat="1" applyFont="1" applyFill="1" applyBorder="1" applyAlignment="1">
      <alignment horizontal="right" vertical="center"/>
    </xf>
    <xf numFmtId="167" fontId="4" fillId="0" borderId="4" xfId="0" applyNumberFormat="1" applyFont="1" applyFill="1" applyBorder="1" applyAlignment="1">
      <alignment horizontal="right" vertical="center"/>
    </xf>
    <xf numFmtId="0" fontId="4" fillId="0" borderId="3" xfId="0" applyFont="1" applyFill="1" applyBorder="1" applyAlignment="1">
      <alignment horizontal="center" vertical="center" wrapText="1"/>
    </xf>
    <xf numFmtId="9" fontId="0" fillId="9" borderId="4" xfId="5" applyFont="1" applyFill="1" applyBorder="1" applyAlignment="1">
      <alignment horizontal="center"/>
    </xf>
    <xf numFmtId="9" fontId="0" fillId="9" borderId="5" xfId="5" applyFont="1" applyFill="1" applyBorder="1" applyAlignment="1">
      <alignment horizontal="center"/>
    </xf>
    <xf numFmtId="9" fontId="0" fillId="9" borderId="2" xfId="5" applyFont="1" applyFill="1" applyBorder="1" applyAlignment="1">
      <alignment horizontal="center"/>
    </xf>
    <xf numFmtId="167" fontId="4" fillId="0" borderId="4" xfId="2" applyNumberFormat="1" applyFont="1" applyFill="1" applyBorder="1" applyAlignment="1">
      <alignment horizontal="center" vertical="center" wrapText="1"/>
    </xf>
    <xf numFmtId="167" fontId="4" fillId="0" borderId="5" xfId="2" applyNumberFormat="1" applyFont="1" applyFill="1" applyBorder="1" applyAlignment="1">
      <alignment horizontal="center" vertical="center" wrapText="1"/>
    </xf>
    <xf numFmtId="167" fontId="4" fillId="0" borderId="2" xfId="2" applyNumberFormat="1" applyFont="1" applyFill="1" applyBorder="1" applyAlignment="1">
      <alignment horizontal="center" vertical="center" wrapText="1"/>
    </xf>
    <xf numFmtId="9" fontId="0" fillId="0" borderId="4" xfId="5" applyFont="1" applyFill="1" applyBorder="1" applyAlignment="1">
      <alignment horizontal="center" vertical="center" wrapText="1"/>
    </xf>
    <xf numFmtId="9" fontId="0" fillId="0" borderId="5" xfId="5" applyFont="1" applyFill="1" applyBorder="1" applyAlignment="1">
      <alignment horizontal="center" vertical="center" wrapText="1"/>
    </xf>
    <xf numFmtId="9" fontId="0" fillId="0" borderId="2" xfId="5" applyFont="1" applyFill="1" applyBorder="1" applyAlignment="1">
      <alignment horizontal="center" vertical="center" wrapText="1"/>
    </xf>
    <xf numFmtId="9" fontId="0" fillId="0" borderId="3" xfId="5" applyFont="1" applyBorder="1" applyAlignment="1">
      <alignment horizontal="center" vertical="center" wrapText="1"/>
    </xf>
    <xf numFmtId="167" fontId="16" fillId="0" borderId="3" xfId="2" applyNumberFormat="1" applyFont="1" applyFill="1" applyBorder="1" applyAlignment="1">
      <alignment horizontal="center" vertical="center" wrapText="1"/>
    </xf>
    <xf numFmtId="9" fontId="0" fillId="0" borderId="3" xfId="5" applyFont="1" applyBorder="1" applyAlignment="1">
      <alignment horizontal="center"/>
    </xf>
    <xf numFmtId="9" fontId="0" fillId="0" borderId="3" xfId="5" applyFont="1" applyFill="1" applyBorder="1" applyAlignment="1">
      <alignment horizontal="center"/>
    </xf>
    <xf numFmtId="167" fontId="16" fillId="0" borderId="16" xfId="0" applyNumberFormat="1" applyFont="1" applyFill="1" applyBorder="1" applyAlignment="1">
      <alignment horizontal="center" vertical="center"/>
    </xf>
    <xf numFmtId="167" fontId="16" fillId="0" borderId="17" xfId="0" applyNumberFormat="1" applyFont="1" applyFill="1" applyBorder="1" applyAlignment="1">
      <alignment horizontal="center" vertical="center"/>
    </xf>
    <xf numFmtId="167" fontId="16" fillId="0" borderId="18" xfId="0" applyNumberFormat="1" applyFont="1" applyFill="1" applyBorder="1" applyAlignment="1">
      <alignment horizontal="center" vertical="center"/>
    </xf>
    <xf numFmtId="167" fontId="16" fillId="0" borderId="13" xfId="0" applyNumberFormat="1" applyFont="1" applyFill="1" applyBorder="1" applyAlignment="1">
      <alignment horizontal="center" vertical="center"/>
    </xf>
    <xf numFmtId="167" fontId="16" fillId="0" borderId="14" xfId="0" applyNumberFormat="1" applyFont="1" applyFill="1" applyBorder="1" applyAlignment="1">
      <alignment horizontal="center" vertical="center"/>
    </xf>
    <xf numFmtId="167" fontId="16" fillId="0" borderId="15" xfId="0" applyNumberFormat="1" applyFont="1" applyFill="1" applyBorder="1" applyAlignment="1">
      <alignment horizontal="center" vertical="center"/>
    </xf>
    <xf numFmtId="167" fontId="16" fillId="0" borderId="3" xfId="0" applyNumberFormat="1" applyFont="1" applyFill="1" applyBorder="1" applyAlignment="1">
      <alignment horizontal="center" vertical="center"/>
    </xf>
    <xf numFmtId="167"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9" fontId="0" fillId="0" borderId="4" xfId="5" applyFont="1" applyFill="1" applyBorder="1" applyAlignment="1">
      <alignment horizontal="center"/>
    </xf>
    <xf numFmtId="9" fontId="0" fillId="0" borderId="5" xfId="5" applyFont="1" applyFill="1" applyBorder="1" applyAlignment="1">
      <alignment horizontal="center"/>
    </xf>
    <xf numFmtId="9" fontId="0" fillId="0" borderId="2" xfId="5" applyFont="1" applyFill="1" applyBorder="1" applyAlignment="1">
      <alignment horizontal="center"/>
    </xf>
    <xf numFmtId="167" fontId="4" fillId="0" borderId="4" xfId="0" applyNumberFormat="1" applyFont="1" applyFill="1" applyBorder="1" applyAlignment="1">
      <alignment horizontal="center" vertical="center"/>
    </xf>
    <xf numFmtId="167" fontId="4" fillId="0" borderId="5" xfId="0" applyNumberFormat="1" applyFont="1" applyFill="1" applyBorder="1" applyAlignment="1">
      <alignment horizontal="center" vertical="center"/>
    </xf>
    <xf numFmtId="167" fontId="4" fillId="0" borderId="2" xfId="0" applyNumberFormat="1" applyFont="1" applyFill="1" applyBorder="1" applyAlignment="1">
      <alignment horizontal="center" vertical="center"/>
    </xf>
    <xf numFmtId="9" fontId="8" fillId="0" borderId="4" xfId="5" applyFont="1" applyFill="1" applyBorder="1" applyAlignment="1">
      <alignment horizontal="center" vertical="center" wrapText="1"/>
    </xf>
    <xf numFmtId="9" fontId="8" fillId="0" borderId="5" xfId="5" applyFont="1" applyFill="1" applyBorder="1" applyAlignment="1">
      <alignment horizontal="center" vertical="center" wrapText="1"/>
    </xf>
    <xf numFmtId="9" fontId="8" fillId="0" borderId="2" xfId="5"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7" fillId="9" borderId="3" xfId="0" applyFont="1" applyFill="1" applyBorder="1" applyAlignment="1">
      <alignment horizontal="center" wrapText="1"/>
    </xf>
    <xf numFmtId="166" fontId="17" fillId="0" borderId="3" xfId="0" applyNumberFormat="1" applyFont="1" applyBorder="1" applyAlignment="1">
      <alignment horizontal="center" wrapText="1"/>
    </xf>
    <xf numFmtId="9" fontId="17" fillId="0" borderId="3" xfId="5" applyFont="1" applyBorder="1" applyAlignment="1">
      <alignment horizontal="center" wrapText="1"/>
    </xf>
    <xf numFmtId="0" fontId="17" fillId="9" borderId="4" xfId="0" applyFont="1" applyFill="1" applyBorder="1" applyAlignment="1">
      <alignment horizontal="center" wrapText="1"/>
    </xf>
    <xf numFmtId="166" fontId="17" fillId="0" borderId="4" xfId="0" applyNumberFormat="1" applyFont="1" applyBorder="1" applyAlignment="1">
      <alignment horizontal="center" wrapText="1"/>
    </xf>
    <xf numFmtId="9" fontId="17" fillId="0" borderId="4" xfId="5" applyFont="1" applyBorder="1" applyAlignment="1">
      <alignment horizontal="center" wrapText="1"/>
    </xf>
    <xf numFmtId="0" fontId="26" fillId="2" borderId="21" xfId="0" applyFont="1" applyFill="1" applyBorder="1" applyAlignment="1">
      <alignment horizontal="center" wrapText="1"/>
    </xf>
    <xf numFmtId="166" fontId="26" fillId="2" borderId="9" xfId="0" applyNumberFormat="1" applyFont="1" applyFill="1" applyBorder="1" applyAlignment="1">
      <alignment horizontal="center"/>
    </xf>
    <xf numFmtId="9" fontId="26" fillId="2" borderId="22" xfId="5" applyFont="1" applyFill="1" applyBorder="1" applyAlignment="1">
      <alignment horizontal="center" wrapText="1"/>
    </xf>
    <xf numFmtId="9" fontId="26" fillId="2" borderId="10" xfId="5" applyFont="1" applyFill="1" applyBorder="1" applyAlignment="1">
      <alignment horizontal="center" wrapText="1"/>
    </xf>
    <xf numFmtId="0" fontId="25" fillId="0" borderId="3" xfId="0" applyFont="1" applyBorder="1" applyAlignment="1">
      <alignment horizontal="left" vertical="center" wrapText="1"/>
    </xf>
  </cellXfs>
  <cellStyles count="7">
    <cellStyle name="Millares" xfId="2" builtinId="3"/>
    <cellStyle name="Millares [0] 2" xfId="1" xr:uid="{00000000-0005-0000-0000-000001000000}"/>
    <cellStyle name="Millares 2" xfId="3" xr:uid="{00000000-0005-0000-0000-000002000000}"/>
    <cellStyle name="Moneda" xfId="6" builtinId="4"/>
    <cellStyle name="Normal" xfId="0" builtinId="0"/>
    <cellStyle name="Normal 2" xfId="4" xr:uid="{00000000-0005-0000-0000-000005000000}"/>
    <cellStyle name="Porcentaje" xfId="5" builtinId="5"/>
  </cellStyles>
  <dxfs count="87">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J74"/>
  <sheetViews>
    <sheetView tabSelected="1" zoomScale="80" zoomScaleNormal="80" workbookViewId="0">
      <pane ySplit="1" topLeftCell="A2" activePane="bottomLeft" state="frozen"/>
      <selection pane="bottomLeft" activeCell="A4" sqref="A4"/>
    </sheetView>
  </sheetViews>
  <sheetFormatPr baseColWidth="10" defaultColWidth="0" defaultRowHeight="15" zeroHeight="1" x14ac:dyDescent="0.25"/>
  <cols>
    <col min="1" max="1" width="31.85546875" customWidth="1"/>
    <col min="2" max="2" width="18.5703125" style="2" bestFit="1" customWidth="1"/>
    <col min="3" max="3" width="20.42578125" style="2" bestFit="1" customWidth="1"/>
    <col min="4" max="4" width="12.85546875" style="38" customWidth="1"/>
    <col min="5" max="5" width="17.140625" style="2" bestFit="1" customWidth="1"/>
    <col min="6" max="6" width="15.42578125" style="38" customWidth="1"/>
    <col min="7" max="7" width="17.140625" style="2" bestFit="1" customWidth="1"/>
    <col min="8" max="8" width="14.5703125" style="38" customWidth="1"/>
    <col min="9" max="9" width="22.5703125" hidden="1"/>
    <col min="11" max="16384" width="11.42578125" hidden="1"/>
  </cols>
  <sheetData>
    <row r="1" spans="1:8" ht="48.75" customHeight="1" x14ac:dyDescent="0.25">
      <c r="A1" s="293" t="s">
        <v>1658</v>
      </c>
      <c r="B1" s="294" t="s">
        <v>1659</v>
      </c>
      <c r="C1" s="294" t="s">
        <v>1660</v>
      </c>
      <c r="D1" s="295" t="s">
        <v>1535</v>
      </c>
      <c r="E1" s="294" t="s">
        <v>1661</v>
      </c>
      <c r="F1" s="295" t="s">
        <v>1662</v>
      </c>
      <c r="G1" s="294" t="s">
        <v>1673</v>
      </c>
      <c r="H1" s="295" t="s">
        <v>1663</v>
      </c>
    </row>
    <row r="2" spans="1:8" ht="14.45" customHeight="1" x14ac:dyDescent="0.3">
      <c r="A2" s="429" t="s">
        <v>184</v>
      </c>
      <c r="B2" s="129">
        <f>ambiental!M27</f>
        <v>921086150</v>
      </c>
      <c r="C2" s="430">
        <f>ambiental!R27</f>
        <v>169110532</v>
      </c>
      <c r="D2" s="431">
        <f>C2/B2</f>
        <v>0.18359903902582836</v>
      </c>
      <c r="E2" s="430">
        <f>ambiental!V27</f>
        <v>169110532</v>
      </c>
      <c r="F2" s="431">
        <f>E2/B2</f>
        <v>0.18359903902582836</v>
      </c>
      <c r="G2" s="430">
        <f>ambiental!Y27</f>
        <v>145883356</v>
      </c>
      <c r="H2" s="431">
        <f>G2/B2</f>
        <v>0.15838187991427294</v>
      </c>
    </row>
    <row r="3" spans="1:8" ht="33" x14ac:dyDescent="0.3">
      <c r="A3" s="429" t="s">
        <v>1664</v>
      </c>
      <c r="B3" s="430">
        <f>'Apoyo Académico'!M44</f>
        <v>4850405828</v>
      </c>
      <c r="C3" s="430">
        <f>'Apoyo Académico'!R44</f>
        <v>1881233170</v>
      </c>
      <c r="D3" s="431">
        <f t="shared" ref="D3:D27" si="0">C3/B3</f>
        <v>0.38785067409002794</v>
      </c>
      <c r="E3" s="430">
        <f>'Apoyo Académico'!V44</f>
        <v>1838470923</v>
      </c>
      <c r="F3" s="431">
        <f t="shared" ref="F3:F27" si="1">E3/B3</f>
        <v>0.37903445365066885</v>
      </c>
      <c r="G3" s="430">
        <f>'Apoyo Académico'!Y44</f>
        <v>975873163</v>
      </c>
      <c r="H3" s="431">
        <f t="shared" ref="H3:H27" si="2">G3/B3</f>
        <v>0.20119412634847264</v>
      </c>
    </row>
    <row r="4" spans="1:8" ht="33" x14ac:dyDescent="0.3">
      <c r="A4" s="429" t="s">
        <v>28</v>
      </c>
      <c r="B4" s="430">
        <f>Archivo!M7</f>
        <v>551517942</v>
      </c>
      <c r="C4" s="430">
        <f>Archivo!R7</f>
        <v>140440480</v>
      </c>
      <c r="D4" s="431">
        <f t="shared" si="0"/>
        <v>0.2546435379612727</v>
      </c>
      <c r="E4" s="430">
        <f>Archivo!V7</f>
        <v>139787650</v>
      </c>
      <c r="F4" s="431">
        <f t="shared" si="1"/>
        <v>0.25345984120313531</v>
      </c>
      <c r="G4" s="430">
        <f>Archivo!Y7</f>
        <v>56087160</v>
      </c>
      <c r="H4" s="431">
        <f t="shared" si="2"/>
        <v>0.10169598435294422</v>
      </c>
    </row>
    <row r="5" spans="1:8" ht="33" x14ac:dyDescent="0.3">
      <c r="A5" s="429" t="s">
        <v>34</v>
      </c>
      <c r="B5" s="430">
        <f>'Autoevaluación y acreditación'!M42</f>
        <v>903822148</v>
      </c>
      <c r="C5" s="430">
        <f>'Autoevaluación y acreditación'!R42</f>
        <v>632729520</v>
      </c>
      <c r="D5" s="431">
        <f t="shared" si="0"/>
        <v>0.70005976441285434</v>
      </c>
      <c r="E5" s="430">
        <f>'Autoevaluación y acreditación'!V42</f>
        <v>628995520</v>
      </c>
      <c r="F5" s="431">
        <f t="shared" si="1"/>
        <v>0.69592842064321703</v>
      </c>
      <c r="G5" s="430">
        <f>'Autoevaluación y acreditación'!Y42</f>
        <v>628995520</v>
      </c>
      <c r="H5" s="431">
        <f t="shared" si="2"/>
        <v>0.69592842064321703</v>
      </c>
    </row>
    <row r="6" spans="1:8" ht="14.45" customHeight="1" x14ac:dyDescent="0.3">
      <c r="A6" s="429" t="s">
        <v>1665</v>
      </c>
      <c r="B6" s="430">
        <f>'bienes y servicios'!M16</f>
        <v>5186977185</v>
      </c>
      <c r="C6" s="430">
        <f>'bienes y servicios'!R16</f>
        <v>7456752</v>
      </c>
      <c r="D6" s="431">
        <f t="shared" si="0"/>
        <v>1.4375910542972631E-3</v>
      </c>
      <c r="E6" s="430">
        <f>'bienes y servicios'!V16</f>
        <v>7456752</v>
      </c>
      <c r="F6" s="431">
        <f t="shared" si="1"/>
        <v>1.4375910542972631E-3</v>
      </c>
      <c r="G6" s="430">
        <f>'bienes y servicios'!Y16</f>
        <v>7456752</v>
      </c>
      <c r="H6" s="431">
        <f t="shared" si="2"/>
        <v>1.4375910542972631E-3</v>
      </c>
    </row>
    <row r="7" spans="1:8" ht="14.45" customHeight="1" x14ac:dyDescent="0.3">
      <c r="A7" s="429" t="s">
        <v>80</v>
      </c>
      <c r="B7" s="430">
        <f>'bienestar U.'!M85</f>
        <v>3992788306</v>
      </c>
      <c r="C7" s="430">
        <f>'bienestar U.'!R85</f>
        <v>1954980476</v>
      </c>
      <c r="D7" s="431">
        <f t="shared" si="0"/>
        <v>0.48962788061221096</v>
      </c>
      <c r="E7" s="430">
        <f>'bienestar U.'!V85</f>
        <v>1924171594</v>
      </c>
      <c r="F7" s="431">
        <f t="shared" si="1"/>
        <v>0.48191174851632618</v>
      </c>
      <c r="G7" s="430">
        <f>'bienestar U.'!Y85</f>
        <v>685635483</v>
      </c>
      <c r="H7" s="431">
        <f t="shared" si="2"/>
        <v>0.17171846600774932</v>
      </c>
    </row>
    <row r="8" spans="1:8" ht="14.45" customHeight="1" x14ac:dyDescent="0.3">
      <c r="A8" s="429" t="s">
        <v>96</v>
      </c>
      <c r="B8" s="430">
        <f>calidad!M17</f>
        <v>293750000</v>
      </c>
      <c r="C8" s="430">
        <f>calidad!R17</f>
        <v>287805026</v>
      </c>
      <c r="D8" s="431">
        <f t="shared" si="0"/>
        <v>0.97976179063829782</v>
      </c>
      <c r="E8" s="430">
        <f>calidad!V17</f>
        <v>254681173</v>
      </c>
      <c r="F8" s="431">
        <f t="shared" si="1"/>
        <v>0.86699973787234041</v>
      </c>
      <c r="G8" s="430">
        <f>calidad!Y17</f>
        <v>205630629</v>
      </c>
      <c r="H8" s="431">
        <f t="shared" si="2"/>
        <v>0.70001916255319152</v>
      </c>
    </row>
    <row r="9" spans="1:8" ht="33" x14ac:dyDescent="0.3">
      <c r="A9" s="429" t="s">
        <v>102</v>
      </c>
      <c r="B9" s="430">
        <f>'centro de E agroambientales'!M5</f>
        <v>132224970</v>
      </c>
      <c r="C9" s="430">
        <f>'centro de E agroambientales'!R5</f>
        <v>21839000</v>
      </c>
      <c r="D9" s="431">
        <f t="shared" si="0"/>
        <v>0.16516547517462096</v>
      </c>
      <c r="E9" s="430">
        <f>'centro de E agroambientales'!V5</f>
        <v>6839000</v>
      </c>
      <c r="F9" s="431">
        <f t="shared" si="1"/>
        <v>5.1722454540923703E-2</v>
      </c>
      <c r="G9" s="430">
        <f>'centro de E agroambientales'!Y5</f>
        <v>0</v>
      </c>
      <c r="H9" s="431">
        <f t="shared" si="2"/>
        <v>0</v>
      </c>
    </row>
    <row r="10" spans="1:8" ht="14.45" customHeight="1" x14ac:dyDescent="0.3">
      <c r="A10" s="429" t="s">
        <v>108</v>
      </c>
      <c r="B10" s="430">
        <f>comunicaciones!M10</f>
        <v>224000000</v>
      </c>
      <c r="C10" s="430">
        <f>comunicaciones!R10</f>
        <v>169341932</v>
      </c>
      <c r="D10" s="431">
        <f t="shared" si="0"/>
        <v>0.75599076785714281</v>
      </c>
      <c r="E10" s="430">
        <f>comunicaciones!V10</f>
        <v>169341932</v>
      </c>
      <c r="F10" s="431">
        <f t="shared" si="1"/>
        <v>0.75599076785714281</v>
      </c>
      <c r="G10" s="430">
        <f>comunicaciones!Y10</f>
        <v>166106932</v>
      </c>
      <c r="H10" s="431">
        <f t="shared" si="2"/>
        <v>0.74154880357142861</v>
      </c>
    </row>
    <row r="11" spans="1:8" ht="14.45" customHeight="1" x14ac:dyDescent="0.3">
      <c r="A11" s="429" t="s">
        <v>1666</v>
      </c>
      <c r="B11" s="430">
        <f>'desarrollo académico'!M23</f>
        <v>421399950</v>
      </c>
      <c r="C11" s="430">
        <f>'desarrollo académico'!R23</f>
        <v>161244500</v>
      </c>
      <c r="D11" s="431">
        <f t="shared" si="0"/>
        <v>0.38264005489321962</v>
      </c>
      <c r="E11" s="430">
        <f>'desarrollo académico'!V23</f>
        <v>229935500</v>
      </c>
      <c r="F11" s="431">
        <f t="shared" si="1"/>
        <v>0.54564671875257698</v>
      </c>
      <c r="G11" s="430">
        <f>'desarrollo académico'!Y23</f>
        <v>172000177</v>
      </c>
      <c r="H11" s="431">
        <f t="shared" si="2"/>
        <v>0.40816373376408799</v>
      </c>
    </row>
    <row r="12" spans="1:8" ht="14.45" customHeight="1" x14ac:dyDescent="0.3">
      <c r="A12" s="429" t="s">
        <v>1667</v>
      </c>
      <c r="B12" s="430">
        <f>planeación!M27</f>
        <v>1548990658</v>
      </c>
      <c r="C12" s="430">
        <f>planeación!R27</f>
        <v>205022513</v>
      </c>
      <c r="D12" s="431">
        <f t="shared" si="0"/>
        <v>0.13235877953241987</v>
      </c>
      <c r="E12" s="430">
        <f>planeación!V27</f>
        <v>205022513</v>
      </c>
      <c r="F12" s="431">
        <f t="shared" si="1"/>
        <v>0.13235877953241987</v>
      </c>
      <c r="G12" s="430">
        <f>planeación!Y27</f>
        <v>204211613</v>
      </c>
      <c r="H12" s="431">
        <f t="shared" si="2"/>
        <v>0.1318352773435513</v>
      </c>
    </row>
    <row r="13" spans="1:8" ht="33" x14ac:dyDescent="0.3">
      <c r="A13" s="429" t="s">
        <v>1668</v>
      </c>
      <c r="B13" s="430">
        <f>'Educación Virtual y a distancia'!M19</f>
        <v>1884825191</v>
      </c>
      <c r="C13" s="430">
        <f>'Educación Virtual y a distancia'!R19</f>
        <v>167377142</v>
      </c>
      <c r="D13" s="431">
        <f t="shared" si="0"/>
        <v>8.8802475051385277E-2</v>
      </c>
      <c r="E13" s="430">
        <f>'Educación Virtual y a distancia'!V19</f>
        <v>167377142</v>
      </c>
      <c r="F13" s="431">
        <f t="shared" si="1"/>
        <v>8.8802475051385277E-2</v>
      </c>
      <c r="G13" s="430">
        <f>'Educación Virtual y a distancia'!Y19</f>
        <v>167166205</v>
      </c>
      <c r="H13" s="431">
        <f t="shared" si="2"/>
        <v>8.8690561755124589E-2</v>
      </c>
    </row>
    <row r="14" spans="1:8" ht="33" x14ac:dyDescent="0.3">
      <c r="A14" s="429" t="s">
        <v>1669</v>
      </c>
      <c r="B14" s="430">
        <f>EFAD!M44</f>
        <v>621125000</v>
      </c>
      <c r="C14" s="430">
        <f>EFAD!R44</f>
        <v>552956578</v>
      </c>
      <c r="D14" s="431">
        <f t="shared" si="0"/>
        <v>0.89025007526665323</v>
      </c>
      <c r="E14" s="430">
        <f>EFAD!V44</f>
        <v>529067578</v>
      </c>
      <c r="F14" s="431">
        <f t="shared" si="1"/>
        <v>0.85178921795129803</v>
      </c>
      <c r="G14" s="430">
        <f>EFAD!Y44</f>
        <v>508133003.5</v>
      </c>
      <c r="H14" s="431">
        <f>G14/B14</f>
        <v>0.81808493217951295</v>
      </c>
    </row>
    <row r="15" spans="1:8" ht="14.45" customHeight="1" x14ac:dyDescent="0.3">
      <c r="A15" s="429" t="s">
        <v>190</v>
      </c>
      <c r="B15" s="430">
        <f>Graduados!M9</f>
        <v>323250000</v>
      </c>
      <c r="C15" s="430">
        <f>Graduados!V9</f>
        <v>62590000</v>
      </c>
      <c r="D15" s="431">
        <f t="shared" si="0"/>
        <v>0.19362722351121422</v>
      </c>
      <c r="E15" s="430">
        <f>Graduados!V9</f>
        <v>62590000</v>
      </c>
      <c r="F15" s="431">
        <f t="shared" si="1"/>
        <v>0.19362722351121422</v>
      </c>
      <c r="G15" s="430">
        <f>Graduados!Y9</f>
        <v>55631200</v>
      </c>
      <c r="H15" s="431">
        <f t="shared" si="2"/>
        <v>0.17209961330239754</v>
      </c>
    </row>
    <row r="16" spans="1:8" ht="33" x14ac:dyDescent="0.3">
      <c r="A16" s="429" t="s">
        <v>195</v>
      </c>
      <c r="B16" s="430">
        <f>'interac. social'!M27</f>
        <v>813968982</v>
      </c>
      <c r="C16" s="430">
        <f>'interac. social'!R27</f>
        <v>316123260</v>
      </c>
      <c r="D16" s="431">
        <f t="shared" si="0"/>
        <v>0.38837261245908261</v>
      </c>
      <c r="E16" s="430">
        <f>'interac. social'!V27</f>
        <v>316123260</v>
      </c>
      <c r="F16" s="431">
        <f t="shared" si="1"/>
        <v>0.38837261245908261</v>
      </c>
      <c r="G16" s="430">
        <f>'interac. social'!Y27</f>
        <v>256909260</v>
      </c>
      <c r="H16" s="431">
        <f t="shared" si="2"/>
        <v>0.31562536863351875</v>
      </c>
    </row>
    <row r="17" spans="1:10" ht="14.45" customHeight="1" x14ac:dyDescent="0.3">
      <c r="A17" s="429" t="s">
        <v>206</v>
      </c>
      <c r="B17" s="430">
        <f>Internacionalización!M9</f>
        <v>207740004</v>
      </c>
      <c r="C17" s="430">
        <f>Internacionalización!R9</f>
        <v>115682282</v>
      </c>
      <c r="D17" s="431">
        <f t="shared" si="0"/>
        <v>0.55686088270220691</v>
      </c>
      <c r="E17" s="430">
        <f>Internacionalización!V9</f>
        <v>115682282</v>
      </c>
      <c r="F17" s="431">
        <f t="shared" si="1"/>
        <v>0.55686088270220691</v>
      </c>
      <c r="G17" s="430">
        <f>Internacionalización!Y9</f>
        <v>115632282</v>
      </c>
      <c r="H17" s="431">
        <f t="shared" si="2"/>
        <v>0.55662019723461642</v>
      </c>
    </row>
    <row r="18" spans="1:10" ht="14.45" customHeight="1" x14ac:dyDescent="0.3">
      <c r="A18" s="429" t="s">
        <v>212</v>
      </c>
      <c r="B18" s="430">
        <f>investigación!M133</f>
        <v>2543327725</v>
      </c>
      <c r="C18" s="430">
        <f>investigación!R133</f>
        <v>395760340</v>
      </c>
      <c r="D18" s="431">
        <f t="shared" si="0"/>
        <v>0.15560729201739032</v>
      </c>
      <c r="E18" s="430">
        <f>investigación!V133</f>
        <v>414846292</v>
      </c>
      <c r="F18" s="431">
        <f t="shared" si="1"/>
        <v>0.16311161472515304</v>
      </c>
      <c r="G18" s="430">
        <f>investigación!Y133</f>
        <v>382768928</v>
      </c>
      <c r="H18" s="431">
        <f t="shared" si="2"/>
        <v>0.15049925506552642</v>
      </c>
      <c r="I18" s="320"/>
      <c r="J18" s="320"/>
    </row>
    <row r="19" spans="1:10" ht="14.45" customHeight="1" x14ac:dyDescent="0.3">
      <c r="A19" s="429" t="s">
        <v>1670</v>
      </c>
      <c r="B19" s="430">
        <f>posgrados!M4</f>
        <v>390600000</v>
      </c>
      <c r="C19" s="430">
        <f>posgrados!V4</f>
        <v>100856070</v>
      </c>
      <c r="D19" s="431">
        <f t="shared" si="0"/>
        <v>0.25820806451612904</v>
      </c>
      <c r="E19" s="430"/>
      <c r="F19" s="431">
        <f t="shared" si="1"/>
        <v>0</v>
      </c>
      <c r="G19" s="430"/>
      <c r="H19" s="431">
        <f t="shared" si="2"/>
        <v>0</v>
      </c>
    </row>
    <row r="20" spans="1:10" ht="33" x14ac:dyDescent="0.3">
      <c r="A20" s="429" t="s">
        <v>1671</v>
      </c>
      <c r="B20" s="430">
        <f>'Seg y S en el Trabajo'!M22</f>
        <v>1021879532</v>
      </c>
      <c r="C20" s="430"/>
      <c r="D20" s="431">
        <f t="shared" si="0"/>
        <v>0</v>
      </c>
      <c r="E20" s="430"/>
      <c r="F20" s="431">
        <f t="shared" si="1"/>
        <v>0</v>
      </c>
      <c r="G20" s="430"/>
      <c r="H20" s="431">
        <f t="shared" si="2"/>
        <v>0</v>
      </c>
    </row>
    <row r="21" spans="1:10" ht="14.45" customHeight="1" x14ac:dyDescent="0.3">
      <c r="A21" s="429" t="s">
        <v>250</v>
      </c>
      <c r="B21" s="430">
        <f>'sistemas y T'!N45</f>
        <v>7764813184</v>
      </c>
      <c r="C21" s="430">
        <f>'sistemas y T'!R44</f>
        <v>2985373860</v>
      </c>
      <c r="D21" s="431">
        <f t="shared" si="0"/>
        <v>0.38447465370468853</v>
      </c>
      <c r="E21" s="430">
        <f>'sistemas y T'!V44</f>
        <v>1500401025</v>
      </c>
      <c r="F21" s="431">
        <f t="shared" si="1"/>
        <v>0.19323079505527482</v>
      </c>
      <c r="G21" s="430">
        <f>'sistemas y T'!Y44</f>
        <v>1340397069.6299999</v>
      </c>
      <c r="H21" s="431">
        <f t="shared" si="2"/>
        <v>0.1726245098068801</v>
      </c>
    </row>
    <row r="22" spans="1:10" ht="14.45" customHeight="1" x14ac:dyDescent="0.3">
      <c r="A22" s="429" t="s">
        <v>290</v>
      </c>
      <c r="B22" s="430">
        <f>'talento H'!N4</f>
        <v>120000000</v>
      </c>
      <c r="C22" s="430">
        <f>'talento H'!R4</f>
        <v>25000000</v>
      </c>
      <c r="D22" s="431">
        <f t="shared" si="0"/>
        <v>0.20833333333333334</v>
      </c>
      <c r="E22" s="430">
        <f>'talento H'!V4</f>
        <v>25000000</v>
      </c>
      <c r="F22" s="431">
        <f t="shared" si="1"/>
        <v>0.20833333333333334</v>
      </c>
      <c r="G22" s="430">
        <f>'talento H'!Y4</f>
        <v>10489500</v>
      </c>
      <c r="H22" s="431">
        <f t="shared" si="2"/>
        <v>8.7412500000000004E-2</v>
      </c>
    </row>
    <row r="23" spans="1:10" ht="14.45" customHeight="1" x14ac:dyDescent="0.3">
      <c r="A23" s="432" t="s">
        <v>1763</v>
      </c>
      <c r="B23" s="433">
        <f>UBATÉ!M12</f>
        <v>162111828</v>
      </c>
      <c r="C23" s="433">
        <f>UBATÉ!R12</f>
        <v>0</v>
      </c>
      <c r="D23" s="431">
        <f t="shared" si="0"/>
        <v>0</v>
      </c>
      <c r="E23" s="433"/>
      <c r="F23" s="431">
        <f t="shared" si="1"/>
        <v>0</v>
      </c>
      <c r="G23" s="433"/>
      <c r="H23" s="431">
        <f t="shared" si="2"/>
        <v>0</v>
      </c>
    </row>
    <row r="24" spans="1:10" ht="14.45" customHeight="1" x14ac:dyDescent="0.3">
      <c r="A24" s="432" t="s">
        <v>1764</v>
      </c>
      <c r="B24" s="433">
        <f>'SOACHA INV'!M4</f>
        <v>169028207</v>
      </c>
      <c r="C24" s="433">
        <f>'SOACHA INV'!R4</f>
        <v>0</v>
      </c>
      <c r="D24" s="431">
        <f t="shared" si="0"/>
        <v>0</v>
      </c>
      <c r="E24" s="433"/>
      <c r="F24" s="431">
        <f t="shared" si="1"/>
        <v>0</v>
      </c>
      <c r="G24" s="433"/>
      <c r="H24" s="431">
        <f t="shared" si="2"/>
        <v>0</v>
      </c>
    </row>
    <row r="25" spans="1:10" ht="14.45" customHeight="1" x14ac:dyDescent="0.3">
      <c r="A25" s="432" t="s">
        <v>1765</v>
      </c>
      <c r="B25" s="433">
        <f>'GIRARDOT INV'!M4</f>
        <v>188647915</v>
      </c>
      <c r="C25" s="433">
        <f>'GIRARDOT INV'!R4</f>
        <v>0</v>
      </c>
      <c r="D25" s="431">
        <f t="shared" si="0"/>
        <v>0</v>
      </c>
      <c r="E25" s="433"/>
      <c r="F25" s="431">
        <f t="shared" si="1"/>
        <v>0</v>
      </c>
      <c r="G25" s="433"/>
      <c r="H25" s="431">
        <f t="shared" si="2"/>
        <v>0</v>
      </c>
    </row>
    <row r="26" spans="1:10" ht="33.75" thickBot="1" x14ac:dyDescent="0.35">
      <c r="A26" s="432" t="s">
        <v>1715</v>
      </c>
      <c r="B26" s="433">
        <f>'Vicerrectoría académica'!M6</f>
        <v>114900000</v>
      </c>
      <c r="C26" s="433">
        <f>'Vicerrectoría académica'!R6</f>
        <v>36688000</v>
      </c>
      <c r="D26" s="434">
        <f t="shared" si="0"/>
        <v>0.31930374238468234</v>
      </c>
      <c r="E26" s="433">
        <f>'Vicerrectoría académica'!V6</f>
        <v>26688000</v>
      </c>
      <c r="F26" s="434">
        <f t="shared" si="1"/>
        <v>0.23227154046997389</v>
      </c>
      <c r="G26" s="433">
        <f>'Vicerrectoría académica'!Y6</f>
        <v>14688000</v>
      </c>
      <c r="H26" s="434">
        <f t="shared" si="2"/>
        <v>0.12783289817232377</v>
      </c>
    </row>
    <row r="27" spans="1:10" ht="15" customHeight="1" thickBot="1" x14ac:dyDescent="0.3">
      <c r="A27" s="435" t="s">
        <v>1672</v>
      </c>
      <c r="B27" s="436">
        <f>SUM(B2:B26)</f>
        <v>35353180705</v>
      </c>
      <c r="C27" s="436">
        <f>SUM(C2:C26)</f>
        <v>10389611433</v>
      </c>
      <c r="D27" s="437">
        <f t="shared" si="0"/>
        <v>0.29388052859217267</v>
      </c>
      <c r="E27" s="436">
        <f>SUM(E2:E26)</f>
        <v>8731588668</v>
      </c>
      <c r="F27" s="437">
        <f t="shared" si="1"/>
        <v>0.24698169991717581</v>
      </c>
      <c r="G27" s="436">
        <f>SUM(G2:G26)</f>
        <v>6099696233.1300001</v>
      </c>
      <c r="H27" s="438">
        <f t="shared" si="2"/>
        <v>0.17253599567258512</v>
      </c>
    </row>
    <row r="28" spans="1:10" ht="14.45" hidden="1" customHeight="1" x14ac:dyDescent="0.25"/>
    <row r="29" spans="1:10" ht="14.45" hidden="1" customHeight="1" x14ac:dyDescent="0.25"/>
    <row r="30" spans="1:10" ht="14.45" hidden="1" customHeight="1" x14ac:dyDescent="0.25"/>
    <row r="31" spans="1:10" ht="14.45" hidden="1" customHeight="1" x14ac:dyDescent="0.25"/>
    <row r="32" spans="1:10" ht="14.45" hidden="1" customHeight="1" x14ac:dyDescent="0.25"/>
    <row r="33" ht="14.45" hidden="1" customHeight="1" x14ac:dyDescent="0.25"/>
    <row r="34" ht="14.45" hidden="1" customHeight="1" x14ac:dyDescent="0.25"/>
    <row r="35" ht="14.45" hidden="1" customHeight="1" x14ac:dyDescent="0.25"/>
    <row r="36" ht="14.45" hidden="1" customHeight="1" x14ac:dyDescent="0.25"/>
    <row r="37" ht="14.45" hidden="1" customHeight="1" x14ac:dyDescent="0.25"/>
    <row r="38" ht="14.45" hidden="1" customHeight="1" x14ac:dyDescent="0.25"/>
    <row r="39" ht="14.45" hidden="1" customHeight="1" x14ac:dyDescent="0.25"/>
    <row r="40" ht="14.45" hidden="1" customHeight="1" x14ac:dyDescent="0.25"/>
    <row r="41" ht="14.45" hidden="1" customHeight="1" x14ac:dyDescent="0.25"/>
    <row r="42" ht="14.45" hidden="1" customHeight="1" x14ac:dyDescent="0.25"/>
    <row r="43" ht="14.45" hidden="1" customHeight="1" x14ac:dyDescent="0.25"/>
    <row r="44" ht="14.45" hidden="1" customHeight="1" x14ac:dyDescent="0.25"/>
    <row r="45" ht="14.45" hidden="1" customHeight="1" x14ac:dyDescent="0.25"/>
    <row r="46" ht="14.45" hidden="1" customHeight="1" x14ac:dyDescent="0.25"/>
    <row r="47" ht="14.45" hidden="1" customHeight="1" x14ac:dyDescent="0.25"/>
    <row r="48" ht="14.45" hidden="1" customHeight="1" x14ac:dyDescent="0.25"/>
    <row r="49" ht="14.45" hidden="1" customHeight="1" x14ac:dyDescent="0.25"/>
    <row r="50" ht="14.45" hidden="1" customHeight="1" x14ac:dyDescent="0.25"/>
    <row r="51" ht="14.45" hidden="1" customHeight="1" x14ac:dyDescent="0.25"/>
    <row r="52" ht="14.45" hidden="1" customHeight="1" x14ac:dyDescent="0.25"/>
    <row r="53" ht="14.45" hidden="1" customHeight="1" x14ac:dyDescent="0.25"/>
    <row r="54" ht="14.45" hidden="1" customHeight="1" x14ac:dyDescent="0.25"/>
    <row r="55" ht="14.45" hidden="1" customHeight="1" x14ac:dyDescent="0.25"/>
    <row r="56" ht="14.45" hidden="1" customHeight="1" x14ac:dyDescent="0.25"/>
    <row r="57" ht="14.45" hidden="1" customHeight="1" x14ac:dyDescent="0.25"/>
    <row r="58" ht="14.45" hidden="1" customHeight="1" x14ac:dyDescent="0.25"/>
    <row r="59" ht="14.45" hidden="1" customHeight="1" x14ac:dyDescent="0.25"/>
    <row r="60" ht="14.45" hidden="1" customHeight="1" x14ac:dyDescent="0.25"/>
    <row r="61" ht="14.45" hidden="1" customHeight="1" x14ac:dyDescent="0.25"/>
    <row r="62" ht="14.45" hidden="1" customHeight="1" x14ac:dyDescent="0.25"/>
    <row r="63" ht="14.45" hidden="1" customHeight="1" x14ac:dyDescent="0.25"/>
    <row r="64" ht="14.45" hidden="1" customHeight="1" x14ac:dyDescent="0.25"/>
    <row r="65" ht="14.45" hidden="1" customHeight="1" x14ac:dyDescent="0.25"/>
    <row r="66" ht="14.45" hidden="1" customHeight="1" x14ac:dyDescent="0.25"/>
    <row r="67" ht="14.45" hidden="1" customHeight="1" x14ac:dyDescent="0.25"/>
    <row r="68" ht="14.45" hidden="1" customHeight="1" x14ac:dyDescent="0.25"/>
    <row r="69" ht="14.45" hidden="1" customHeight="1" x14ac:dyDescent="0.25"/>
    <row r="70" ht="14.45" hidden="1" customHeight="1" x14ac:dyDescent="0.25"/>
    <row r="71" ht="14.45" hidden="1" customHeight="1" x14ac:dyDescent="0.25"/>
    <row r="72" ht="14.45" hidden="1" customHeight="1" x14ac:dyDescent="0.25"/>
    <row r="73" ht="14.45" hidden="1" customHeight="1" x14ac:dyDescent="0.25"/>
    <row r="74" ht="14.45" hidden="1" customHeight="1" x14ac:dyDescent="0.25"/>
  </sheetData>
  <sheetProtection algorithmName="SHA-512" hashValue="z88XZ1gs+E6qfLcEIzHN2AtYIp9Tib0/74ctvAcD14BZBzolv1n66HQONWjlD4IchRo/xEgaHsPOPa/JGijRRg==" saltValue="8VZJ98LR7/BWUScIN90nLw==" spinCount="100000" sheet="1" objects="1" scenarios="1" formatCells="0" formatColumns="0" formatRows="0"/>
  <conditionalFormatting sqref="D1:D1048576 F1:F1048576 H1:H1048576">
    <cfRule type="cellIs" dxfId="86" priority="1" operator="between">
      <formula>0.51</formula>
      <formula>0.69</formula>
    </cfRule>
    <cfRule type="cellIs" dxfId="85" priority="2" operator="lessThan">
      <formula>0.5</formula>
    </cfRule>
    <cfRule type="cellIs" dxfId="84" priority="3" operator="greaterThan">
      <formula>0.7</formula>
    </cfRule>
  </conditionalFormatting>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10"/>
  <sheetViews>
    <sheetView zoomScale="80" zoomScaleNormal="80" workbookViewId="0">
      <selection activeCell="A11" sqref="A11:XFD1048576"/>
    </sheetView>
  </sheetViews>
  <sheetFormatPr baseColWidth="10" defaultColWidth="0" defaultRowHeight="15" zeroHeight="1" x14ac:dyDescent="0.25"/>
  <cols>
    <col min="1" max="3" width="11.42578125" customWidth="1"/>
    <col min="4" max="4" width="16.5703125" customWidth="1"/>
    <col min="5" max="5" width="11.42578125" customWidth="1"/>
    <col min="6" max="6" width="31.28515625" customWidth="1"/>
    <col min="7" max="7" width="15.140625" bestFit="1" customWidth="1"/>
    <col min="8" max="11" width="11.42578125" customWidth="1"/>
    <col min="12" max="12" width="11.5703125" bestFit="1" customWidth="1"/>
    <col min="13" max="13" width="17.42578125" bestFit="1" customWidth="1"/>
    <col min="14" max="14" width="15.42578125" bestFit="1" customWidth="1"/>
    <col min="15" max="15" width="32" customWidth="1"/>
    <col min="16" max="17" width="11.42578125" customWidth="1"/>
    <col min="18" max="18" width="15.5703125" bestFit="1" customWidth="1"/>
    <col min="19" max="19" width="12" style="38" customWidth="1"/>
    <col min="20" max="20" width="12" customWidth="1"/>
    <col min="21" max="21" width="11.42578125" customWidth="1"/>
    <col min="22" max="22" width="14.85546875" bestFit="1" customWidth="1"/>
    <col min="23" max="23" width="11.7109375" bestFit="1" customWidth="1"/>
    <col min="24" max="24" width="11.42578125" customWidth="1"/>
    <col min="25" max="25" width="14.85546875" bestFit="1" customWidth="1"/>
    <col min="26" max="16384" width="11.42578125" hidden="1"/>
  </cols>
  <sheetData>
    <row r="1" spans="1:25" x14ac:dyDescent="0.25"/>
    <row r="2" spans="1:25" ht="89.25" x14ac:dyDescent="0.25">
      <c r="A2" s="175" t="s">
        <v>0</v>
      </c>
      <c r="B2" s="175" t="s">
        <v>1</v>
      </c>
      <c r="C2" s="175" t="s">
        <v>2</v>
      </c>
      <c r="D2" s="175" t="s">
        <v>3</v>
      </c>
      <c r="E2" s="175" t="s">
        <v>4</v>
      </c>
      <c r="F2" s="175" t="s">
        <v>5</v>
      </c>
      <c r="G2" s="175" t="s">
        <v>6</v>
      </c>
      <c r="H2" s="175" t="s">
        <v>7</v>
      </c>
      <c r="I2" s="175" t="s">
        <v>8</v>
      </c>
      <c r="J2" s="175" t="s">
        <v>9</v>
      </c>
      <c r="K2" s="175" t="s">
        <v>10</v>
      </c>
      <c r="L2" s="175" t="s">
        <v>11</v>
      </c>
      <c r="M2" s="175" t="s">
        <v>12</v>
      </c>
      <c r="N2" s="175" t="s">
        <v>13</v>
      </c>
      <c r="O2" s="177" t="s">
        <v>636</v>
      </c>
      <c r="P2" s="177" t="s">
        <v>628</v>
      </c>
      <c r="Q2" s="177" t="s">
        <v>629</v>
      </c>
      <c r="R2" s="177" t="s">
        <v>722</v>
      </c>
      <c r="S2" s="187" t="s">
        <v>1535</v>
      </c>
      <c r="T2" s="177" t="s">
        <v>630</v>
      </c>
      <c r="U2" s="177" t="s">
        <v>631</v>
      </c>
      <c r="V2" s="177" t="s">
        <v>632</v>
      </c>
      <c r="W2" s="177" t="s">
        <v>633</v>
      </c>
      <c r="X2" s="177" t="s">
        <v>634</v>
      </c>
      <c r="Y2" s="177" t="s">
        <v>635</v>
      </c>
    </row>
    <row r="3" spans="1:25" s="15" customFormat="1" ht="115.5" customHeight="1" x14ac:dyDescent="0.25">
      <c r="A3" s="323" t="s">
        <v>105</v>
      </c>
      <c r="B3" s="323" t="s">
        <v>106</v>
      </c>
      <c r="C3" s="351" t="s">
        <v>107</v>
      </c>
      <c r="D3" s="351" t="s">
        <v>108</v>
      </c>
      <c r="E3" s="359" t="s">
        <v>109</v>
      </c>
      <c r="F3" s="359" t="s">
        <v>110</v>
      </c>
      <c r="G3" s="375">
        <v>104000000</v>
      </c>
      <c r="H3" s="375"/>
      <c r="I3" s="375"/>
      <c r="J3" s="375"/>
      <c r="K3" s="375"/>
      <c r="L3" s="375">
        <v>0</v>
      </c>
      <c r="M3" s="348">
        <f t="shared" ref="M3:M9" si="0">SUM(G3:L3)</f>
        <v>104000000</v>
      </c>
      <c r="N3" s="328">
        <f>SUM(M3:M9)</f>
        <v>224000000</v>
      </c>
      <c r="O3" s="123" t="s">
        <v>1537</v>
      </c>
      <c r="P3" s="123" t="s">
        <v>1538</v>
      </c>
      <c r="Q3" s="123" t="s">
        <v>1539</v>
      </c>
      <c r="R3" s="113">
        <v>10965000</v>
      </c>
      <c r="S3" s="372">
        <f>R8/M3</f>
        <v>0.47833588461538462</v>
      </c>
      <c r="T3" s="114">
        <v>269</v>
      </c>
      <c r="U3" s="114" t="s">
        <v>1627</v>
      </c>
      <c r="V3" s="115">
        <v>10965000</v>
      </c>
      <c r="W3" s="114">
        <v>21</v>
      </c>
      <c r="X3" s="114" t="s">
        <v>1630</v>
      </c>
      <c r="Y3" s="115">
        <v>10965000</v>
      </c>
    </row>
    <row r="4" spans="1:25" s="15" customFormat="1" ht="115.5" customHeight="1" x14ac:dyDescent="0.25">
      <c r="A4" s="323"/>
      <c r="B4" s="323"/>
      <c r="C4" s="351"/>
      <c r="D4" s="351"/>
      <c r="E4" s="360"/>
      <c r="F4" s="360"/>
      <c r="G4" s="376"/>
      <c r="H4" s="376"/>
      <c r="I4" s="376"/>
      <c r="J4" s="376"/>
      <c r="K4" s="376"/>
      <c r="L4" s="376"/>
      <c r="M4" s="349"/>
      <c r="N4" s="328"/>
      <c r="O4" s="123" t="s">
        <v>1540</v>
      </c>
      <c r="P4" s="123" t="s">
        <v>1541</v>
      </c>
      <c r="Q4" s="123" t="s">
        <v>1542</v>
      </c>
      <c r="R4" s="113">
        <v>12280800</v>
      </c>
      <c r="S4" s="373"/>
      <c r="T4" s="114">
        <v>260</v>
      </c>
      <c r="U4" s="114" t="s">
        <v>1627</v>
      </c>
      <c r="V4" s="115">
        <v>12280800</v>
      </c>
      <c r="W4" s="114">
        <v>700</v>
      </c>
      <c r="X4" s="114" t="s">
        <v>1599</v>
      </c>
      <c r="Y4" s="115">
        <v>12280800</v>
      </c>
    </row>
    <row r="5" spans="1:25" s="15" customFormat="1" ht="115.5" customHeight="1" x14ac:dyDescent="0.25">
      <c r="A5" s="323"/>
      <c r="B5" s="323"/>
      <c r="C5" s="351"/>
      <c r="D5" s="351"/>
      <c r="E5" s="360"/>
      <c r="F5" s="360"/>
      <c r="G5" s="376"/>
      <c r="H5" s="376"/>
      <c r="I5" s="376"/>
      <c r="J5" s="376"/>
      <c r="K5" s="376"/>
      <c r="L5" s="376"/>
      <c r="M5" s="349"/>
      <c r="N5" s="328"/>
      <c r="O5" s="123" t="s">
        <v>1543</v>
      </c>
      <c r="P5" s="123" t="s">
        <v>1544</v>
      </c>
      <c r="Q5" s="123" t="s">
        <v>1545</v>
      </c>
      <c r="R5" s="113">
        <v>10087800</v>
      </c>
      <c r="S5" s="373"/>
      <c r="T5" s="114">
        <v>261</v>
      </c>
      <c r="U5" s="114" t="s">
        <v>1627</v>
      </c>
      <c r="V5" s="115">
        <v>10087800</v>
      </c>
      <c r="W5" s="114">
        <v>701</v>
      </c>
      <c r="X5" s="114" t="s">
        <v>1599</v>
      </c>
      <c r="Y5" s="115">
        <v>10087800</v>
      </c>
    </row>
    <row r="6" spans="1:25" s="15" customFormat="1" ht="115.5" customHeight="1" x14ac:dyDescent="0.25">
      <c r="A6" s="323"/>
      <c r="B6" s="323"/>
      <c r="C6" s="351"/>
      <c r="D6" s="351"/>
      <c r="E6" s="360"/>
      <c r="F6" s="360"/>
      <c r="G6" s="376"/>
      <c r="H6" s="376"/>
      <c r="I6" s="376"/>
      <c r="J6" s="376"/>
      <c r="K6" s="376"/>
      <c r="L6" s="376"/>
      <c r="M6" s="349"/>
      <c r="N6" s="328"/>
      <c r="O6" s="123" t="s">
        <v>1546</v>
      </c>
      <c r="P6" s="123" t="s">
        <v>542</v>
      </c>
      <c r="Q6" s="123" t="s">
        <v>1547</v>
      </c>
      <c r="R6" s="113">
        <v>9359999</v>
      </c>
      <c r="S6" s="373"/>
      <c r="T6" s="114">
        <v>378</v>
      </c>
      <c r="U6" s="114" t="s">
        <v>1644</v>
      </c>
      <c r="V6" s="115">
        <v>9359999</v>
      </c>
      <c r="W6" s="114">
        <v>1394</v>
      </c>
      <c r="X6" s="114" t="s">
        <v>1572</v>
      </c>
      <c r="Y6" s="115">
        <v>9099999</v>
      </c>
    </row>
    <row r="7" spans="1:25" s="15" customFormat="1" ht="115.5" customHeight="1" x14ac:dyDescent="0.25">
      <c r="A7" s="323"/>
      <c r="B7" s="323"/>
      <c r="C7" s="351"/>
      <c r="D7" s="351"/>
      <c r="E7" s="360"/>
      <c r="F7" s="360"/>
      <c r="G7" s="376"/>
      <c r="H7" s="376"/>
      <c r="I7" s="376"/>
      <c r="J7" s="376"/>
      <c r="K7" s="376"/>
      <c r="L7" s="376"/>
      <c r="M7" s="349"/>
      <c r="N7" s="328"/>
      <c r="O7" s="123" t="s">
        <v>1548</v>
      </c>
      <c r="P7" s="123" t="s">
        <v>1549</v>
      </c>
      <c r="Q7" s="123" t="s">
        <v>1550</v>
      </c>
      <c r="R7" s="113">
        <v>7053333</v>
      </c>
      <c r="S7" s="373"/>
      <c r="T7" s="122">
        <v>461</v>
      </c>
      <c r="U7" s="114" t="s">
        <v>1635</v>
      </c>
      <c r="V7" s="115">
        <v>7053333</v>
      </c>
      <c r="W7" s="114">
        <v>1506</v>
      </c>
      <c r="X7" s="114" t="s">
        <v>1615</v>
      </c>
      <c r="Y7" s="115">
        <v>7053333</v>
      </c>
    </row>
    <row r="8" spans="1:25" s="15" customFormat="1" ht="115.5" customHeight="1" x14ac:dyDescent="0.25">
      <c r="A8" s="323"/>
      <c r="B8" s="323"/>
      <c r="C8" s="351"/>
      <c r="D8" s="351"/>
      <c r="E8" s="361"/>
      <c r="F8" s="361"/>
      <c r="G8" s="377"/>
      <c r="H8" s="377"/>
      <c r="I8" s="377"/>
      <c r="J8" s="377"/>
      <c r="K8" s="377"/>
      <c r="L8" s="377"/>
      <c r="M8" s="350"/>
      <c r="N8" s="328"/>
      <c r="O8" s="192" t="s">
        <v>637</v>
      </c>
      <c r="P8" s="192"/>
      <c r="Q8" s="192"/>
      <c r="R8" s="155">
        <f>SUM(R3:R7)</f>
        <v>49746932</v>
      </c>
      <c r="S8" s="374"/>
      <c r="T8" s="113"/>
      <c r="U8" s="114"/>
      <c r="V8" s="114"/>
      <c r="W8" s="114"/>
      <c r="X8" s="114"/>
      <c r="Y8" s="114"/>
    </row>
    <row r="9" spans="1:25" s="15" customFormat="1" ht="115.5" customHeight="1" thickBot="1" x14ac:dyDescent="0.3">
      <c r="A9" s="323"/>
      <c r="B9" s="323"/>
      <c r="C9" s="351"/>
      <c r="D9" s="351"/>
      <c r="E9" s="118" t="s">
        <v>437</v>
      </c>
      <c r="F9" s="118" t="s">
        <v>438</v>
      </c>
      <c r="G9" s="119">
        <v>120000000</v>
      </c>
      <c r="H9" s="119"/>
      <c r="I9" s="119"/>
      <c r="J9" s="119"/>
      <c r="K9" s="119"/>
      <c r="L9" s="136">
        <v>0</v>
      </c>
      <c r="M9" s="136">
        <f t="shared" si="0"/>
        <v>120000000</v>
      </c>
      <c r="N9" s="330"/>
      <c r="O9" s="169" t="s">
        <v>1551</v>
      </c>
      <c r="P9" s="169" t="s">
        <v>1552</v>
      </c>
      <c r="Q9" s="169" t="s">
        <v>1553</v>
      </c>
      <c r="R9" s="165">
        <v>119595000</v>
      </c>
      <c r="S9" s="158">
        <f>R9/M9</f>
        <v>0.99662499999999998</v>
      </c>
      <c r="T9" s="208">
        <v>467</v>
      </c>
      <c r="U9" s="208" t="s">
        <v>1639</v>
      </c>
      <c r="V9" s="242">
        <v>119595000</v>
      </c>
      <c r="W9" s="208">
        <v>3223</v>
      </c>
      <c r="X9" s="208" t="s">
        <v>1643</v>
      </c>
      <c r="Y9" s="242">
        <v>116620000</v>
      </c>
    </row>
    <row r="10" spans="1:25" ht="19.5" thickBot="1" x14ac:dyDescent="0.35">
      <c r="L10" s="48" t="s">
        <v>637</v>
      </c>
      <c r="M10" s="49">
        <f>SUM(M3:M9)</f>
        <v>224000000</v>
      </c>
      <c r="N10" s="50"/>
      <c r="O10" s="50"/>
      <c r="P10" s="50"/>
      <c r="Q10" s="50"/>
      <c r="R10" s="51">
        <f>SUM(R8:R9)</f>
        <v>169341932</v>
      </c>
      <c r="S10" s="88">
        <f>R10/M10</f>
        <v>0.75599076785714281</v>
      </c>
      <c r="T10" s="234"/>
      <c r="U10" s="235"/>
      <c r="V10" s="236">
        <f>SUM(V3:V9)</f>
        <v>169341932</v>
      </c>
      <c r="W10" s="235"/>
      <c r="X10" s="235"/>
      <c r="Y10" s="237">
        <f>SUM(Y3:Y9)</f>
        <v>166106932</v>
      </c>
    </row>
  </sheetData>
  <sheetProtection algorithmName="SHA-512" hashValue="4GSXz2nj2PFV85f2hAYu7mJSjPkx7rt3InSzOgJzCoRuPwgRJEI7K67o9nWwSsZg/R0LUWKe0dewSiON9QTPoQ==" saltValue="lNMIAVWC2Pp3M2pTc8X4ww==" spinCount="100000" sheet="1" objects="1" scenarios="1" formatCells="0" formatColumns="0" formatRows="0"/>
  <mergeCells count="15">
    <mergeCell ref="A3:A9"/>
    <mergeCell ref="B3:B9"/>
    <mergeCell ref="C3:C9"/>
    <mergeCell ref="D3:D9"/>
    <mergeCell ref="M3:M8"/>
    <mergeCell ref="G3:G8"/>
    <mergeCell ref="F3:F8"/>
    <mergeCell ref="E3:E8"/>
    <mergeCell ref="H3:H8"/>
    <mergeCell ref="S3:S8"/>
    <mergeCell ref="L3:L8"/>
    <mergeCell ref="K3:K8"/>
    <mergeCell ref="J3:J8"/>
    <mergeCell ref="I3:I8"/>
    <mergeCell ref="N3:N9"/>
  </mergeCells>
  <conditionalFormatting sqref="S9:S1048576 S1:S3">
    <cfRule type="cellIs" dxfId="49" priority="1" operator="between">
      <formula>0.51</formula>
      <formula>0.69</formula>
    </cfRule>
    <cfRule type="cellIs" dxfId="48" priority="2" operator="greaterThan">
      <formula>0.7</formula>
    </cfRule>
    <cfRule type="cellIs" dxfId="47" priority="3" operator="lessThan">
      <formula>0.5</formula>
    </cfRule>
    <cfRule type="cellIs" dxfId="46" priority="4" operator="lessThan">
      <formula>"7$T$17%"</formula>
    </cfRule>
    <cfRule type="cellIs" dxfId="45" priority="5" operator="greaterThan">
      <formula>"7O%"</formula>
    </cfRule>
  </conditionalFormatting>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Y23"/>
  <sheetViews>
    <sheetView zoomScale="80" zoomScaleNormal="80" workbookViewId="0">
      <selection activeCell="A24" sqref="A24:XFD1048576"/>
    </sheetView>
  </sheetViews>
  <sheetFormatPr baseColWidth="10" defaultColWidth="0" defaultRowHeight="15" zeroHeight="1" x14ac:dyDescent="0.25"/>
  <cols>
    <col min="1" max="5" width="11.42578125" customWidth="1"/>
    <col min="6" max="6" width="28.28515625" customWidth="1"/>
    <col min="7" max="7" width="14" bestFit="1" customWidth="1"/>
    <col min="8" max="8" width="14.7109375" bestFit="1" customWidth="1"/>
    <col min="9" max="9" width="11.42578125" customWidth="1"/>
    <col min="10" max="10" width="15.28515625" bestFit="1" customWidth="1"/>
    <col min="11" max="11" width="11.42578125" customWidth="1"/>
    <col min="12" max="12" width="11.7109375" bestFit="1" customWidth="1"/>
    <col min="13" max="13" width="17.5703125" bestFit="1" customWidth="1"/>
    <col min="14" max="14" width="15.5703125" bestFit="1" customWidth="1"/>
    <col min="15" max="15" width="30.28515625" customWidth="1"/>
    <col min="16" max="17" width="11.42578125" customWidth="1"/>
    <col min="18" max="18" width="15.7109375" bestFit="1" customWidth="1"/>
    <col min="19" max="19" width="12" style="38" customWidth="1"/>
    <col min="20" max="20" width="11.7109375" bestFit="1" customWidth="1"/>
    <col min="21" max="21" width="11.42578125" customWidth="1"/>
    <col min="22" max="22" width="13.7109375" bestFit="1" customWidth="1"/>
    <col min="23" max="23" width="11.7109375" bestFit="1" customWidth="1"/>
    <col min="24" max="24" width="11.42578125" customWidth="1"/>
    <col min="25" max="25" width="16.28515625" bestFit="1" customWidth="1"/>
    <col min="26" max="16384" width="11.42578125" hidden="1"/>
  </cols>
  <sheetData>
    <row r="1" spans="1:25" x14ac:dyDescent="0.25"/>
    <row r="2" spans="1:25" ht="89.25" x14ac:dyDescent="0.25">
      <c r="A2" s="175" t="s">
        <v>0</v>
      </c>
      <c r="B2" s="175" t="s">
        <v>1</v>
      </c>
      <c r="C2" s="175" t="s">
        <v>2</v>
      </c>
      <c r="D2" s="175" t="s">
        <v>3</v>
      </c>
      <c r="E2" s="175" t="s">
        <v>4</v>
      </c>
      <c r="F2" s="175" t="s">
        <v>5</v>
      </c>
      <c r="G2" s="175" t="s">
        <v>6</v>
      </c>
      <c r="H2" s="175" t="s">
        <v>7</v>
      </c>
      <c r="I2" s="175" t="s">
        <v>8</v>
      </c>
      <c r="J2" s="175" t="s">
        <v>9</v>
      </c>
      <c r="K2" s="175" t="s">
        <v>10</v>
      </c>
      <c r="L2" s="175" t="s">
        <v>11</v>
      </c>
      <c r="M2" s="175" t="s">
        <v>12</v>
      </c>
      <c r="N2" s="175" t="s">
        <v>13</v>
      </c>
      <c r="O2" s="177" t="s">
        <v>636</v>
      </c>
      <c r="P2" s="177" t="s">
        <v>628</v>
      </c>
      <c r="Q2" s="177" t="s">
        <v>629</v>
      </c>
      <c r="R2" s="177" t="s">
        <v>717</v>
      </c>
      <c r="S2" s="187" t="s">
        <v>1535</v>
      </c>
      <c r="T2" s="177" t="s">
        <v>630</v>
      </c>
      <c r="U2" s="177" t="s">
        <v>631</v>
      </c>
      <c r="V2" s="177" t="s">
        <v>632</v>
      </c>
      <c r="W2" s="177" t="s">
        <v>633</v>
      </c>
      <c r="X2" s="177" t="s">
        <v>634</v>
      </c>
      <c r="Y2" s="177" t="s">
        <v>635</v>
      </c>
    </row>
    <row r="3" spans="1:25" ht="60" customHeight="1" x14ac:dyDescent="0.25">
      <c r="A3" s="324" t="s">
        <v>111</v>
      </c>
      <c r="B3" s="324" t="s">
        <v>112</v>
      </c>
      <c r="C3" s="324" t="s">
        <v>113</v>
      </c>
      <c r="D3" s="324" t="s">
        <v>114</v>
      </c>
      <c r="E3" s="118" t="s">
        <v>115</v>
      </c>
      <c r="F3" s="114" t="s">
        <v>116</v>
      </c>
      <c r="G3" s="120">
        <f>85000000</f>
        <v>85000000</v>
      </c>
      <c r="H3" s="120">
        <v>-85000000</v>
      </c>
      <c r="I3" s="120"/>
      <c r="J3" s="120"/>
      <c r="K3" s="120"/>
      <c r="L3" s="120">
        <v>0</v>
      </c>
      <c r="M3" s="120">
        <f t="shared" ref="M3:M18" si="0">SUM(G3:L3)</f>
        <v>0</v>
      </c>
      <c r="N3" s="328">
        <f>SUM(M3:M5)</f>
        <v>312400000</v>
      </c>
      <c r="O3" s="114"/>
      <c r="P3" s="114"/>
      <c r="Q3" s="114"/>
      <c r="R3" s="114"/>
      <c r="S3" s="134"/>
      <c r="T3" s="114"/>
      <c r="U3" s="114"/>
      <c r="V3" s="114"/>
      <c r="W3" s="114"/>
      <c r="X3" s="114"/>
      <c r="Y3" s="114"/>
    </row>
    <row r="4" spans="1:25" ht="67.5" x14ac:dyDescent="0.25">
      <c r="A4" s="378"/>
      <c r="B4" s="378"/>
      <c r="C4" s="378"/>
      <c r="D4" s="378"/>
      <c r="E4" s="118" t="s">
        <v>433</v>
      </c>
      <c r="F4" s="114" t="s">
        <v>434</v>
      </c>
      <c r="G4" s="120">
        <v>64000000</v>
      </c>
      <c r="H4" s="120"/>
      <c r="I4" s="120"/>
      <c r="J4" s="120"/>
      <c r="K4" s="120"/>
      <c r="L4" s="120">
        <v>0</v>
      </c>
      <c r="M4" s="120">
        <f t="shared" si="0"/>
        <v>64000000</v>
      </c>
      <c r="N4" s="328"/>
      <c r="O4" s="114"/>
      <c r="P4" s="114"/>
      <c r="Q4" s="114"/>
      <c r="R4" s="114"/>
      <c r="S4" s="134">
        <f>R4/M4</f>
        <v>0</v>
      </c>
      <c r="T4" s="114"/>
      <c r="U4" s="114"/>
      <c r="V4" s="114"/>
      <c r="W4" s="114"/>
      <c r="X4" s="114"/>
      <c r="Y4" s="114"/>
    </row>
    <row r="5" spans="1:25" ht="67.5" x14ac:dyDescent="0.25">
      <c r="A5" s="378"/>
      <c r="B5" s="378"/>
      <c r="C5" s="378"/>
      <c r="D5" s="378"/>
      <c r="E5" s="348" t="s">
        <v>435</v>
      </c>
      <c r="F5" s="348" t="s">
        <v>436</v>
      </c>
      <c r="G5" s="348">
        <f>24000000</f>
        <v>24000000</v>
      </c>
      <c r="H5" s="348">
        <v>85000000</v>
      </c>
      <c r="I5" s="348"/>
      <c r="J5" s="348">
        <v>139400000</v>
      </c>
      <c r="K5" s="348"/>
      <c r="L5" s="348">
        <v>0</v>
      </c>
      <c r="M5" s="348">
        <f t="shared" si="0"/>
        <v>248400000</v>
      </c>
      <c r="N5" s="328"/>
      <c r="O5" s="123" t="s">
        <v>856</v>
      </c>
      <c r="P5" s="123" t="s">
        <v>857</v>
      </c>
      <c r="Q5" s="123" t="s">
        <v>858</v>
      </c>
      <c r="R5" s="113">
        <v>5000000</v>
      </c>
      <c r="S5" s="365">
        <f>R15/M5</f>
        <v>0.61352657004830913</v>
      </c>
      <c r="T5" s="114">
        <v>264</v>
      </c>
      <c r="U5" s="114" t="s">
        <v>1627</v>
      </c>
      <c r="V5" s="115">
        <v>5000000</v>
      </c>
      <c r="W5" s="114">
        <v>1906</v>
      </c>
      <c r="X5" s="114" t="s">
        <v>1569</v>
      </c>
      <c r="Y5" s="115">
        <v>5000000</v>
      </c>
    </row>
    <row r="6" spans="1:25" ht="81" x14ac:dyDescent="0.25">
      <c r="A6" s="378"/>
      <c r="B6" s="378"/>
      <c r="C6" s="378"/>
      <c r="D6" s="378"/>
      <c r="E6" s="349"/>
      <c r="F6" s="349"/>
      <c r="G6" s="349"/>
      <c r="H6" s="349"/>
      <c r="I6" s="349"/>
      <c r="J6" s="349"/>
      <c r="K6" s="349"/>
      <c r="L6" s="349"/>
      <c r="M6" s="349"/>
      <c r="N6" s="147"/>
      <c r="O6" s="123" t="s">
        <v>859</v>
      </c>
      <c r="P6" s="123" t="s">
        <v>615</v>
      </c>
      <c r="Q6" s="123" t="s">
        <v>860</v>
      </c>
      <c r="R6" s="113">
        <v>18000000</v>
      </c>
      <c r="S6" s="366"/>
      <c r="T6" s="122">
        <v>453</v>
      </c>
      <c r="U6" s="114" t="s">
        <v>1564</v>
      </c>
      <c r="V6" s="115">
        <v>18000000</v>
      </c>
      <c r="W6" s="114">
        <v>1859</v>
      </c>
      <c r="X6" s="114" t="s">
        <v>1645</v>
      </c>
      <c r="Y6" s="115">
        <v>18000000</v>
      </c>
    </row>
    <row r="7" spans="1:25" ht="67.5" x14ac:dyDescent="0.25">
      <c r="A7" s="378"/>
      <c r="B7" s="378"/>
      <c r="C7" s="378"/>
      <c r="D7" s="378"/>
      <c r="E7" s="349"/>
      <c r="F7" s="349"/>
      <c r="G7" s="349"/>
      <c r="H7" s="349"/>
      <c r="I7" s="349"/>
      <c r="J7" s="349"/>
      <c r="K7" s="349"/>
      <c r="L7" s="349"/>
      <c r="M7" s="349"/>
      <c r="N7" s="147"/>
      <c r="O7" s="123" t="s">
        <v>861</v>
      </c>
      <c r="P7" s="123" t="s">
        <v>285</v>
      </c>
      <c r="Q7" s="123" t="s">
        <v>862</v>
      </c>
      <c r="R7" s="113">
        <v>12000000</v>
      </c>
      <c r="S7" s="366"/>
      <c r="T7" s="122">
        <v>451</v>
      </c>
      <c r="U7" s="114" t="s">
        <v>1564</v>
      </c>
      <c r="V7" s="115">
        <v>12000000</v>
      </c>
      <c r="W7" s="114">
        <v>1860</v>
      </c>
      <c r="X7" s="114" t="s">
        <v>1645</v>
      </c>
      <c r="Y7" s="115">
        <v>12000000</v>
      </c>
    </row>
    <row r="8" spans="1:25" ht="81" x14ac:dyDescent="0.25">
      <c r="A8" s="378"/>
      <c r="B8" s="378"/>
      <c r="C8" s="378"/>
      <c r="D8" s="378"/>
      <c r="E8" s="349"/>
      <c r="F8" s="349"/>
      <c r="G8" s="349"/>
      <c r="H8" s="349"/>
      <c r="I8" s="349"/>
      <c r="J8" s="349"/>
      <c r="K8" s="349"/>
      <c r="L8" s="349"/>
      <c r="M8" s="349"/>
      <c r="N8" s="147"/>
      <c r="O8" s="123" t="s">
        <v>863</v>
      </c>
      <c r="P8" s="123" t="s">
        <v>239</v>
      </c>
      <c r="Q8" s="123" t="s">
        <v>864</v>
      </c>
      <c r="R8" s="113">
        <v>12000000</v>
      </c>
      <c r="S8" s="366"/>
      <c r="T8" s="122">
        <v>452</v>
      </c>
      <c r="U8" s="114" t="s">
        <v>1564</v>
      </c>
      <c r="V8" s="115">
        <v>12000000</v>
      </c>
      <c r="W8" s="114">
        <v>1597</v>
      </c>
      <c r="X8" s="114" t="s">
        <v>1566</v>
      </c>
      <c r="Y8" s="115">
        <v>12000000</v>
      </c>
    </row>
    <row r="9" spans="1:25" ht="175.5" x14ac:dyDescent="0.25">
      <c r="A9" s="378"/>
      <c r="B9" s="378"/>
      <c r="C9" s="378"/>
      <c r="D9" s="378"/>
      <c r="E9" s="349"/>
      <c r="F9" s="349"/>
      <c r="G9" s="349"/>
      <c r="H9" s="349"/>
      <c r="I9" s="349"/>
      <c r="J9" s="349"/>
      <c r="K9" s="349"/>
      <c r="L9" s="349"/>
      <c r="M9" s="349"/>
      <c r="N9" s="147"/>
      <c r="O9" s="123" t="s">
        <v>865</v>
      </c>
      <c r="P9" s="123" t="s">
        <v>201</v>
      </c>
      <c r="Q9" s="123" t="s">
        <v>866</v>
      </c>
      <c r="R9" s="113">
        <v>14400000</v>
      </c>
      <c r="S9" s="366"/>
      <c r="T9" s="122">
        <v>450</v>
      </c>
      <c r="U9" s="114" t="s">
        <v>1564</v>
      </c>
      <c r="V9" s="115">
        <v>14400000</v>
      </c>
      <c r="W9" s="114">
        <v>1910</v>
      </c>
      <c r="X9" s="114" t="s">
        <v>1633</v>
      </c>
      <c r="Y9" s="115">
        <v>12600000</v>
      </c>
    </row>
    <row r="10" spans="1:25" ht="81" x14ac:dyDescent="0.25">
      <c r="A10" s="378"/>
      <c r="B10" s="378"/>
      <c r="C10" s="378"/>
      <c r="D10" s="378"/>
      <c r="E10" s="349"/>
      <c r="F10" s="349"/>
      <c r="G10" s="349"/>
      <c r="H10" s="349"/>
      <c r="I10" s="349"/>
      <c r="J10" s="349"/>
      <c r="K10" s="349"/>
      <c r="L10" s="349"/>
      <c r="M10" s="349"/>
      <c r="N10" s="147"/>
      <c r="O10" s="123" t="s">
        <v>867</v>
      </c>
      <c r="P10" s="123" t="s">
        <v>868</v>
      </c>
      <c r="Q10" s="123" t="s">
        <v>869</v>
      </c>
      <c r="R10" s="113">
        <v>18000000</v>
      </c>
      <c r="S10" s="366"/>
      <c r="T10" s="114">
        <v>886</v>
      </c>
      <c r="U10" s="114" t="s">
        <v>1587</v>
      </c>
      <c r="V10" s="115">
        <v>18000000</v>
      </c>
      <c r="W10" s="116">
        <v>3206</v>
      </c>
      <c r="X10" s="116" t="s">
        <v>1646</v>
      </c>
      <c r="Y10" s="117">
        <v>18000000</v>
      </c>
    </row>
    <row r="11" spans="1:25" ht="67.5" x14ac:dyDescent="0.25">
      <c r="A11" s="378"/>
      <c r="B11" s="378"/>
      <c r="C11" s="378"/>
      <c r="D11" s="378"/>
      <c r="E11" s="349"/>
      <c r="F11" s="349"/>
      <c r="G11" s="349"/>
      <c r="H11" s="349"/>
      <c r="I11" s="349"/>
      <c r="J11" s="349"/>
      <c r="K11" s="349"/>
      <c r="L11" s="349"/>
      <c r="M11" s="349"/>
      <c r="N11" s="147"/>
      <c r="O11" s="123" t="s">
        <v>870</v>
      </c>
      <c r="P11" s="123" t="s">
        <v>871</v>
      </c>
      <c r="Q11" s="123" t="s">
        <v>872</v>
      </c>
      <c r="R11" s="113">
        <v>15000000</v>
      </c>
      <c r="S11" s="366"/>
      <c r="T11" s="114">
        <v>875</v>
      </c>
      <c r="U11" s="114" t="s">
        <v>1570</v>
      </c>
      <c r="V11" s="115">
        <v>15000000</v>
      </c>
      <c r="W11" s="114" t="s">
        <v>1580</v>
      </c>
      <c r="X11" s="114" t="s">
        <v>1580</v>
      </c>
      <c r="Y11" s="114" t="s">
        <v>1580</v>
      </c>
    </row>
    <row r="12" spans="1:25" ht="81" x14ac:dyDescent="0.25">
      <c r="A12" s="378"/>
      <c r="B12" s="378"/>
      <c r="C12" s="378"/>
      <c r="D12" s="378"/>
      <c r="E12" s="349"/>
      <c r="F12" s="349"/>
      <c r="G12" s="349"/>
      <c r="H12" s="349"/>
      <c r="I12" s="349"/>
      <c r="J12" s="349"/>
      <c r="K12" s="349"/>
      <c r="L12" s="349"/>
      <c r="M12" s="349"/>
      <c r="N12" s="147"/>
      <c r="O12" s="123" t="s">
        <v>873</v>
      </c>
      <c r="P12" s="123" t="s">
        <v>874</v>
      </c>
      <c r="Q12" s="123" t="s">
        <v>875</v>
      </c>
      <c r="R12" s="113">
        <v>22000000</v>
      </c>
      <c r="S12" s="366"/>
      <c r="T12" s="114">
        <v>874</v>
      </c>
      <c r="U12" s="114" t="s">
        <v>1570</v>
      </c>
      <c r="V12" s="115">
        <v>22000000</v>
      </c>
      <c r="W12" s="116">
        <v>3204</v>
      </c>
      <c r="X12" s="116" t="s">
        <v>1646</v>
      </c>
      <c r="Y12" s="117">
        <v>22000000</v>
      </c>
    </row>
    <row r="13" spans="1:25" ht="162" x14ac:dyDescent="0.25">
      <c r="A13" s="378"/>
      <c r="B13" s="378"/>
      <c r="C13" s="378"/>
      <c r="D13" s="378"/>
      <c r="E13" s="349"/>
      <c r="F13" s="349"/>
      <c r="G13" s="349"/>
      <c r="H13" s="349"/>
      <c r="I13" s="349"/>
      <c r="J13" s="349"/>
      <c r="K13" s="349"/>
      <c r="L13" s="349"/>
      <c r="M13" s="349"/>
      <c r="N13" s="147"/>
      <c r="O13" s="123" t="s">
        <v>876</v>
      </c>
      <c r="P13" s="123" t="s">
        <v>877</v>
      </c>
      <c r="Q13" s="123" t="s">
        <v>878</v>
      </c>
      <c r="R13" s="113">
        <v>18000000</v>
      </c>
      <c r="S13" s="366"/>
      <c r="T13" s="114">
        <v>877</v>
      </c>
      <c r="U13" s="114" t="s">
        <v>1570</v>
      </c>
      <c r="V13" s="113">
        <v>18000000</v>
      </c>
      <c r="W13" s="114">
        <v>3205</v>
      </c>
      <c r="X13" s="114" t="s">
        <v>1646</v>
      </c>
      <c r="Y13" s="196">
        <v>18000000</v>
      </c>
    </row>
    <row r="14" spans="1:25" ht="148.5" x14ac:dyDescent="0.25">
      <c r="A14" s="378"/>
      <c r="B14" s="378"/>
      <c r="C14" s="378"/>
      <c r="D14" s="378"/>
      <c r="E14" s="349"/>
      <c r="F14" s="349"/>
      <c r="G14" s="349"/>
      <c r="H14" s="349"/>
      <c r="I14" s="349"/>
      <c r="J14" s="349"/>
      <c r="K14" s="349"/>
      <c r="L14" s="349"/>
      <c r="M14" s="349"/>
      <c r="N14" s="147"/>
      <c r="O14" s="123" t="s">
        <v>879</v>
      </c>
      <c r="P14" s="123" t="s">
        <v>880</v>
      </c>
      <c r="Q14" s="123" t="s">
        <v>881</v>
      </c>
      <c r="R14" s="113">
        <v>18000000</v>
      </c>
      <c r="S14" s="366"/>
      <c r="T14" s="114">
        <v>878</v>
      </c>
      <c r="U14" s="114" t="s">
        <v>1570</v>
      </c>
      <c r="V14" s="115">
        <v>18000000</v>
      </c>
      <c r="W14" s="116">
        <v>3207</v>
      </c>
      <c r="X14" s="116" t="s">
        <v>1646</v>
      </c>
      <c r="Y14" s="117">
        <v>18000000</v>
      </c>
    </row>
    <row r="15" spans="1:25" x14ac:dyDescent="0.25">
      <c r="A15" s="368"/>
      <c r="B15" s="368"/>
      <c r="C15" s="368"/>
      <c r="D15" s="368"/>
      <c r="E15" s="350"/>
      <c r="F15" s="350"/>
      <c r="G15" s="350"/>
      <c r="H15" s="350"/>
      <c r="I15" s="350"/>
      <c r="J15" s="350"/>
      <c r="K15" s="350"/>
      <c r="L15" s="350"/>
      <c r="M15" s="350"/>
      <c r="N15" s="147"/>
      <c r="O15" s="192" t="s">
        <v>637</v>
      </c>
      <c r="P15" s="154"/>
      <c r="Q15" s="154"/>
      <c r="R15" s="150">
        <f>SUM(R5:R14)</f>
        <v>152400000</v>
      </c>
      <c r="S15" s="367"/>
      <c r="T15" s="114"/>
      <c r="U15" s="114"/>
      <c r="V15" s="114"/>
      <c r="W15" s="114"/>
      <c r="X15" s="114"/>
      <c r="Y15" s="114"/>
    </row>
    <row r="16" spans="1:25" ht="60" customHeight="1" x14ac:dyDescent="0.25">
      <c r="A16" s="324" t="s">
        <v>117</v>
      </c>
      <c r="B16" s="324" t="s">
        <v>118</v>
      </c>
      <c r="C16" s="324" t="s">
        <v>119</v>
      </c>
      <c r="D16" s="324" t="s">
        <v>114</v>
      </c>
      <c r="E16" s="118" t="s">
        <v>120</v>
      </c>
      <c r="F16" s="118" t="s">
        <v>121</v>
      </c>
      <c r="G16" s="120">
        <v>70000000</v>
      </c>
      <c r="H16" s="120"/>
      <c r="I16" s="120"/>
      <c r="J16" s="120"/>
      <c r="K16" s="120"/>
      <c r="L16" s="120">
        <v>0</v>
      </c>
      <c r="M16" s="120">
        <f t="shared" si="0"/>
        <v>70000000</v>
      </c>
      <c r="N16" s="328">
        <f>SUM(M16:M18)</f>
        <v>108999950</v>
      </c>
      <c r="O16" s="123" t="s">
        <v>719</v>
      </c>
      <c r="P16" s="123" t="s">
        <v>720</v>
      </c>
      <c r="Q16" s="123" t="s">
        <v>721</v>
      </c>
      <c r="R16" s="113">
        <v>70000000</v>
      </c>
      <c r="S16" s="342">
        <f>R22/M18</f>
        <v>0.22678234202864361</v>
      </c>
      <c r="T16" s="114">
        <v>248</v>
      </c>
      <c r="U16" s="114" t="s">
        <v>1626</v>
      </c>
      <c r="V16" s="115">
        <v>70000000</v>
      </c>
      <c r="W16" s="114" t="s">
        <v>1647</v>
      </c>
      <c r="X16" s="114" t="s">
        <v>1648</v>
      </c>
      <c r="Y16" s="115">
        <v>30700177</v>
      </c>
    </row>
    <row r="17" spans="1:25" ht="60" customHeight="1" x14ac:dyDescent="0.25">
      <c r="A17" s="378"/>
      <c r="B17" s="378"/>
      <c r="C17" s="378"/>
      <c r="D17" s="378"/>
      <c r="E17" s="118"/>
      <c r="F17" s="118" t="s">
        <v>452</v>
      </c>
      <c r="G17" s="120"/>
      <c r="H17" s="120"/>
      <c r="I17" s="120"/>
      <c r="J17" s="120"/>
      <c r="K17" s="120"/>
      <c r="L17" s="120"/>
      <c r="M17" s="120"/>
      <c r="N17" s="328"/>
      <c r="O17" s="123"/>
      <c r="P17" s="123"/>
      <c r="Q17" s="123"/>
      <c r="R17" s="113"/>
      <c r="S17" s="343"/>
      <c r="T17" s="113"/>
      <c r="U17" s="114"/>
      <c r="V17" s="114"/>
      <c r="W17" s="114"/>
      <c r="X17" s="114"/>
      <c r="Y17" s="114"/>
    </row>
    <row r="18" spans="1:25" ht="81" x14ac:dyDescent="0.25">
      <c r="A18" s="378"/>
      <c r="B18" s="378"/>
      <c r="C18" s="378"/>
      <c r="D18" s="378"/>
      <c r="E18" s="348" t="s">
        <v>451</v>
      </c>
      <c r="F18" s="348" t="s">
        <v>452</v>
      </c>
      <c r="G18" s="348">
        <v>38999950</v>
      </c>
      <c r="H18" s="348"/>
      <c r="I18" s="348"/>
      <c r="J18" s="348"/>
      <c r="K18" s="348"/>
      <c r="L18" s="348">
        <v>0</v>
      </c>
      <c r="M18" s="348">
        <f t="shared" si="0"/>
        <v>38999950</v>
      </c>
      <c r="N18" s="328"/>
      <c r="O18" s="123" t="s">
        <v>782</v>
      </c>
      <c r="P18" s="123" t="s">
        <v>783</v>
      </c>
      <c r="Q18" s="123" t="s">
        <v>784</v>
      </c>
      <c r="R18" s="113">
        <v>1309000</v>
      </c>
      <c r="S18" s="343"/>
      <c r="T18" s="114"/>
      <c r="U18" s="114"/>
      <c r="V18" s="114"/>
      <c r="W18" s="114"/>
      <c r="X18" s="114"/>
      <c r="Y18" s="114"/>
    </row>
    <row r="19" spans="1:25" ht="67.5" x14ac:dyDescent="0.25">
      <c r="A19" s="378"/>
      <c r="B19" s="378"/>
      <c r="C19" s="378"/>
      <c r="D19" s="378"/>
      <c r="E19" s="349"/>
      <c r="F19" s="349"/>
      <c r="G19" s="349"/>
      <c r="H19" s="349"/>
      <c r="I19" s="349"/>
      <c r="J19" s="349"/>
      <c r="K19" s="349"/>
      <c r="L19" s="349"/>
      <c r="M19" s="349"/>
      <c r="N19" s="114"/>
      <c r="O19" s="123" t="s">
        <v>785</v>
      </c>
      <c r="P19" s="123" t="s">
        <v>786</v>
      </c>
      <c r="Q19" s="123" t="s">
        <v>787</v>
      </c>
      <c r="R19" s="113">
        <v>2300000</v>
      </c>
      <c r="S19" s="343"/>
      <c r="T19" s="114">
        <v>611</v>
      </c>
      <c r="U19" s="114" t="s">
        <v>1649</v>
      </c>
      <c r="V19" s="115">
        <v>2300000</v>
      </c>
      <c r="W19" s="116">
        <v>2203</v>
      </c>
      <c r="X19" s="116" t="s">
        <v>1650</v>
      </c>
      <c r="Y19" s="117">
        <v>2300000</v>
      </c>
    </row>
    <row r="20" spans="1:25" ht="94.5" x14ac:dyDescent="0.25">
      <c r="A20" s="378"/>
      <c r="B20" s="378"/>
      <c r="C20" s="378"/>
      <c r="D20" s="378"/>
      <c r="E20" s="349"/>
      <c r="F20" s="349"/>
      <c r="G20" s="349"/>
      <c r="H20" s="349"/>
      <c r="I20" s="349"/>
      <c r="J20" s="349"/>
      <c r="K20" s="349"/>
      <c r="L20" s="349"/>
      <c r="M20" s="349"/>
      <c r="N20" s="114"/>
      <c r="O20" s="123" t="s">
        <v>788</v>
      </c>
      <c r="P20" s="123" t="s">
        <v>789</v>
      </c>
      <c r="Q20" s="123" t="s">
        <v>790</v>
      </c>
      <c r="R20" s="113">
        <v>4700500</v>
      </c>
      <c r="S20" s="343"/>
      <c r="T20" s="114">
        <v>612</v>
      </c>
      <c r="U20" s="114" t="s">
        <v>1649</v>
      </c>
      <c r="V20" s="115">
        <v>4700500</v>
      </c>
      <c r="W20" s="116">
        <v>102</v>
      </c>
      <c r="X20" s="116" t="s">
        <v>1593</v>
      </c>
      <c r="Y20" s="117">
        <v>3400000</v>
      </c>
    </row>
    <row r="21" spans="1:25" ht="81" x14ac:dyDescent="0.25">
      <c r="A21" s="378"/>
      <c r="B21" s="378"/>
      <c r="C21" s="378"/>
      <c r="D21" s="378"/>
      <c r="E21" s="349"/>
      <c r="F21" s="349"/>
      <c r="G21" s="349"/>
      <c r="H21" s="349"/>
      <c r="I21" s="349"/>
      <c r="J21" s="349"/>
      <c r="K21" s="349"/>
      <c r="L21" s="349"/>
      <c r="M21" s="349"/>
      <c r="N21" s="114"/>
      <c r="O21" s="123" t="s">
        <v>791</v>
      </c>
      <c r="P21" s="123" t="s">
        <v>792</v>
      </c>
      <c r="Q21" s="123" t="s">
        <v>793</v>
      </c>
      <c r="R21" s="113">
        <v>535000</v>
      </c>
      <c r="S21" s="343"/>
      <c r="T21" s="114">
        <v>639</v>
      </c>
      <c r="U21" s="114" t="s">
        <v>1651</v>
      </c>
      <c r="V21" s="115">
        <v>535000</v>
      </c>
      <c r="W21" s="114" t="s">
        <v>1580</v>
      </c>
      <c r="X21" s="114" t="s">
        <v>1580</v>
      </c>
      <c r="Y21" s="114" t="s">
        <v>1580</v>
      </c>
    </row>
    <row r="22" spans="1:25" ht="15.75" thickBot="1" x14ac:dyDescent="0.3">
      <c r="A22" s="368"/>
      <c r="B22" s="368"/>
      <c r="C22" s="368"/>
      <c r="D22" s="368"/>
      <c r="E22" s="350"/>
      <c r="F22" s="350"/>
      <c r="G22" s="350"/>
      <c r="H22" s="350"/>
      <c r="I22" s="350"/>
      <c r="J22" s="350"/>
      <c r="K22" s="350"/>
      <c r="L22" s="349"/>
      <c r="M22" s="349"/>
      <c r="N22" s="157"/>
      <c r="O22" s="209" t="s">
        <v>637</v>
      </c>
      <c r="P22" s="209"/>
      <c r="Q22" s="209"/>
      <c r="R22" s="210">
        <f>SUM(R18:R21)</f>
        <v>8844500</v>
      </c>
      <c r="S22" s="343"/>
      <c r="T22" s="208"/>
      <c r="U22" s="208"/>
      <c r="V22" s="208"/>
      <c r="W22" s="208"/>
      <c r="X22" s="208"/>
      <c r="Y22" s="208"/>
    </row>
    <row r="23" spans="1:25" ht="19.5" thickBot="1" x14ac:dyDescent="0.35">
      <c r="L23" s="48" t="s">
        <v>637</v>
      </c>
      <c r="M23" s="49">
        <f>SUM(M3:M22)</f>
        <v>421399950</v>
      </c>
      <c r="N23" s="50"/>
      <c r="O23" s="50"/>
      <c r="P23" s="50"/>
      <c r="Q23" s="50"/>
      <c r="R23" s="51">
        <f>R22+R15+R4</f>
        <v>161244500</v>
      </c>
      <c r="S23" s="87">
        <f>R23/M23</f>
        <v>0.38264005489321962</v>
      </c>
      <c r="T23" s="234"/>
      <c r="U23" s="235"/>
      <c r="V23" s="235">
        <f>SUM(V3:V22)</f>
        <v>229935500</v>
      </c>
      <c r="W23" s="235"/>
      <c r="X23" s="235"/>
      <c r="Y23" s="249">
        <f>SUM(Y3:Y22)</f>
        <v>172000177</v>
      </c>
    </row>
  </sheetData>
  <sheetProtection algorithmName="SHA-512" hashValue="tCgu0soqJ5X8m9l9MUSR0Zw/Y1y7KpmG4HgGy7Qixg7bCG1ouBSP5JoKQ5qeH1AQFeraGePP/WGpd5vtr8dUXA==" saltValue="a9P4/Gf2s2u/cjvJpV+Qtw==" spinCount="100000" sheet="1" objects="1" scenarios="1" formatCells="0" formatColumns="0" formatRows="0"/>
  <mergeCells count="30">
    <mergeCell ref="N3:N5"/>
    <mergeCell ref="N16:N18"/>
    <mergeCell ref="M18:M22"/>
    <mergeCell ref="L18:L22"/>
    <mergeCell ref="K18:K22"/>
    <mergeCell ref="E5:E15"/>
    <mergeCell ref="D3:D15"/>
    <mergeCell ref="C3:C15"/>
    <mergeCell ref="B3:B15"/>
    <mergeCell ref="J18:J22"/>
    <mergeCell ref="I18:I22"/>
    <mergeCell ref="H18:H22"/>
    <mergeCell ref="G18:G22"/>
    <mergeCell ref="G5:G15"/>
    <mergeCell ref="A3:A15"/>
    <mergeCell ref="B16:B22"/>
    <mergeCell ref="A16:A22"/>
    <mergeCell ref="S5:S15"/>
    <mergeCell ref="S16:S22"/>
    <mergeCell ref="F18:F22"/>
    <mergeCell ref="E18:E22"/>
    <mergeCell ref="D16:D22"/>
    <mergeCell ref="C16:C22"/>
    <mergeCell ref="M5:M15"/>
    <mergeCell ref="L5:L15"/>
    <mergeCell ref="K5:K15"/>
    <mergeCell ref="J5:J15"/>
    <mergeCell ref="I5:I15"/>
    <mergeCell ref="H5:H15"/>
    <mergeCell ref="F5:F15"/>
  </mergeCells>
  <conditionalFormatting sqref="S1:S5 S23:S1048576 S16">
    <cfRule type="cellIs" dxfId="44" priority="1" operator="between">
      <formula>0.51</formula>
      <formula>0.69</formula>
    </cfRule>
    <cfRule type="cellIs" dxfId="43" priority="2" operator="lessThan">
      <formula>0.5</formula>
    </cfRule>
    <cfRule type="cellIs" dxfId="42" priority="3" operator="greaterThan">
      <formula>0.7</formula>
    </cfRule>
  </conditionalFormatting>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Y27"/>
  <sheetViews>
    <sheetView zoomScale="60" zoomScaleNormal="60" workbookViewId="0">
      <pane ySplit="1" topLeftCell="A2" activePane="bottomLeft" state="frozen"/>
      <selection activeCell="F1" sqref="F1"/>
      <selection pane="bottomLeft"/>
    </sheetView>
  </sheetViews>
  <sheetFormatPr baseColWidth="10" defaultColWidth="0" defaultRowHeight="15" zeroHeight="1" x14ac:dyDescent="0.25"/>
  <cols>
    <col min="1" max="2" width="11.42578125" customWidth="1"/>
    <col min="3" max="3" width="18.5703125" customWidth="1"/>
    <col min="4" max="5" width="11.42578125" customWidth="1"/>
    <col min="6" max="6" width="35.140625" customWidth="1"/>
    <col min="7" max="7" width="15.42578125" bestFit="1" customWidth="1"/>
    <col min="8" max="8" width="14.85546875" bestFit="1" customWidth="1"/>
    <col min="9" max="9" width="15.28515625" bestFit="1" customWidth="1"/>
    <col min="10" max="10" width="11.5703125" bestFit="1" customWidth="1"/>
    <col min="11" max="11" width="11.42578125" customWidth="1"/>
    <col min="12" max="12" width="11.5703125" bestFit="1" customWidth="1"/>
    <col min="13" max="13" width="19.5703125" bestFit="1" customWidth="1"/>
    <col min="14" max="14" width="15.7109375" bestFit="1" customWidth="1"/>
    <col min="15" max="15" width="49.7109375" customWidth="1"/>
    <col min="16" max="17" width="11.42578125" customWidth="1"/>
    <col min="18" max="18" width="15.5703125" bestFit="1" customWidth="1"/>
    <col min="19" max="19" width="11.7109375" style="38" bestFit="1" customWidth="1"/>
    <col min="20" max="21" width="11.42578125" customWidth="1"/>
    <col min="22" max="22" width="19.42578125" bestFit="1" customWidth="1"/>
    <col min="23" max="24" width="11.42578125" customWidth="1"/>
    <col min="25" max="25" width="18.42578125" bestFit="1" customWidth="1"/>
    <col min="26" max="16384" width="11.42578125" hidden="1"/>
  </cols>
  <sheetData>
    <row r="1" spans="1:25" ht="89.25" x14ac:dyDescent="0.25">
      <c r="A1" s="186" t="s">
        <v>0</v>
      </c>
      <c r="B1" s="186" t="s">
        <v>1</v>
      </c>
      <c r="C1" s="186" t="s">
        <v>2</v>
      </c>
      <c r="D1" s="186" t="s">
        <v>3</v>
      </c>
      <c r="E1" s="186" t="s">
        <v>4</v>
      </c>
      <c r="F1" s="186" t="s">
        <v>5</v>
      </c>
      <c r="G1" s="186" t="s">
        <v>6</v>
      </c>
      <c r="H1" s="186" t="s">
        <v>7</v>
      </c>
      <c r="I1" s="186" t="s">
        <v>8</v>
      </c>
      <c r="J1" s="186" t="s">
        <v>9</v>
      </c>
      <c r="K1" s="186" t="s">
        <v>10</v>
      </c>
      <c r="L1" s="186" t="s">
        <v>11</v>
      </c>
      <c r="M1" s="186" t="s">
        <v>12</v>
      </c>
      <c r="N1" s="175" t="s">
        <v>13</v>
      </c>
      <c r="O1" s="177" t="s">
        <v>636</v>
      </c>
      <c r="P1" s="177" t="s">
        <v>628</v>
      </c>
      <c r="Q1" s="177" t="s">
        <v>629</v>
      </c>
      <c r="R1" s="177" t="s">
        <v>734</v>
      </c>
      <c r="S1" s="187" t="s">
        <v>1535</v>
      </c>
      <c r="T1" s="177" t="s">
        <v>630</v>
      </c>
      <c r="U1" s="177" t="s">
        <v>631</v>
      </c>
      <c r="V1" s="177" t="s">
        <v>632</v>
      </c>
      <c r="W1" s="177" t="s">
        <v>633</v>
      </c>
      <c r="X1" s="177" t="s">
        <v>634</v>
      </c>
      <c r="Y1" s="177" t="s">
        <v>635</v>
      </c>
    </row>
    <row r="2" spans="1:25" ht="83.25" customHeight="1" x14ac:dyDescent="0.25">
      <c r="A2" s="379" t="s">
        <v>122</v>
      </c>
      <c r="B2" s="379" t="s">
        <v>123</v>
      </c>
      <c r="C2" s="323" t="s">
        <v>124</v>
      </c>
      <c r="D2" s="323" t="s">
        <v>125</v>
      </c>
      <c r="E2" s="348" t="s">
        <v>126</v>
      </c>
      <c r="F2" s="348" t="s">
        <v>127</v>
      </c>
      <c r="G2" s="348">
        <f>5000000*11</f>
        <v>55000000</v>
      </c>
      <c r="H2" s="348"/>
      <c r="I2" s="348"/>
      <c r="J2" s="348"/>
      <c r="K2" s="348"/>
      <c r="L2" s="348">
        <v>0</v>
      </c>
      <c r="M2" s="348">
        <f t="shared" ref="M2:M26" si="0">SUM(G2:L2)</f>
        <v>55000000</v>
      </c>
      <c r="N2" s="328">
        <f>SUM(M2:M11)</f>
        <v>210708000</v>
      </c>
      <c r="O2" s="151" t="s">
        <v>1206</v>
      </c>
      <c r="P2" s="151" t="s">
        <v>1207</v>
      </c>
      <c r="Q2" s="123" t="s">
        <v>1208</v>
      </c>
      <c r="R2" s="188">
        <v>23120000</v>
      </c>
      <c r="S2" s="372">
        <f>R4/M2</f>
        <v>0.93654545454545457</v>
      </c>
      <c r="T2" s="114">
        <v>234</v>
      </c>
      <c r="U2" s="114" t="s">
        <v>1626</v>
      </c>
      <c r="V2" s="115">
        <v>23120000</v>
      </c>
      <c r="W2" s="114">
        <v>590</v>
      </c>
      <c r="X2" s="114" t="s">
        <v>1625</v>
      </c>
      <c r="Y2" s="115">
        <v>23120000</v>
      </c>
    </row>
    <row r="3" spans="1:25" ht="75" customHeight="1" x14ac:dyDescent="0.25">
      <c r="A3" s="379"/>
      <c r="B3" s="379"/>
      <c r="C3" s="323"/>
      <c r="D3" s="323"/>
      <c r="E3" s="349"/>
      <c r="F3" s="349"/>
      <c r="G3" s="349"/>
      <c r="H3" s="349"/>
      <c r="I3" s="349"/>
      <c r="J3" s="349"/>
      <c r="K3" s="349"/>
      <c r="L3" s="349"/>
      <c r="M3" s="349"/>
      <c r="N3" s="328"/>
      <c r="O3" s="151" t="s">
        <v>1209</v>
      </c>
      <c r="P3" s="151" t="s">
        <v>1210</v>
      </c>
      <c r="Q3" s="123" t="s">
        <v>1211</v>
      </c>
      <c r="R3" s="188">
        <v>28390000</v>
      </c>
      <c r="S3" s="373"/>
      <c r="T3" s="114">
        <v>820</v>
      </c>
      <c r="U3" s="114" t="s">
        <v>1570</v>
      </c>
      <c r="V3" s="115">
        <v>28390000</v>
      </c>
      <c r="W3" s="116">
        <v>2896</v>
      </c>
      <c r="X3" s="116" t="s">
        <v>1571</v>
      </c>
      <c r="Y3" s="117">
        <v>28390000</v>
      </c>
    </row>
    <row r="4" spans="1:25" ht="31.5" customHeight="1" x14ac:dyDescent="0.25">
      <c r="A4" s="379"/>
      <c r="B4" s="379"/>
      <c r="C4" s="323"/>
      <c r="D4" s="323"/>
      <c r="E4" s="350"/>
      <c r="F4" s="350"/>
      <c r="G4" s="350"/>
      <c r="H4" s="350"/>
      <c r="I4" s="350"/>
      <c r="J4" s="350"/>
      <c r="K4" s="350"/>
      <c r="L4" s="350"/>
      <c r="M4" s="350"/>
      <c r="N4" s="328"/>
      <c r="O4" s="214" t="s">
        <v>637</v>
      </c>
      <c r="P4" s="214"/>
      <c r="Q4" s="214"/>
      <c r="R4" s="211">
        <f>SUM(R2:R3)</f>
        <v>51510000</v>
      </c>
      <c r="S4" s="374"/>
      <c r="T4" s="116"/>
      <c r="U4" s="116"/>
      <c r="V4" s="116"/>
      <c r="W4" s="116"/>
      <c r="X4" s="116"/>
      <c r="Y4" s="116"/>
    </row>
    <row r="5" spans="1:25" ht="409.5" x14ac:dyDescent="0.25">
      <c r="A5" s="379"/>
      <c r="B5" s="379"/>
      <c r="C5" s="323"/>
      <c r="D5" s="323"/>
      <c r="E5" s="348" t="s">
        <v>443</v>
      </c>
      <c r="F5" s="348" t="s">
        <v>444</v>
      </c>
      <c r="G5" s="348">
        <f>((3500000*2%+3500000)*11)</f>
        <v>39270000</v>
      </c>
      <c r="H5" s="348"/>
      <c r="I5" s="348"/>
      <c r="J5" s="348"/>
      <c r="K5" s="348"/>
      <c r="L5" s="348">
        <v>0</v>
      </c>
      <c r="M5" s="348">
        <f t="shared" si="0"/>
        <v>39270000</v>
      </c>
      <c r="N5" s="328"/>
      <c r="O5" s="151" t="s">
        <v>1466</v>
      </c>
      <c r="P5" s="151" t="s">
        <v>1467</v>
      </c>
      <c r="Q5" s="123" t="s">
        <v>1468</v>
      </c>
      <c r="R5" s="188">
        <v>14756000</v>
      </c>
      <c r="S5" s="372">
        <f>R8/M5</f>
        <v>0.99450216450216455</v>
      </c>
      <c r="T5" s="114">
        <v>206</v>
      </c>
      <c r="U5" s="114" t="s">
        <v>1559</v>
      </c>
      <c r="V5" s="115">
        <v>14756000</v>
      </c>
      <c r="W5" s="114">
        <v>710</v>
      </c>
      <c r="X5" s="114" t="s">
        <v>1599</v>
      </c>
      <c r="Y5" s="115">
        <v>14756000</v>
      </c>
    </row>
    <row r="6" spans="1:25" ht="189" x14ac:dyDescent="0.25">
      <c r="A6" s="379"/>
      <c r="B6" s="379"/>
      <c r="C6" s="323"/>
      <c r="D6" s="323"/>
      <c r="E6" s="349"/>
      <c r="F6" s="349"/>
      <c r="G6" s="349"/>
      <c r="H6" s="349"/>
      <c r="I6" s="349"/>
      <c r="J6" s="349"/>
      <c r="K6" s="349"/>
      <c r="L6" s="349"/>
      <c r="M6" s="349"/>
      <c r="N6" s="328"/>
      <c r="O6" s="151" t="s">
        <v>1457</v>
      </c>
      <c r="P6" s="151" t="s">
        <v>1469</v>
      </c>
      <c r="Q6" s="123" t="s">
        <v>1470</v>
      </c>
      <c r="R6" s="188">
        <v>11803100</v>
      </c>
      <c r="S6" s="373"/>
      <c r="T6" s="114">
        <v>279</v>
      </c>
      <c r="U6" s="114" t="s">
        <v>1598</v>
      </c>
      <c r="V6" s="115">
        <v>11803100</v>
      </c>
      <c r="W6" s="114">
        <v>761</v>
      </c>
      <c r="X6" s="114" t="s">
        <v>1629</v>
      </c>
      <c r="Y6" s="115">
        <v>11532800</v>
      </c>
    </row>
    <row r="7" spans="1:25" ht="409.5" x14ac:dyDescent="0.25">
      <c r="A7" s="379"/>
      <c r="B7" s="379"/>
      <c r="C7" s="323"/>
      <c r="D7" s="323"/>
      <c r="E7" s="349"/>
      <c r="F7" s="349"/>
      <c r="G7" s="349"/>
      <c r="H7" s="349"/>
      <c r="I7" s="349"/>
      <c r="J7" s="349"/>
      <c r="K7" s="349"/>
      <c r="L7" s="349"/>
      <c r="M7" s="349"/>
      <c r="N7" s="328"/>
      <c r="O7" s="151" t="s">
        <v>1471</v>
      </c>
      <c r="P7" s="151" t="s">
        <v>1472</v>
      </c>
      <c r="Q7" s="123" t="s">
        <v>1473</v>
      </c>
      <c r="R7" s="188">
        <v>12495000</v>
      </c>
      <c r="S7" s="373"/>
      <c r="T7" s="114">
        <v>825</v>
      </c>
      <c r="U7" s="114" t="s">
        <v>1570</v>
      </c>
      <c r="V7" s="115">
        <v>12495000</v>
      </c>
      <c r="W7" s="116">
        <v>2900</v>
      </c>
      <c r="X7" s="116" t="s">
        <v>1571</v>
      </c>
      <c r="Y7" s="117">
        <v>12495000</v>
      </c>
    </row>
    <row r="8" spans="1:25" x14ac:dyDescent="0.25">
      <c r="A8" s="379"/>
      <c r="B8" s="379"/>
      <c r="C8" s="323"/>
      <c r="D8" s="323"/>
      <c r="E8" s="350"/>
      <c r="F8" s="350"/>
      <c r="G8" s="350"/>
      <c r="H8" s="350"/>
      <c r="I8" s="350"/>
      <c r="J8" s="350"/>
      <c r="K8" s="350"/>
      <c r="L8" s="350"/>
      <c r="M8" s="350"/>
      <c r="N8" s="328"/>
      <c r="O8" s="192" t="s">
        <v>637</v>
      </c>
      <c r="P8" s="154"/>
      <c r="Q8" s="154"/>
      <c r="R8" s="155">
        <f>SUM(R5:R7)</f>
        <v>39054100</v>
      </c>
      <c r="S8" s="374"/>
      <c r="T8" s="116"/>
      <c r="U8" s="116"/>
      <c r="V8" s="116"/>
      <c r="W8" s="116"/>
      <c r="X8" s="116"/>
      <c r="Y8" s="116"/>
    </row>
    <row r="9" spans="1:25" ht="189" x14ac:dyDescent="0.25">
      <c r="A9" s="379"/>
      <c r="B9" s="379"/>
      <c r="C9" s="323"/>
      <c r="D9" s="323"/>
      <c r="E9" s="118" t="s">
        <v>445</v>
      </c>
      <c r="F9" s="118" t="s">
        <v>446</v>
      </c>
      <c r="G9" s="119">
        <f>((2650000*2%+2650000*11))</f>
        <v>29203000</v>
      </c>
      <c r="H9" s="119"/>
      <c r="I9" s="119"/>
      <c r="J9" s="119"/>
      <c r="K9" s="119"/>
      <c r="L9" s="120">
        <v>0</v>
      </c>
      <c r="M9" s="120">
        <f t="shared" si="0"/>
        <v>29203000</v>
      </c>
      <c r="N9" s="328"/>
      <c r="O9" s="151" t="s">
        <v>1457</v>
      </c>
      <c r="P9" s="151" t="s">
        <v>1458</v>
      </c>
      <c r="Q9" s="123" t="s">
        <v>1459</v>
      </c>
      <c r="R9" s="188">
        <v>15046700</v>
      </c>
      <c r="S9" s="189">
        <f>R9/M9</f>
        <v>0.51524500907441018</v>
      </c>
      <c r="T9" s="114">
        <v>841</v>
      </c>
      <c r="U9" s="114" t="s">
        <v>1570</v>
      </c>
      <c r="V9" s="115">
        <v>15046700</v>
      </c>
      <c r="W9" s="116">
        <v>3099</v>
      </c>
      <c r="X9" s="116" t="s">
        <v>1575</v>
      </c>
      <c r="Y9" s="117">
        <v>14506100</v>
      </c>
    </row>
    <row r="10" spans="1:25" ht="67.5" x14ac:dyDescent="0.25">
      <c r="A10" s="379"/>
      <c r="B10" s="379"/>
      <c r="C10" s="323"/>
      <c r="D10" s="323"/>
      <c r="E10" s="118" t="s">
        <v>447</v>
      </c>
      <c r="F10" s="118" t="s">
        <v>448</v>
      </c>
      <c r="G10" s="120">
        <v>42235000</v>
      </c>
      <c r="H10" s="120"/>
      <c r="I10" s="120"/>
      <c r="J10" s="120"/>
      <c r="K10" s="120"/>
      <c r="L10" s="120">
        <v>0</v>
      </c>
      <c r="M10" s="120">
        <f t="shared" si="0"/>
        <v>42235000</v>
      </c>
      <c r="N10" s="328"/>
      <c r="O10" s="116"/>
      <c r="P10" s="116"/>
      <c r="Q10" s="116"/>
      <c r="R10" s="116"/>
      <c r="S10" s="189">
        <f>R10/M10</f>
        <v>0</v>
      </c>
      <c r="T10" s="116"/>
      <c r="U10" s="116"/>
      <c r="V10" s="116"/>
      <c r="W10" s="116"/>
      <c r="X10" s="116"/>
      <c r="Y10" s="116"/>
    </row>
    <row r="11" spans="1:25" ht="135" x14ac:dyDescent="0.25">
      <c r="A11" s="379"/>
      <c r="B11" s="379"/>
      <c r="C11" s="323"/>
      <c r="D11" s="323"/>
      <c r="E11" s="118" t="s">
        <v>449</v>
      </c>
      <c r="F11" s="118" t="s">
        <v>450</v>
      </c>
      <c r="G11" s="120">
        <v>45000000</v>
      </c>
      <c r="H11" s="120"/>
      <c r="I11" s="120"/>
      <c r="J11" s="120"/>
      <c r="K11" s="120"/>
      <c r="L11" s="120">
        <v>0</v>
      </c>
      <c r="M11" s="120">
        <f t="shared" si="0"/>
        <v>45000000</v>
      </c>
      <c r="N11" s="328"/>
      <c r="O11" s="151" t="s">
        <v>1382</v>
      </c>
      <c r="P11" s="151" t="s">
        <v>75</v>
      </c>
      <c r="Q11" s="123" t="s">
        <v>1383</v>
      </c>
      <c r="R11" s="188">
        <v>44970100</v>
      </c>
      <c r="S11" s="189">
        <f t="shared" ref="S11:S27" si="1">R11/M11</f>
        <v>0.99933555555555553</v>
      </c>
      <c r="T11" s="114">
        <v>380</v>
      </c>
      <c r="U11" s="114" t="s">
        <v>1572</v>
      </c>
      <c r="V11" s="115">
        <v>44970100</v>
      </c>
      <c r="W11" s="114">
        <v>3221</v>
      </c>
      <c r="X11" s="114" t="s">
        <v>1643</v>
      </c>
      <c r="Y11" s="115">
        <v>44970100</v>
      </c>
    </row>
    <row r="12" spans="1:25" ht="102" customHeight="1" x14ac:dyDescent="0.25">
      <c r="A12" s="379" t="s">
        <v>128</v>
      </c>
      <c r="B12" s="379" t="s">
        <v>129</v>
      </c>
      <c r="C12" s="323" t="s">
        <v>130</v>
      </c>
      <c r="D12" s="323" t="s">
        <v>125</v>
      </c>
      <c r="E12" s="118" t="s">
        <v>131</v>
      </c>
      <c r="F12" s="118" t="s">
        <v>132</v>
      </c>
      <c r="G12" s="120">
        <v>120000000</v>
      </c>
      <c r="H12" s="120"/>
      <c r="I12" s="120"/>
      <c r="J12" s="120"/>
      <c r="K12" s="120"/>
      <c r="L12" s="120"/>
      <c r="M12" s="120">
        <f t="shared" si="0"/>
        <v>120000000</v>
      </c>
      <c r="N12" s="328">
        <f>SUM(M12:M15)</f>
        <v>177600000</v>
      </c>
      <c r="O12" s="151" t="s">
        <v>1502</v>
      </c>
      <c r="P12" s="151" t="s">
        <v>1503</v>
      </c>
      <c r="Q12" s="123" t="s">
        <v>1504</v>
      </c>
      <c r="R12" s="188">
        <v>38546040</v>
      </c>
      <c r="S12" s="189">
        <f t="shared" si="1"/>
        <v>0.32121699999999997</v>
      </c>
      <c r="T12" s="114">
        <v>601</v>
      </c>
      <c r="U12" s="114" t="s">
        <v>1591</v>
      </c>
      <c r="V12" s="115">
        <v>38546040</v>
      </c>
      <c r="W12" s="114">
        <v>2176</v>
      </c>
      <c r="X12" s="114" t="s">
        <v>1573</v>
      </c>
      <c r="Y12" s="115">
        <v>38546040</v>
      </c>
    </row>
    <row r="13" spans="1:25" ht="202.5" x14ac:dyDescent="0.25">
      <c r="A13" s="379"/>
      <c r="B13" s="379"/>
      <c r="C13" s="323"/>
      <c r="D13" s="323"/>
      <c r="E13" s="118" t="s">
        <v>534</v>
      </c>
      <c r="F13" s="118" t="s">
        <v>535</v>
      </c>
      <c r="G13" s="120">
        <v>16000000</v>
      </c>
      <c r="H13" s="120"/>
      <c r="I13" s="120"/>
      <c r="J13" s="120"/>
      <c r="K13" s="120"/>
      <c r="L13" s="120"/>
      <c r="M13" s="120">
        <f t="shared" si="0"/>
        <v>16000000</v>
      </c>
      <c r="N13" s="328"/>
      <c r="O13" s="151" t="s">
        <v>731</v>
      </c>
      <c r="P13" s="151" t="s">
        <v>732</v>
      </c>
      <c r="Q13" s="123" t="s">
        <v>733</v>
      </c>
      <c r="R13" s="188">
        <v>15895573</v>
      </c>
      <c r="S13" s="189">
        <f t="shared" si="1"/>
        <v>0.99347331250000004</v>
      </c>
      <c r="T13" s="114">
        <v>284</v>
      </c>
      <c r="U13" s="114" t="s">
        <v>1630</v>
      </c>
      <c r="V13" s="115">
        <v>15895573</v>
      </c>
      <c r="W13" s="114">
        <v>1253</v>
      </c>
      <c r="X13" s="114" t="s">
        <v>1652</v>
      </c>
      <c r="Y13" s="115">
        <v>15895573</v>
      </c>
    </row>
    <row r="14" spans="1:25" ht="40.5" x14ac:dyDescent="0.25">
      <c r="A14" s="379"/>
      <c r="B14" s="379"/>
      <c r="C14" s="323"/>
      <c r="D14" s="323"/>
      <c r="E14" s="118" t="s">
        <v>536</v>
      </c>
      <c r="F14" s="118" t="s">
        <v>537</v>
      </c>
      <c r="G14" s="120">
        <v>21600000</v>
      </c>
      <c r="H14" s="120"/>
      <c r="I14" s="120"/>
      <c r="J14" s="120"/>
      <c r="K14" s="120"/>
      <c r="L14" s="120"/>
      <c r="M14" s="120">
        <f t="shared" si="0"/>
        <v>21600000</v>
      </c>
      <c r="N14" s="328"/>
      <c r="O14" s="116"/>
      <c r="P14" s="116"/>
      <c r="Q14" s="116"/>
      <c r="R14" s="116"/>
      <c r="S14" s="189">
        <f t="shared" si="1"/>
        <v>0</v>
      </c>
      <c r="T14" s="116"/>
      <c r="U14" s="116"/>
      <c r="V14" s="116"/>
      <c r="W14" s="116"/>
      <c r="X14" s="116"/>
      <c r="Y14" s="116"/>
    </row>
    <row r="15" spans="1:25" ht="67.5" x14ac:dyDescent="0.25">
      <c r="A15" s="379"/>
      <c r="B15" s="379"/>
      <c r="C15" s="323"/>
      <c r="D15" s="323"/>
      <c r="E15" s="118" t="s">
        <v>538</v>
      </c>
      <c r="F15" s="118" t="s">
        <v>539</v>
      </c>
      <c r="G15" s="120">
        <v>30000000</v>
      </c>
      <c r="H15" s="120">
        <v>-10000000</v>
      </c>
      <c r="I15" s="120"/>
      <c r="J15" s="120"/>
      <c r="K15" s="120"/>
      <c r="L15" s="120"/>
      <c r="M15" s="120">
        <f t="shared" si="0"/>
        <v>20000000</v>
      </c>
      <c r="N15" s="328"/>
      <c r="O15" s="116"/>
      <c r="P15" s="116"/>
      <c r="Q15" s="116"/>
      <c r="R15" s="116"/>
      <c r="S15" s="189">
        <f t="shared" si="1"/>
        <v>0</v>
      </c>
      <c r="T15" s="116"/>
      <c r="U15" s="116"/>
      <c r="V15" s="116"/>
      <c r="W15" s="116"/>
      <c r="X15" s="116"/>
      <c r="Y15" s="116"/>
    </row>
    <row r="16" spans="1:25" ht="24" customHeight="1" x14ac:dyDescent="0.25">
      <c r="A16" s="383" t="s">
        <v>133</v>
      </c>
      <c r="B16" s="383" t="s">
        <v>134</v>
      </c>
      <c r="C16" s="359" t="s">
        <v>135</v>
      </c>
      <c r="D16" s="359" t="s">
        <v>136</v>
      </c>
      <c r="E16" s="118" t="s">
        <v>137</v>
      </c>
      <c r="F16" s="118" t="s">
        <v>138</v>
      </c>
      <c r="G16" s="120">
        <v>0</v>
      </c>
      <c r="H16" s="120"/>
      <c r="I16" s="119">
        <v>180000000</v>
      </c>
      <c r="J16" s="120">
        <v>0</v>
      </c>
      <c r="K16" s="119"/>
      <c r="L16" s="119"/>
      <c r="M16" s="120">
        <f t="shared" si="0"/>
        <v>180000000</v>
      </c>
      <c r="N16" s="328">
        <f>SUM(M16:M18)</f>
        <v>400000000</v>
      </c>
      <c r="O16" s="116"/>
      <c r="P16" s="116"/>
      <c r="Q16" s="116"/>
      <c r="R16" s="116"/>
      <c r="S16" s="189">
        <f t="shared" si="1"/>
        <v>0</v>
      </c>
      <c r="T16" s="116"/>
      <c r="U16" s="116"/>
      <c r="V16" s="116"/>
      <c r="W16" s="116"/>
      <c r="X16" s="116"/>
      <c r="Y16" s="116"/>
    </row>
    <row r="17" spans="1:25" ht="40.5" x14ac:dyDescent="0.25">
      <c r="A17" s="384"/>
      <c r="B17" s="384"/>
      <c r="C17" s="360"/>
      <c r="D17" s="360"/>
      <c r="E17" s="118" t="s">
        <v>595</v>
      </c>
      <c r="F17" s="118" t="s">
        <v>596</v>
      </c>
      <c r="G17" s="120">
        <v>0</v>
      </c>
      <c r="H17" s="120"/>
      <c r="I17" s="119">
        <v>150000000</v>
      </c>
      <c r="J17" s="120">
        <v>0</v>
      </c>
      <c r="K17" s="119"/>
      <c r="L17" s="119"/>
      <c r="M17" s="120">
        <f t="shared" si="0"/>
        <v>150000000</v>
      </c>
      <c r="N17" s="328"/>
      <c r="O17" s="116"/>
      <c r="P17" s="116"/>
      <c r="Q17" s="116"/>
      <c r="R17" s="116"/>
      <c r="S17" s="189">
        <f t="shared" si="1"/>
        <v>0</v>
      </c>
      <c r="T17" s="116"/>
      <c r="U17" s="116"/>
      <c r="V17" s="116"/>
      <c r="W17" s="116"/>
      <c r="X17" s="116"/>
      <c r="Y17" s="116"/>
    </row>
    <row r="18" spans="1:25" ht="40.5" x14ac:dyDescent="0.25">
      <c r="A18" s="385"/>
      <c r="B18" s="385"/>
      <c r="C18" s="361"/>
      <c r="D18" s="361"/>
      <c r="E18" s="118" t="s">
        <v>597</v>
      </c>
      <c r="F18" s="118" t="s">
        <v>598</v>
      </c>
      <c r="G18" s="120">
        <v>0</v>
      </c>
      <c r="H18" s="120"/>
      <c r="I18" s="119">
        <v>70000000</v>
      </c>
      <c r="J18" s="120">
        <v>0</v>
      </c>
      <c r="K18" s="119"/>
      <c r="L18" s="119"/>
      <c r="M18" s="120">
        <f t="shared" si="0"/>
        <v>70000000</v>
      </c>
      <c r="N18" s="328"/>
      <c r="O18" s="116"/>
      <c r="P18" s="116"/>
      <c r="Q18" s="116"/>
      <c r="R18" s="116"/>
      <c r="S18" s="189">
        <f t="shared" si="1"/>
        <v>0</v>
      </c>
      <c r="T18" s="116"/>
      <c r="U18" s="116"/>
      <c r="V18" s="116"/>
      <c r="W18" s="116"/>
      <c r="X18" s="116"/>
      <c r="Y18" s="116"/>
    </row>
    <row r="19" spans="1:25" ht="135" x14ac:dyDescent="0.25">
      <c r="A19" s="212" t="s">
        <v>139</v>
      </c>
      <c r="B19" s="212" t="s">
        <v>140</v>
      </c>
      <c r="C19" s="118" t="s">
        <v>141</v>
      </c>
      <c r="D19" s="118" t="s">
        <v>142</v>
      </c>
      <c r="E19" s="118" t="s">
        <v>143</v>
      </c>
      <c r="F19" s="118" t="s">
        <v>144</v>
      </c>
      <c r="G19" s="120">
        <v>0</v>
      </c>
      <c r="H19" s="120"/>
      <c r="I19" s="119">
        <v>421580875</v>
      </c>
      <c r="J19" s="120">
        <v>0</v>
      </c>
      <c r="K19" s="119"/>
      <c r="L19" s="119"/>
      <c r="M19" s="120">
        <f t="shared" si="0"/>
        <v>421580875</v>
      </c>
      <c r="N19" s="147">
        <f>SUM(M19)</f>
        <v>421580875</v>
      </c>
      <c r="O19" s="116"/>
      <c r="P19" s="116"/>
      <c r="Q19" s="116"/>
      <c r="R19" s="116"/>
      <c r="S19" s="189">
        <f t="shared" si="1"/>
        <v>0</v>
      </c>
      <c r="T19" s="116"/>
      <c r="U19" s="116"/>
      <c r="V19" s="116"/>
      <c r="W19" s="116"/>
      <c r="X19" s="116"/>
      <c r="Y19" s="116"/>
    </row>
    <row r="20" spans="1:25" ht="136.5" customHeight="1" x14ac:dyDescent="0.25">
      <c r="A20" s="380" t="s">
        <v>145</v>
      </c>
      <c r="B20" s="380" t="s">
        <v>146</v>
      </c>
      <c r="C20" s="375" t="s">
        <v>147</v>
      </c>
      <c r="D20" s="375" t="s">
        <v>136</v>
      </c>
      <c r="E20" s="118">
        <v>175</v>
      </c>
      <c r="F20" s="119" t="s">
        <v>148</v>
      </c>
      <c r="G20" s="120">
        <v>0</v>
      </c>
      <c r="H20" s="120"/>
      <c r="I20" s="119">
        <v>59291845</v>
      </c>
      <c r="J20" s="120">
        <v>0</v>
      </c>
      <c r="K20" s="119"/>
      <c r="L20" s="119"/>
      <c r="M20" s="120">
        <f t="shared" si="0"/>
        <v>59291845</v>
      </c>
      <c r="N20" s="328">
        <f>SUM(M20:M22)</f>
        <v>99291845</v>
      </c>
      <c r="O20" s="116"/>
      <c r="P20" s="116"/>
      <c r="Q20" s="116"/>
      <c r="R20" s="116"/>
      <c r="S20" s="189">
        <f t="shared" si="1"/>
        <v>0</v>
      </c>
      <c r="T20" s="116"/>
      <c r="U20" s="116"/>
      <c r="V20" s="116"/>
      <c r="W20" s="116"/>
      <c r="X20" s="116"/>
      <c r="Y20" s="116"/>
    </row>
    <row r="21" spans="1:25" ht="136.5" customHeight="1" x14ac:dyDescent="0.25">
      <c r="A21" s="381"/>
      <c r="B21" s="381"/>
      <c r="C21" s="376"/>
      <c r="D21" s="376"/>
      <c r="E21" s="118" t="s">
        <v>599</v>
      </c>
      <c r="F21" s="119" t="s">
        <v>600</v>
      </c>
      <c r="G21" s="120">
        <v>0</v>
      </c>
      <c r="H21" s="120"/>
      <c r="I21" s="119">
        <v>20000000</v>
      </c>
      <c r="J21" s="120">
        <v>0</v>
      </c>
      <c r="K21" s="119"/>
      <c r="L21" s="119"/>
      <c r="M21" s="120">
        <f t="shared" si="0"/>
        <v>20000000</v>
      </c>
      <c r="N21" s="328"/>
      <c r="O21" s="116"/>
      <c r="P21" s="116"/>
      <c r="Q21" s="116"/>
      <c r="R21" s="116"/>
      <c r="S21" s="189">
        <f t="shared" si="1"/>
        <v>0</v>
      </c>
      <c r="T21" s="116"/>
      <c r="U21" s="116"/>
      <c r="V21" s="116"/>
      <c r="W21" s="116"/>
      <c r="X21" s="116"/>
      <c r="Y21" s="116"/>
    </row>
    <row r="22" spans="1:25" ht="136.5" customHeight="1" x14ac:dyDescent="0.25">
      <c r="A22" s="382"/>
      <c r="B22" s="382"/>
      <c r="C22" s="377"/>
      <c r="D22" s="377"/>
      <c r="E22" s="118" t="s">
        <v>601</v>
      </c>
      <c r="F22" s="119" t="s">
        <v>602</v>
      </c>
      <c r="G22" s="120">
        <v>0</v>
      </c>
      <c r="H22" s="120"/>
      <c r="I22" s="119">
        <v>20000000</v>
      </c>
      <c r="J22" s="120">
        <v>0</v>
      </c>
      <c r="K22" s="119"/>
      <c r="L22" s="119"/>
      <c r="M22" s="120">
        <f t="shared" si="0"/>
        <v>20000000</v>
      </c>
      <c r="N22" s="328"/>
      <c r="O22" s="116"/>
      <c r="P22" s="116"/>
      <c r="Q22" s="116"/>
      <c r="R22" s="116"/>
      <c r="S22" s="189">
        <f t="shared" si="1"/>
        <v>0</v>
      </c>
      <c r="T22" s="116"/>
      <c r="U22" s="116"/>
      <c r="V22" s="116"/>
      <c r="W22" s="116"/>
      <c r="X22" s="116"/>
      <c r="Y22" s="116"/>
    </row>
    <row r="23" spans="1:25" ht="136.5" customHeight="1" x14ac:dyDescent="0.25">
      <c r="A23" s="213" t="s">
        <v>149</v>
      </c>
      <c r="B23" s="213"/>
      <c r="C23" s="118" t="s">
        <v>150</v>
      </c>
      <c r="D23" s="118" t="s">
        <v>136</v>
      </c>
      <c r="E23" s="118"/>
      <c r="F23" s="118" t="s">
        <v>151</v>
      </c>
      <c r="G23" s="120">
        <v>0</v>
      </c>
      <c r="H23" s="120"/>
      <c r="I23" s="119">
        <v>6012229</v>
      </c>
      <c r="J23" s="120">
        <v>0</v>
      </c>
      <c r="K23" s="119"/>
      <c r="L23" s="119"/>
      <c r="M23" s="120">
        <f t="shared" si="0"/>
        <v>6012229</v>
      </c>
      <c r="N23" s="147">
        <f>SUM(M23)</f>
        <v>6012229</v>
      </c>
      <c r="O23" s="116"/>
      <c r="P23" s="116"/>
      <c r="Q23" s="116"/>
      <c r="R23" s="116"/>
      <c r="S23" s="189">
        <f t="shared" si="1"/>
        <v>0</v>
      </c>
      <c r="T23" s="116"/>
      <c r="U23" s="116"/>
      <c r="V23" s="116"/>
      <c r="W23" s="116"/>
      <c r="X23" s="116"/>
      <c r="Y23" s="116"/>
    </row>
    <row r="24" spans="1:25" ht="136.5" customHeight="1" x14ac:dyDescent="0.25">
      <c r="A24" s="386" t="s">
        <v>152</v>
      </c>
      <c r="B24" s="386" t="s">
        <v>153</v>
      </c>
      <c r="C24" s="324" t="s">
        <v>154</v>
      </c>
      <c r="D24" s="324" t="s">
        <v>136</v>
      </c>
      <c r="E24" s="118" t="s">
        <v>155</v>
      </c>
      <c r="F24" s="118" t="s">
        <v>156</v>
      </c>
      <c r="G24" s="120">
        <v>0</v>
      </c>
      <c r="H24" s="120"/>
      <c r="I24" s="119">
        <v>16898854</v>
      </c>
      <c r="J24" s="120">
        <v>0</v>
      </c>
      <c r="K24" s="119"/>
      <c r="L24" s="119"/>
      <c r="M24" s="120">
        <f t="shared" si="0"/>
        <v>16898854</v>
      </c>
      <c r="N24" s="328">
        <f>SUM(M24:M25)</f>
        <v>33797709</v>
      </c>
      <c r="O24" s="116"/>
      <c r="P24" s="116"/>
      <c r="Q24" s="116"/>
      <c r="R24" s="116"/>
      <c r="S24" s="189">
        <f t="shared" si="1"/>
        <v>0</v>
      </c>
      <c r="T24" s="116"/>
      <c r="U24" s="116"/>
      <c r="V24" s="116"/>
      <c r="W24" s="116"/>
      <c r="X24" s="116"/>
      <c r="Y24" s="116"/>
    </row>
    <row r="25" spans="1:25" ht="136.5" customHeight="1" x14ac:dyDescent="0.25">
      <c r="A25" s="387"/>
      <c r="B25" s="387"/>
      <c r="C25" s="368"/>
      <c r="D25" s="368"/>
      <c r="E25" s="118" t="s">
        <v>603</v>
      </c>
      <c r="F25" s="118" t="s">
        <v>604</v>
      </c>
      <c r="G25" s="120">
        <v>0</v>
      </c>
      <c r="H25" s="120"/>
      <c r="I25" s="119">
        <v>16898855</v>
      </c>
      <c r="J25" s="120">
        <v>0</v>
      </c>
      <c r="K25" s="119"/>
      <c r="L25" s="119"/>
      <c r="M25" s="120">
        <f t="shared" si="0"/>
        <v>16898855</v>
      </c>
      <c r="N25" s="328"/>
      <c r="O25" s="116"/>
      <c r="P25" s="116"/>
      <c r="Q25" s="116"/>
      <c r="R25" s="116"/>
      <c r="S25" s="189">
        <f t="shared" si="1"/>
        <v>0</v>
      </c>
      <c r="T25" s="116"/>
      <c r="U25" s="116"/>
      <c r="V25" s="116"/>
      <c r="W25" s="116"/>
      <c r="X25" s="116"/>
      <c r="Y25" s="116"/>
    </row>
    <row r="26" spans="1:25" ht="136.5" customHeight="1" thickBot="1" x14ac:dyDescent="0.3">
      <c r="A26" s="213" t="s">
        <v>157</v>
      </c>
      <c r="B26" s="213" t="s">
        <v>158</v>
      </c>
      <c r="C26" s="118" t="s">
        <v>159</v>
      </c>
      <c r="D26" s="118" t="s">
        <v>142</v>
      </c>
      <c r="E26" s="118"/>
      <c r="F26" s="118" t="s">
        <v>160</v>
      </c>
      <c r="G26" s="120">
        <v>0</v>
      </c>
      <c r="H26" s="120"/>
      <c r="I26" s="119">
        <v>200000000</v>
      </c>
      <c r="J26" s="120">
        <v>0</v>
      </c>
      <c r="K26" s="119"/>
      <c r="L26" s="119"/>
      <c r="M26" s="120">
        <f t="shared" si="0"/>
        <v>200000000</v>
      </c>
      <c r="N26" s="147">
        <f>SUM(M26)</f>
        <v>200000000</v>
      </c>
      <c r="O26" s="116"/>
      <c r="P26" s="116"/>
      <c r="Q26" s="116"/>
      <c r="R26" s="116"/>
      <c r="S26" s="189">
        <f t="shared" si="1"/>
        <v>0</v>
      </c>
      <c r="T26" s="173"/>
      <c r="U26" s="173"/>
      <c r="V26" s="173"/>
      <c r="W26" s="173"/>
      <c r="X26" s="173"/>
      <c r="Y26" s="173"/>
    </row>
    <row r="27" spans="1:25" ht="19.5" thickBot="1" x14ac:dyDescent="0.35">
      <c r="L27" s="44" t="s">
        <v>637</v>
      </c>
      <c r="M27" s="45">
        <f>SUM(M2:M26)</f>
        <v>1548990658</v>
      </c>
      <c r="N27" s="44"/>
      <c r="O27" s="44"/>
      <c r="P27" s="44"/>
      <c r="Q27" s="44"/>
      <c r="R27" s="46">
        <f>R4+R8+R9+R10+R11+R12+R13+R14+R15+R16+R17+R18+R19+R20+R21+R22+R23+R24+R25+R26</f>
        <v>205022513</v>
      </c>
      <c r="S27" s="250">
        <f t="shared" si="1"/>
        <v>0.13235877953241987</v>
      </c>
      <c r="T27" s="234"/>
      <c r="U27" s="235"/>
      <c r="V27" s="236">
        <f>SUM(V2:V26)</f>
        <v>205022513</v>
      </c>
      <c r="W27" s="235"/>
      <c r="X27" s="235"/>
      <c r="Y27" s="237">
        <f>SUM(Y2:Y26)</f>
        <v>204211613</v>
      </c>
    </row>
  </sheetData>
  <sheetProtection algorithmName="SHA-512" hashValue="Tk248cOTQN9uulsVNh0DrBhFxe0F4ubl7QM1CigMW56NjlD+hh77MiaYZ48tyvidSkEgGQLxmFAfh7IEr0lGzQ==" saltValue="iGsYRrDfT8zQNDB8kwAf8A==" spinCount="100000" sheet="1" objects="1" scenarios="1" formatCells="0" formatColumns="0" formatRows="0"/>
  <mergeCells count="45">
    <mergeCell ref="N24:N25"/>
    <mergeCell ref="A24:A25"/>
    <mergeCell ref="B24:B25"/>
    <mergeCell ref="C24:C25"/>
    <mergeCell ref="D24:D25"/>
    <mergeCell ref="N16:N18"/>
    <mergeCell ref="A20:A22"/>
    <mergeCell ref="B20:B22"/>
    <mergeCell ref="C20:C22"/>
    <mergeCell ref="D20:D22"/>
    <mergeCell ref="N20:N22"/>
    <mergeCell ref="A16:A18"/>
    <mergeCell ref="B16:B18"/>
    <mergeCell ref="C16:C18"/>
    <mergeCell ref="D16:D18"/>
    <mergeCell ref="A2:A11"/>
    <mergeCell ref="B2:B11"/>
    <mergeCell ref="C2:C11"/>
    <mergeCell ref="D2:D11"/>
    <mergeCell ref="M2:M4"/>
    <mergeCell ref="L2:L4"/>
    <mergeCell ref="F2:F4"/>
    <mergeCell ref="E2:E4"/>
    <mergeCell ref="E5:E8"/>
    <mergeCell ref="H2:H4"/>
    <mergeCell ref="G2:G4"/>
    <mergeCell ref="I2:I4"/>
    <mergeCell ref="I5:I8"/>
    <mergeCell ref="H5:H8"/>
    <mergeCell ref="G5:G8"/>
    <mergeCell ref="F5:F8"/>
    <mergeCell ref="A12:A15"/>
    <mergeCell ref="B12:B15"/>
    <mergeCell ref="C12:C15"/>
    <mergeCell ref="D12:D15"/>
    <mergeCell ref="N12:N15"/>
    <mergeCell ref="S2:S4"/>
    <mergeCell ref="M5:M8"/>
    <mergeCell ref="L5:L8"/>
    <mergeCell ref="K5:K8"/>
    <mergeCell ref="J5:J8"/>
    <mergeCell ref="S5:S8"/>
    <mergeCell ref="K2:K4"/>
    <mergeCell ref="J2:J4"/>
    <mergeCell ref="N2:N11"/>
  </mergeCells>
  <conditionalFormatting sqref="S1:S2 S5 S9:S1048576">
    <cfRule type="cellIs" dxfId="41" priority="1" operator="between">
      <formula>0.51</formula>
      <formula>0.69</formula>
    </cfRule>
    <cfRule type="cellIs" dxfId="40" priority="2" operator="lessThan">
      <formula>0.5</formula>
    </cfRule>
    <cfRule type="cellIs" dxfId="39" priority="3" operator="greaterThan">
      <formula>0.7</formula>
    </cfRule>
  </conditionalFormatting>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A1:Y19"/>
  <sheetViews>
    <sheetView zoomScale="70" zoomScaleNormal="70" workbookViewId="0">
      <pane ySplit="1" topLeftCell="A2" activePane="bottomLeft" state="frozen"/>
      <selection activeCell="H1" sqref="H1"/>
      <selection pane="bottomLeft"/>
    </sheetView>
  </sheetViews>
  <sheetFormatPr baseColWidth="10" defaultColWidth="0" defaultRowHeight="15" zeroHeight="1" x14ac:dyDescent="0.25"/>
  <cols>
    <col min="1" max="5" width="11.42578125" customWidth="1"/>
    <col min="6" max="6" width="31.28515625" customWidth="1"/>
    <col min="7" max="7" width="15.42578125" bestFit="1" customWidth="1"/>
    <col min="8" max="8" width="11.42578125" customWidth="1"/>
    <col min="9" max="10" width="15.42578125" bestFit="1" customWidth="1"/>
    <col min="11" max="11" width="11.42578125" customWidth="1"/>
    <col min="12" max="12" width="11.7109375" bestFit="1" customWidth="1"/>
    <col min="13" max="13" width="19.5703125" bestFit="1" customWidth="1"/>
    <col min="14" max="14" width="14.5703125" customWidth="1"/>
    <col min="15" max="15" width="36.5703125" customWidth="1"/>
    <col min="16" max="17" width="11.42578125" customWidth="1"/>
    <col min="18" max="18" width="15.7109375" bestFit="1" customWidth="1"/>
    <col min="19" max="19" width="12" style="38" customWidth="1"/>
    <col min="20" max="20" width="12" customWidth="1"/>
    <col min="21" max="21" width="11.42578125" customWidth="1"/>
    <col min="22" max="22" width="19.140625" bestFit="1" customWidth="1"/>
    <col min="23" max="23" width="11.7109375" bestFit="1" customWidth="1"/>
    <col min="24" max="24" width="11.42578125" customWidth="1"/>
    <col min="25" max="25" width="19.140625" bestFit="1" customWidth="1"/>
    <col min="26" max="16384" width="11.42578125" hidden="1"/>
  </cols>
  <sheetData>
    <row r="1" spans="1:25" ht="89.25" x14ac:dyDescent="0.25">
      <c r="A1" s="186" t="s">
        <v>0</v>
      </c>
      <c r="B1" s="186" t="s">
        <v>1</v>
      </c>
      <c r="C1" s="186" t="s">
        <v>2</v>
      </c>
      <c r="D1" s="186" t="s">
        <v>3</v>
      </c>
      <c r="E1" s="186" t="s">
        <v>4</v>
      </c>
      <c r="F1" s="186" t="s">
        <v>5</v>
      </c>
      <c r="G1" s="186" t="s">
        <v>6</v>
      </c>
      <c r="H1" s="186" t="s">
        <v>7</v>
      </c>
      <c r="I1" s="186" t="s">
        <v>8</v>
      </c>
      <c r="J1" s="186" t="s">
        <v>9</v>
      </c>
      <c r="K1" s="186" t="s">
        <v>10</v>
      </c>
      <c r="L1" s="186" t="s">
        <v>11</v>
      </c>
      <c r="M1" s="186" t="s">
        <v>12</v>
      </c>
      <c r="N1" s="186" t="s">
        <v>13</v>
      </c>
      <c r="O1" s="177" t="s">
        <v>636</v>
      </c>
      <c r="P1" s="177" t="s">
        <v>628</v>
      </c>
      <c r="Q1" s="177" t="s">
        <v>629</v>
      </c>
      <c r="R1" s="177" t="s">
        <v>722</v>
      </c>
      <c r="S1" s="187" t="s">
        <v>1535</v>
      </c>
      <c r="T1" s="177" t="s">
        <v>630</v>
      </c>
      <c r="U1" s="177" t="s">
        <v>631</v>
      </c>
      <c r="V1" s="177" t="s">
        <v>632</v>
      </c>
      <c r="W1" s="177" t="s">
        <v>633</v>
      </c>
      <c r="X1" s="177" t="s">
        <v>634</v>
      </c>
      <c r="Y1" s="177" t="s">
        <v>635</v>
      </c>
    </row>
    <row r="2" spans="1:25" ht="135.75" customHeight="1" x14ac:dyDescent="0.25">
      <c r="A2" s="386" t="s">
        <v>161</v>
      </c>
      <c r="B2" s="386" t="s">
        <v>162</v>
      </c>
      <c r="C2" s="324" t="s">
        <v>163</v>
      </c>
      <c r="D2" s="324" t="s">
        <v>164</v>
      </c>
      <c r="E2" s="348" t="s">
        <v>165</v>
      </c>
      <c r="F2" s="348" t="s">
        <v>166</v>
      </c>
      <c r="G2" s="348">
        <v>211558400</v>
      </c>
      <c r="H2" s="348"/>
      <c r="I2" s="348"/>
      <c r="J2" s="348">
        <v>180866791</v>
      </c>
      <c r="K2" s="348"/>
      <c r="L2" s="348">
        <v>0</v>
      </c>
      <c r="M2" s="348">
        <f t="shared" ref="M2:M18" si="0">SUM(G2:L2)</f>
        <v>392425191</v>
      </c>
      <c r="N2" s="330">
        <f>SUM(M2:M16)</f>
        <v>562425191</v>
      </c>
      <c r="O2" s="151" t="s">
        <v>1350</v>
      </c>
      <c r="P2" s="151" t="s">
        <v>1351</v>
      </c>
      <c r="Q2" s="123" t="s">
        <v>1352</v>
      </c>
      <c r="R2" s="188">
        <v>10442857</v>
      </c>
      <c r="S2" s="372">
        <f>R14/M2</f>
        <v>0.42651987140142589</v>
      </c>
      <c r="T2" s="114">
        <v>251</v>
      </c>
      <c r="U2" s="114" t="s">
        <v>1627</v>
      </c>
      <c r="V2" s="115">
        <v>10442857</v>
      </c>
      <c r="W2" s="114">
        <v>759</v>
      </c>
      <c r="X2" s="114" t="s">
        <v>1629</v>
      </c>
      <c r="Y2" s="115">
        <v>10442857</v>
      </c>
    </row>
    <row r="3" spans="1:25" ht="135.75" customHeight="1" x14ac:dyDescent="0.25">
      <c r="A3" s="388"/>
      <c r="B3" s="388"/>
      <c r="C3" s="378"/>
      <c r="D3" s="378"/>
      <c r="E3" s="349"/>
      <c r="F3" s="349"/>
      <c r="G3" s="349"/>
      <c r="H3" s="349"/>
      <c r="I3" s="349"/>
      <c r="J3" s="349"/>
      <c r="K3" s="349"/>
      <c r="L3" s="349"/>
      <c r="M3" s="349"/>
      <c r="N3" s="331"/>
      <c r="O3" s="151" t="s">
        <v>1353</v>
      </c>
      <c r="P3" s="151" t="s">
        <v>1354</v>
      </c>
      <c r="Q3" s="123" t="s">
        <v>1355</v>
      </c>
      <c r="R3" s="188">
        <v>10442857</v>
      </c>
      <c r="S3" s="373"/>
      <c r="T3" s="114">
        <v>252</v>
      </c>
      <c r="U3" s="114" t="s">
        <v>1627</v>
      </c>
      <c r="V3" s="115">
        <v>10442857</v>
      </c>
      <c r="W3" s="114">
        <v>758</v>
      </c>
      <c r="X3" s="114" t="s">
        <v>1629</v>
      </c>
      <c r="Y3" s="115">
        <v>10442857</v>
      </c>
    </row>
    <row r="4" spans="1:25" ht="135.75" customHeight="1" x14ac:dyDescent="0.25">
      <c r="A4" s="388"/>
      <c r="B4" s="388"/>
      <c r="C4" s="378"/>
      <c r="D4" s="378"/>
      <c r="E4" s="349"/>
      <c r="F4" s="349"/>
      <c r="G4" s="349"/>
      <c r="H4" s="349"/>
      <c r="I4" s="349"/>
      <c r="J4" s="349"/>
      <c r="K4" s="349"/>
      <c r="L4" s="349"/>
      <c r="M4" s="349"/>
      <c r="N4" s="331"/>
      <c r="O4" s="151" t="s">
        <v>1356</v>
      </c>
      <c r="P4" s="151" t="s">
        <v>1357</v>
      </c>
      <c r="Q4" s="123" t="s">
        <v>1358</v>
      </c>
      <c r="R4" s="188">
        <v>13500000</v>
      </c>
      <c r="S4" s="373"/>
      <c r="T4" s="114">
        <v>250</v>
      </c>
      <c r="U4" s="114" t="s">
        <v>1627</v>
      </c>
      <c r="V4" s="115">
        <v>13500000</v>
      </c>
      <c r="W4" s="114">
        <v>1162</v>
      </c>
      <c r="X4" s="114" t="s">
        <v>1600</v>
      </c>
      <c r="Y4" s="115">
        <v>13289063</v>
      </c>
    </row>
    <row r="5" spans="1:25" ht="135.75" customHeight="1" x14ac:dyDescent="0.25">
      <c r="A5" s="388"/>
      <c r="B5" s="388"/>
      <c r="C5" s="378"/>
      <c r="D5" s="378"/>
      <c r="E5" s="349"/>
      <c r="F5" s="349"/>
      <c r="G5" s="349"/>
      <c r="H5" s="349"/>
      <c r="I5" s="349"/>
      <c r="J5" s="349"/>
      <c r="K5" s="349"/>
      <c r="L5" s="349"/>
      <c r="M5" s="349"/>
      <c r="N5" s="331"/>
      <c r="O5" s="151" t="s">
        <v>1359</v>
      </c>
      <c r="P5" s="151" t="s">
        <v>1360</v>
      </c>
      <c r="Q5" s="123" t="s">
        <v>1361</v>
      </c>
      <c r="R5" s="188">
        <v>18122971</v>
      </c>
      <c r="S5" s="373"/>
      <c r="T5" s="114">
        <v>254</v>
      </c>
      <c r="U5" s="114" t="s">
        <v>1627</v>
      </c>
      <c r="V5" s="115">
        <v>18122971</v>
      </c>
      <c r="W5" s="114">
        <v>1245</v>
      </c>
      <c r="X5" s="114" t="s">
        <v>1652</v>
      </c>
      <c r="Y5" s="115">
        <v>18122971</v>
      </c>
    </row>
    <row r="6" spans="1:25" ht="135.75" customHeight="1" x14ac:dyDescent="0.25">
      <c r="A6" s="388"/>
      <c r="B6" s="388"/>
      <c r="C6" s="378"/>
      <c r="D6" s="378"/>
      <c r="E6" s="349"/>
      <c r="F6" s="349"/>
      <c r="G6" s="349"/>
      <c r="H6" s="349"/>
      <c r="I6" s="349"/>
      <c r="J6" s="349"/>
      <c r="K6" s="349"/>
      <c r="L6" s="349"/>
      <c r="M6" s="349"/>
      <c r="N6" s="331"/>
      <c r="O6" s="151" t="s">
        <v>1362</v>
      </c>
      <c r="P6" s="151" t="s">
        <v>1363</v>
      </c>
      <c r="Q6" s="123" t="s">
        <v>1364</v>
      </c>
      <c r="R6" s="188">
        <v>10048457</v>
      </c>
      <c r="S6" s="373"/>
      <c r="T6" s="114">
        <v>249</v>
      </c>
      <c r="U6" s="114" t="s">
        <v>1627</v>
      </c>
      <c r="V6" s="115">
        <v>10048457</v>
      </c>
      <c r="W6" s="114">
        <v>733</v>
      </c>
      <c r="X6" s="114" t="s">
        <v>1630</v>
      </c>
      <c r="Y6" s="115">
        <v>10048457</v>
      </c>
    </row>
    <row r="7" spans="1:25" ht="135.75" customHeight="1" x14ac:dyDescent="0.25">
      <c r="A7" s="388"/>
      <c r="B7" s="388"/>
      <c r="C7" s="378"/>
      <c r="D7" s="378"/>
      <c r="E7" s="349"/>
      <c r="F7" s="349"/>
      <c r="G7" s="349"/>
      <c r="H7" s="349"/>
      <c r="I7" s="349"/>
      <c r="J7" s="349"/>
      <c r="K7" s="349"/>
      <c r="L7" s="349"/>
      <c r="M7" s="349"/>
      <c r="N7" s="331"/>
      <c r="O7" s="151" t="s">
        <v>1365</v>
      </c>
      <c r="P7" s="151" t="s">
        <v>1366</v>
      </c>
      <c r="Q7" s="123" t="s">
        <v>1367</v>
      </c>
      <c r="R7" s="188">
        <v>25000000</v>
      </c>
      <c r="S7" s="373"/>
      <c r="T7" s="114">
        <v>253</v>
      </c>
      <c r="U7" s="114" t="s">
        <v>1627</v>
      </c>
      <c r="V7" s="115">
        <v>25000000</v>
      </c>
      <c r="W7" s="114">
        <v>1246</v>
      </c>
      <c r="X7" s="114" t="s">
        <v>1652</v>
      </c>
      <c r="Y7" s="115">
        <v>25000000</v>
      </c>
    </row>
    <row r="8" spans="1:25" ht="135.75" customHeight="1" x14ac:dyDescent="0.25">
      <c r="A8" s="388"/>
      <c r="B8" s="388"/>
      <c r="C8" s="378"/>
      <c r="D8" s="378"/>
      <c r="E8" s="349"/>
      <c r="F8" s="349"/>
      <c r="G8" s="349"/>
      <c r="H8" s="349"/>
      <c r="I8" s="349"/>
      <c r="J8" s="349"/>
      <c r="K8" s="349"/>
      <c r="L8" s="349"/>
      <c r="M8" s="349"/>
      <c r="N8" s="331"/>
      <c r="O8" s="151" t="s">
        <v>1368</v>
      </c>
      <c r="P8" s="151" t="s">
        <v>233</v>
      </c>
      <c r="Q8" s="123" t="s">
        <v>1369</v>
      </c>
      <c r="R8" s="188">
        <v>12500000</v>
      </c>
      <c r="S8" s="373"/>
      <c r="T8" s="114">
        <v>294</v>
      </c>
      <c r="U8" s="114" t="s">
        <v>1631</v>
      </c>
      <c r="V8" s="115">
        <v>12500000</v>
      </c>
      <c r="W8" s="114">
        <v>1226</v>
      </c>
      <c r="X8" s="114" t="s">
        <v>1637</v>
      </c>
      <c r="Y8" s="115">
        <v>12500000</v>
      </c>
    </row>
    <row r="9" spans="1:25" ht="135.75" customHeight="1" x14ac:dyDescent="0.25">
      <c r="A9" s="388"/>
      <c r="B9" s="388"/>
      <c r="C9" s="378"/>
      <c r="D9" s="378"/>
      <c r="E9" s="349"/>
      <c r="F9" s="349"/>
      <c r="G9" s="349"/>
      <c r="H9" s="349"/>
      <c r="I9" s="349"/>
      <c r="J9" s="349"/>
      <c r="K9" s="349"/>
      <c r="L9" s="349"/>
      <c r="M9" s="349"/>
      <c r="N9" s="331"/>
      <c r="O9" s="151" t="s">
        <v>1370</v>
      </c>
      <c r="P9" s="151" t="s">
        <v>470</v>
      </c>
      <c r="Q9" s="123" t="s">
        <v>1371</v>
      </c>
      <c r="R9" s="188">
        <v>15580000</v>
      </c>
      <c r="S9" s="373"/>
      <c r="T9" s="114">
        <v>312</v>
      </c>
      <c r="U9" s="114" t="s">
        <v>1637</v>
      </c>
      <c r="V9" s="115">
        <v>15580000</v>
      </c>
      <c r="W9" s="114">
        <v>1255</v>
      </c>
      <c r="X9" s="114" t="s">
        <v>1653</v>
      </c>
      <c r="Y9" s="115">
        <v>15580000</v>
      </c>
    </row>
    <row r="10" spans="1:25" ht="135.75" customHeight="1" x14ac:dyDescent="0.25">
      <c r="A10" s="388"/>
      <c r="B10" s="388"/>
      <c r="C10" s="378"/>
      <c r="D10" s="378"/>
      <c r="E10" s="349"/>
      <c r="F10" s="349"/>
      <c r="G10" s="349"/>
      <c r="H10" s="349"/>
      <c r="I10" s="349"/>
      <c r="J10" s="349"/>
      <c r="K10" s="349"/>
      <c r="L10" s="349"/>
      <c r="M10" s="349"/>
      <c r="N10" s="331"/>
      <c r="O10" s="151" t="s">
        <v>1372</v>
      </c>
      <c r="P10" s="151" t="s">
        <v>611</v>
      </c>
      <c r="Q10" s="123" t="s">
        <v>1373</v>
      </c>
      <c r="R10" s="188">
        <v>4000000</v>
      </c>
      <c r="S10" s="373"/>
      <c r="T10" s="122">
        <v>447</v>
      </c>
      <c r="U10" s="114" t="s">
        <v>1564</v>
      </c>
      <c r="V10" s="115">
        <v>4000000</v>
      </c>
      <c r="W10" s="114">
        <v>1505</v>
      </c>
      <c r="X10" s="114" t="s">
        <v>1615</v>
      </c>
      <c r="Y10" s="115">
        <v>4000000</v>
      </c>
    </row>
    <row r="11" spans="1:25" ht="135.75" customHeight="1" x14ac:dyDescent="0.25">
      <c r="A11" s="388"/>
      <c r="B11" s="388"/>
      <c r="C11" s="378"/>
      <c r="D11" s="378"/>
      <c r="E11" s="349"/>
      <c r="F11" s="349"/>
      <c r="G11" s="349"/>
      <c r="H11" s="349"/>
      <c r="I11" s="349"/>
      <c r="J11" s="349"/>
      <c r="K11" s="349"/>
      <c r="L11" s="349"/>
      <c r="M11" s="349"/>
      <c r="N11" s="331"/>
      <c r="O11" s="151" t="s">
        <v>1374</v>
      </c>
      <c r="P11" s="151" t="s">
        <v>1375</v>
      </c>
      <c r="Q11" s="123" t="s">
        <v>1376</v>
      </c>
      <c r="R11" s="188">
        <v>3040000</v>
      </c>
      <c r="S11" s="373"/>
      <c r="T11" s="114">
        <v>610</v>
      </c>
      <c r="U11" s="114" t="s">
        <v>1649</v>
      </c>
      <c r="V11" s="115">
        <v>3040000</v>
      </c>
      <c r="W11" s="116">
        <v>2210</v>
      </c>
      <c r="X11" s="116" t="s">
        <v>1650</v>
      </c>
      <c r="Y11" s="117">
        <v>3040000</v>
      </c>
    </row>
    <row r="12" spans="1:25" ht="135.75" customHeight="1" x14ac:dyDescent="0.25">
      <c r="A12" s="388"/>
      <c r="B12" s="388"/>
      <c r="C12" s="378"/>
      <c r="D12" s="378"/>
      <c r="E12" s="349"/>
      <c r="F12" s="349"/>
      <c r="G12" s="349"/>
      <c r="H12" s="349"/>
      <c r="I12" s="349"/>
      <c r="J12" s="349"/>
      <c r="K12" s="349"/>
      <c r="L12" s="349"/>
      <c r="M12" s="349"/>
      <c r="N12" s="331"/>
      <c r="O12" s="151" t="s">
        <v>1377</v>
      </c>
      <c r="P12" s="151" t="s">
        <v>1378</v>
      </c>
      <c r="Q12" s="123" t="s">
        <v>1379</v>
      </c>
      <c r="R12" s="188">
        <v>16400000</v>
      </c>
      <c r="S12" s="373"/>
      <c r="T12" s="114">
        <v>870</v>
      </c>
      <c r="U12" s="114" t="s">
        <v>1570</v>
      </c>
      <c r="V12" s="115">
        <v>16400000</v>
      </c>
      <c r="W12" s="116">
        <v>3236</v>
      </c>
      <c r="X12" s="116" t="s">
        <v>1654</v>
      </c>
      <c r="Y12" s="117">
        <v>16400000</v>
      </c>
    </row>
    <row r="13" spans="1:25" ht="135.75" customHeight="1" x14ac:dyDescent="0.25">
      <c r="A13" s="388"/>
      <c r="B13" s="388"/>
      <c r="C13" s="378"/>
      <c r="D13" s="378"/>
      <c r="E13" s="349"/>
      <c r="F13" s="349"/>
      <c r="G13" s="349"/>
      <c r="H13" s="349"/>
      <c r="I13" s="349"/>
      <c r="J13" s="349"/>
      <c r="K13" s="349"/>
      <c r="L13" s="349"/>
      <c r="M13" s="349"/>
      <c r="N13" s="331"/>
      <c r="O13" s="151" t="s">
        <v>1365</v>
      </c>
      <c r="P13" s="151" t="s">
        <v>1380</v>
      </c>
      <c r="Q13" s="123" t="s">
        <v>1381</v>
      </c>
      <c r="R13" s="188">
        <v>28300000</v>
      </c>
      <c r="S13" s="373"/>
      <c r="T13" s="114">
        <v>871</v>
      </c>
      <c r="U13" s="114" t="s">
        <v>1570</v>
      </c>
      <c r="V13" s="115">
        <v>28300000</v>
      </c>
      <c r="W13" s="116">
        <v>3235</v>
      </c>
      <c r="X13" s="116" t="s">
        <v>1654</v>
      </c>
      <c r="Y13" s="117">
        <v>28300000</v>
      </c>
    </row>
    <row r="14" spans="1:25" ht="30" customHeight="1" x14ac:dyDescent="0.25">
      <c r="A14" s="388"/>
      <c r="B14" s="388"/>
      <c r="C14" s="378"/>
      <c r="D14" s="378"/>
      <c r="E14" s="350"/>
      <c r="F14" s="350"/>
      <c r="G14" s="350"/>
      <c r="H14" s="350"/>
      <c r="I14" s="350"/>
      <c r="J14" s="350"/>
      <c r="K14" s="350"/>
      <c r="L14" s="350"/>
      <c r="M14" s="350"/>
      <c r="N14" s="331"/>
      <c r="O14" s="214" t="s">
        <v>637</v>
      </c>
      <c r="P14" s="216"/>
      <c r="Q14" s="216"/>
      <c r="R14" s="211">
        <f>SUM(R2:R13)</f>
        <v>167377142</v>
      </c>
      <c r="S14" s="374"/>
      <c r="T14" s="113"/>
      <c r="U14" s="116"/>
      <c r="V14" s="116"/>
      <c r="W14" s="116"/>
      <c r="X14" s="116"/>
      <c r="Y14" s="116"/>
    </row>
    <row r="15" spans="1:25" ht="54" x14ac:dyDescent="0.25">
      <c r="A15" s="388"/>
      <c r="B15" s="388"/>
      <c r="C15" s="378"/>
      <c r="D15" s="378"/>
      <c r="E15" s="118" t="s">
        <v>439</v>
      </c>
      <c r="F15" s="114" t="s">
        <v>440</v>
      </c>
      <c r="G15" s="120">
        <v>0</v>
      </c>
      <c r="H15" s="120"/>
      <c r="I15" s="120">
        <v>0</v>
      </c>
      <c r="J15" s="120">
        <v>100000000</v>
      </c>
      <c r="K15" s="120"/>
      <c r="L15" s="120">
        <v>0</v>
      </c>
      <c r="M15" s="120">
        <f t="shared" si="0"/>
        <v>100000000</v>
      </c>
      <c r="N15" s="331"/>
      <c r="O15" s="116"/>
      <c r="P15" s="116"/>
      <c r="Q15" s="116"/>
      <c r="R15" s="116"/>
      <c r="S15" s="189"/>
      <c r="T15" s="116"/>
      <c r="U15" s="116"/>
      <c r="V15" s="116"/>
      <c r="W15" s="116"/>
      <c r="X15" s="116"/>
      <c r="Y15" s="116"/>
    </row>
    <row r="16" spans="1:25" ht="40.5" x14ac:dyDescent="0.25">
      <c r="A16" s="387"/>
      <c r="B16" s="387"/>
      <c r="C16" s="368"/>
      <c r="D16" s="368"/>
      <c r="E16" s="118" t="s">
        <v>441</v>
      </c>
      <c r="F16" s="114" t="s">
        <v>442</v>
      </c>
      <c r="G16" s="120">
        <v>0</v>
      </c>
      <c r="H16" s="120"/>
      <c r="I16" s="120">
        <v>0</v>
      </c>
      <c r="J16" s="120">
        <v>70000000</v>
      </c>
      <c r="K16" s="120"/>
      <c r="L16" s="120">
        <v>0</v>
      </c>
      <c r="M16" s="120">
        <f t="shared" si="0"/>
        <v>70000000</v>
      </c>
      <c r="N16" s="332"/>
      <c r="O16" s="116"/>
      <c r="P16" s="116"/>
      <c r="Q16" s="116"/>
      <c r="R16" s="116"/>
      <c r="S16" s="189"/>
      <c r="T16" s="116"/>
      <c r="U16" s="116"/>
      <c r="V16" s="116"/>
      <c r="W16" s="116"/>
      <c r="X16" s="116"/>
      <c r="Y16" s="116"/>
    </row>
    <row r="17" spans="1:25" ht="216" x14ac:dyDescent="0.25">
      <c r="A17" s="223" t="s">
        <v>1706</v>
      </c>
      <c r="B17" s="223" t="s">
        <v>1707</v>
      </c>
      <c r="C17" s="222" t="s">
        <v>1708</v>
      </c>
      <c r="D17" s="222" t="s">
        <v>1709</v>
      </c>
      <c r="E17" s="220" t="s">
        <v>1710</v>
      </c>
      <c r="F17" s="218" t="s">
        <v>171</v>
      </c>
      <c r="G17" s="219"/>
      <c r="H17" s="219"/>
      <c r="I17" s="219">
        <v>443400000</v>
      </c>
      <c r="J17" s="219"/>
      <c r="K17" s="219"/>
      <c r="L17" s="221"/>
      <c r="M17" s="221">
        <v>443400000</v>
      </c>
      <c r="N17" s="272">
        <v>443400000</v>
      </c>
      <c r="O17" s="173"/>
      <c r="P17" s="173"/>
      <c r="Q17" s="173"/>
      <c r="R17" s="173"/>
      <c r="S17" s="191"/>
      <c r="T17" s="173"/>
      <c r="U17" s="173"/>
      <c r="V17" s="173"/>
      <c r="W17" s="173"/>
      <c r="X17" s="173"/>
      <c r="Y17" s="173"/>
    </row>
    <row r="18" spans="1:25" ht="189.75" thickBot="1" x14ac:dyDescent="0.3">
      <c r="A18" s="215" t="s">
        <v>167</v>
      </c>
      <c r="B18" s="215" t="s">
        <v>168</v>
      </c>
      <c r="C18" s="118" t="s">
        <v>169</v>
      </c>
      <c r="D18" s="118" t="s">
        <v>170</v>
      </c>
      <c r="E18" s="118"/>
      <c r="F18" s="118" t="s">
        <v>171</v>
      </c>
      <c r="G18" s="120">
        <v>0</v>
      </c>
      <c r="H18" s="120"/>
      <c r="I18" s="119">
        <v>879000000</v>
      </c>
      <c r="J18" s="120">
        <v>0</v>
      </c>
      <c r="K18" s="119"/>
      <c r="L18" s="135"/>
      <c r="M18" s="136">
        <f t="shared" si="0"/>
        <v>879000000</v>
      </c>
      <c r="N18" s="156">
        <f>SUM(M18)</f>
        <v>879000000</v>
      </c>
      <c r="O18" s="173"/>
      <c r="P18" s="173"/>
      <c r="Q18" s="173"/>
      <c r="R18" s="173"/>
      <c r="S18" s="191"/>
      <c r="T18" s="173"/>
      <c r="U18" s="173"/>
      <c r="V18" s="173"/>
      <c r="W18" s="173"/>
      <c r="X18" s="173"/>
      <c r="Y18" s="173"/>
    </row>
    <row r="19" spans="1:25" ht="19.5" thickBot="1" x14ac:dyDescent="0.35">
      <c r="L19" s="48" t="s">
        <v>637</v>
      </c>
      <c r="M19" s="49">
        <f>SUM(M2:M18)</f>
        <v>1884825191</v>
      </c>
      <c r="N19" s="50"/>
      <c r="O19" s="50"/>
      <c r="P19" s="50"/>
      <c r="Q19" s="50"/>
      <c r="R19" s="51">
        <f>SUM(R14:R18)</f>
        <v>167377142</v>
      </c>
      <c r="S19" s="87">
        <f>R19/M19</f>
        <v>8.8802475051385277E-2</v>
      </c>
      <c r="T19" s="234"/>
      <c r="U19" s="235"/>
      <c r="V19" s="236">
        <f>SUM(V2:V18)</f>
        <v>167377142</v>
      </c>
      <c r="W19" s="235"/>
      <c r="X19" s="235"/>
      <c r="Y19" s="237">
        <f>SUM(Y2:Y18)</f>
        <v>167166205</v>
      </c>
    </row>
  </sheetData>
  <sheetProtection algorithmName="SHA-512" hashValue="JCDPZ9pBcxO4By9POca/PoVy1CQWbzs15kOfg+AGPxPWVLIcbx9bmNfvstwodZ9tnf9vU882gRnJaaXZwvZT8g==" saltValue="u8oTFQ4ypnn61sfCNvJC3w==" spinCount="100000" sheet="1" objects="1" scenarios="1" formatCells="0" formatColumns="0" formatRows="0"/>
  <mergeCells count="15">
    <mergeCell ref="S2:S14"/>
    <mergeCell ref="N2:N16"/>
    <mergeCell ref="A2:A16"/>
    <mergeCell ref="B2:B16"/>
    <mergeCell ref="C2:C16"/>
    <mergeCell ref="D2:D16"/>
    <mergeCell ref="M2:M14"/>
    <mergeCell ref="L2:L14"/>
    <mergeCell ref="K2:K14"/>
    <mergeCell ref="J2:J14"/>
    <mergeCell ref="I2:I14"/>
    <mergeCell ref="H2:H14"/>
    <mergeCell ref="G2:G14"/>
    <mergeCell ref="F2:F14"/>
    <mergeCell ref="E2:E14"/>
  </mergeCells>
  <conditionalFormatting sqref="S1:S1048576">
    <cfRule type="cellIs" dxfId="38" priority="1" operator="between">
      <formula>0.51</formula>
      <formula>0.69</formula>
    </cfRule>
    <cfRule type="cellIs" dxfId="37" priority="2" operator="lessThan">
      <formula>0.5</formula>
    </cfRule>
    <cfRule type="cellIs" dxfId="36" priority="3" operator="greaterThan">
      <formula>0.7</formula>
    </cfRule>
  </conditionalFormatting>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249977111117893"/>
  </sheetPr>
  <dimension ref="A1:Y44"/>
  <sheetViews>
    <sheetView topLeftCell="D1" zoomScale="60" zoomScaleNormal="60" workbookViewId="0">
      <pane ySplit="1" topLeftCell="A2" activePane="bottomLeft" state="frozen"/>
      <selection activeCell="B1" sqref="B1"/>
      <selection pane="bottomLeft" activeCell="K1" sqref="K1"/>
    </sheetView>
  </sheetViews>
  <sheetFormatPr baseColWidth="10" defaultColWidth="0" defaultRowHeight="15" zeroHeight="1" x14ac:dyDescent="0.25"/>
  <cols>
    <col min="1" max="2" width="11.42578125" customWidth="1"/>
    <col min="3" max="3" width="19.42578125" customWidth="1"/>
    <col min="4" max="5" width="11.42578125" customWidth="1"/>
    <col min="6" max="6" width="35" customWidth="1"/>
    <col min="7" max="7" width="15.140625" bestFit="1" customWidth="1"/>
    <col min="8" max="8" width="13.85546875" bestFit="1" customWidth="1"/>
    <col min="9" max="9" width="11.42578125" customWidth="1"/>
    <col min="10" max="10" width="15.140625" bestFit="1" customWidth="1"/>
    <col min="11" max="11" width="11.42578125" customWidth="1"/>
    <col min="12" max="12" width="11.5703125" bestFit="1" customWidth="1"/>
    <col min="13" max="13" width="20.140625" bestFit="1" customWidth="1"/>
    <col min="14" max="14" width="15.42578125" bestFit="1" customWidth="1"/>
    <col min="15" max="15" width="59.5703125" customWidth="1"/>
    <col min="16" max="17" width="11.42578125" customWidth="1"/>
    <col min="18" max="18" width="18" bestFit="1" customWidth="1"/>
    <col min="19" max="19" width="12" style="38" customWidth="1"/>
    <col min="20" max="21" width="11.42578125" customWidth="1"/>
    <col min="22" max="22" width="20.140625" bestFit="1" customWidth="1"/>
    <col min="23" max="24" width="11.42578125" customWidth="1"/>
    <col min="25" max="25" width="19.42578125" bestFit="1" customWidth="1"/>
    <col min="26" max="16384" width="11.42578125" hidden="1"/>
  </cols>
  <sheetData>
    <row r="1" spans="1:25" ht="89.25" x14ac:dyDescent="0.25">
      <c r="A1" s="186" t="s">
        <v>0</v>
      </c>
      <c r="B1" s="186" t="s">
        <v>1</v>
      </c>
      <c r="C1" s="186" t="s">
        <v>2</v>
      </c>
      <c r="D1" s="186" t="s">
        <v>3</v>
      </c>
      <c r="E1" s="186" t="s">
        <v>4</v>
      </c>
      <c r="F1" s="186" t="s">
        <v>5</v>
      </c>
      <c r="G1" s="186" t="s">
        <v>6</v>
      </c>
      <c r="H1" s="186" t="s">
        <v>7</v>
      </c>
      <c r="I1" s="186" t="s">
        <v>8</v>
      </c>
      <c r="J1" s="186" t="s">
        <v>9</v>
      </c>
      <c r="K1" s="186" t="s">
        <v>10</v>
      </c>
      <c r="L1" s="186" t="s">
        <v>11</v>
      </c>
      <c r="M1" s="186" t="s">
        <v>12</v>
      </c>
      <c r="N1" s="186" t="s">
        <v>13</v>
      </c>
      <c r="O1" s="177" t="s">
        <v>636</v>
      </c>
      <c r="P1" s="177" t="s">
        <v>628</v>
      </c>
      <c r="Q1" s="177" t="s">
        <v>629</v>
      </c>
      <c r="R1" s="177" t="s">
        <v>743</v>
      </c>
      <c r="S1" s="187" t="s">
        <v>1536</v>
      </c>
      <c r="T1" s="177" t="s">
        <v>630</v>
      </c>
      <c r="U1" s="177" t="s">
        <v>631</v>
      </c>
      <c r="V1" s="177" t="s">
        <v>632</v>
      </c>
      <c r="W1" s="177" t="s">
        <v>633</v>
      </c>
      <c r="X1" s="177" t="s">
        <v>634</v>
      </c>
      <c r="Y1" s="177" t="s">
        <v>635</v>
      </c>
    </row>
    <row r="2" spans="1:25" ht="100.5" customHeight="1" x14ac:dyDescent="0.25">
      <c r="A2" s="323" t="s">
        <v>172</v>
      </c>
      <c r="B2" s="323" t="s">
        <v>173</v>
      </c>
      <c r="C2" s="323" t="s">
        <v>174</v>
      </c>
      <c r="D2" s="323" t="s">
        <v>174</v>
      </c>
      <c r="E2" s="348" t="s">
        <v>175</v>
      </c>
      <c r="F2" s="348" t="s">
        <v>176</v>
      </c>
      <c r="G2" s="348">
        <f>180000000</f>
        <v>180000000</v>
      </c>
      <c r="H2" s="348">
        <v>30520000</v>
      </c>
      <c r="I2" s="348"/>
      <c r="J2" s="348">
        <v>295605000</v>
      </c>
      <c r="K2" s="348"/>
      <c r="L2" s="348">
        <v>0</v>
      </c>
      <c r="M2" s="348">
        <f t="shared" ref="M2:M43" si="0">SUM(G2:L2)</f>
        <v>506125000</v>
      </c>
      <c r="N2" s="328">
        <f>SUM(M2:M43)</f>
        <v>621125000</v>
      </c>
      <c r="O2" s="151" t="s">
        <v>1104</v>
      </c>
      <c r="P2" s="151" t="s">
        <v>1105</v>
      </c>
      <c r="Q2" s="123" t="s">
        <v>1106</v>
      </c>
      <c r="R2" s="188">
        <v>15000000</v>
      </c>
      <c r="S2" s="365">
        <f>R37/M2</f>
        <v>1.0233767903185971</v>
      </c>
      <c r="T2" s="114">
        <v>126</v>
      </c>
      <c r="U2" s="114" t="s">
        <v>1596</v>
      </c>
      <c r="V2" s="115">
        <v>15000000</v>
      </c>
      <c r="W2" s="114">
        <v>364</v>
      </c>
      <c r="X2" s="114" t="s">
        <v>1557</v>
      </c>
      <c r="Y2" s="115">
        <v>15000000</v>
      </c>
    </row>
    <row r="3" spans="1:25" ht="100.5" customHeight="1" x14ac:dyDescent="0.25">
      <c r="A3" s="323"/>
      <c r="B3" s="323"/>
      <c r="C3" s="323"/>
      <c r="D3" s="323"/>
      <c r="E3" s="349"/>
      <c r="F3" s="349"/>
      <c r="G3" s="349"/>
      <c r="H3" s="349"/>
      <c r="I3" s="349"/>
      <c r="J3" s="349"/>
      <c r="K3" s="349"/>
      <c r="L3" s="349"/>
      <c r="M3" s="349"/>
      <c r="N3" s="328"/>
      <c r="O3" s="151" t="s">
        <v>1107</v>
      </c>
      <c r="P3" s="151" t="s">
        <v>1108</v>
      </c>
      <c r="Q3" s="123" t="s">
        <v>1109</v>
      </c>
      <c r="R3" s="188">
        <v>13500000</v>
      </c>
      <c r="S3" s="366"/>
      <c r="T3" s="114">
        <v>157</v>
      </c>
      <c r="U3" s="114" t="s">
        <v>1655</v>
      </c>
      <c r="V3" s="115">
        <v>13500000</v>
      </c>
      <c r="W3" s="114">
        <v>487</v>
      </c>
      <c r="X3" s="114" t="s">
        <v>1597</v>
      </c>
      <c r="Y3" s="115">
        <v>13500000</v>
      </c>
    </row>
    <row r="4" spans="1:25" ht="100.5" customHeight="1" x14ac:dyDescent="0.25">
      <c r="A4" s="323"/>
      <c r="B4" s="323"/>
      <c r="C4" s="323"/>
      <c r="D4" s="323"/>
      <c r="E4" s="349"/>
      <c r="F4" s="349"/>
      <c r="G4" s="349"/>
      <c r="H4" s="349"/>
      <c r="I4" s="349"/>
      <c r="J4" s="349"/>
      <c r="K4" s="349"/>
      <c r="L4" s="349"/>
      <c r="M4" s="349"/>
      <c r="N4" s="328"/>
      <c r="O4" s="151" t="s">
        <v>1110</v>
      </c>
      <c r="P4" s="151" t="s">
        <v>1111</v>
      </c>
      <c r="Q4" s="123" t="s">
        <v>1112</v>
      </c>
      <c r="R4" s="188">
        <v>15000000</v>
      </c>
      <c r="S4" s="366"/>
      <c r="T4" s="114">
        <v>159</v>
      </c>
      <c r="U4" s="114" t="s">
        <v>1655</v>
      </c>
      <c r="V4" s="115">
        <v>15000000</v>
      </c>
      <c r="W4" s="114">
        <v>449</v>
      </c>
      <c r="X4" s="114" t="s">
        <v>1597</v>
      </c>
      <c r="Y4" s="115">
        <v>15000000</v>
      </c>
    </row>
    <row r="5" spans="1:25" ht="100.5" customHeight="1" x14ac:dyDescent="0.25">
      <c r="A5" s="323"/>
      <c r="B5" s="323"/>
      <c r="C5" s="323"/>
      <c r="D5" s="323"/>
      <c r="E5" s="349"/>
      <c r="F5" s="349"/>
      <c r="G5" s="349"/>
      <c r="H5" s="349"/>
      <c r="I5" s="349"/>
      <c r="J5" s="349"/>
      <c r="K5" s="349"/>
      <c r="L5" s="349"/>
      <c r="M5" s="349"/>
      <c r="N5" s="328"/>
      <c r="O5" s="151" t="s">
        <v>1113</v>
      </c>
      <c r="P5" s="151" t="s">
        <v>1114</v>
      </c>
      <c r="Q5" s="123" t="s">
        <v>1115</v>
      </c>
      <c r="R5" s="188">
        <v>19800000</v>
      </c>
      <c r="S5" s="366"/>
      <c r="T5" s="114">
        <v>163</v>
      </c>
      <c r="U5" s="114" t="s">
        <v>1655</v>
      </c>
      <c r="V5" s="115">
        <v>19800000</v>
      </c>
      <c r="W5" s="114">
        <v>488</v>
      </c>
      <c r="X5" s="114" t="s">
        <v>1597</v>
      </c>
      <c r="Y5" s="115">
        <v>19800000</v>
      </c>
    </row>
    <row r="6" spans="1:25" ht="100.5" customHeight="1" x14ac:dyDescent="0.25">
      <c r="A6" s="323"/>
      <c r="B6" s="323"/>
      <c r="C6" s="323"/>
      <c r="D6" s="323"/>
      <c r="E6" s="349"/>
      <c r="F6" s="349"/>
      <c r="G6" s="349"/>
      <c r="H6" s="349"/>
      <c r="I6" s="349"/>
      <c r="J6" s="349"/>
      <c r="K6" s="349"/>
      <c r="L6" s="349"/>
      <c r="M6" s="349"/>
      <c r="N6" s="328"/>
      <c r="O6" s="151" t="s">
        <v>1116</v>
      </c>
      <c r="P6" s="151" t="s">
        <v>1117</v>
      </c>
      <c r="Q6" s="123" t="s">
        <v>1118</v>
      </c>
      <c r="R6" s="188">
        <v>21770000</v>
      </c>
      <c r="S6" s="366"/>
      <c r="T6" s="114">
        <v>164</v>
      </c>
      <c r="U6" s="114" t="s">
        <v>1655</v>
      </c>
      <c r="V6" s="115">
        <v>21770000</v>
      </c>
      <c r="W6" s="114">
        <v>506</v>
      </c>
      <c r="X6" s="114" t="s">
        <v>1559</v>
      </c>
      <c r="Y6" s="115">
        <v>21770000</v>
      </c>
    </row>
    <row r="7" spans="1:25" ht="100.5" customHeight="1" x14ac:dyDescent="0.25">
      <c r="A7" s="323"/>
      <c r="B7" s="323"/>
      <c r="C7" s="323"/>
      <c r="D7" s="323"/>
      <c r="E7" s="349"/>
      <c r="F7" s="349"/>
      <c r="G7" s="349"/>
      <c r="H7" s="349"/>
      <c r="I7" s="349"/>
      <c r="J7" s="349"/>
      <c r="K7" s="349"/>
      <c r="L7" s="349"/>
      <c r="M7" s="349"/>
      <c r="N7" s="328"/>
      <c r="O7" s="151" t="s">
        <v>1119</v>
      </c>
      <c r="P7" s="151" t="s">
        <v>1120</v>
      </c>
      <c r="Q7" s="123" t="s">
        <v>1121</v>
      </c>
      <c r="R7" s="188">
        <v>15000000</v>
      </c>
      <c r="S7" s="366"/>
      <c r="T7" s="114">
        <v>158</v>
      </c>
      <c r="U7" s="114" t="s">
        <v>1655</v>
      </c>
      <c r="V7" s="115">
        <v>15000000</v>
      </c>
      <c r="W7" s="114">
        <v>452</v>
      </c>
      <c r="X7" s="114" t="s">
        <v>1597</v>
      </c>
      <c r="Y7" s="115">
        <v>15000000</v>
      </c>
    </row>
    <row r="8" spans="1:25" ht="100.5" customHeight="1" x14ac:dyDescent="0.25">
      <c r="A8" s="323"/>
      <c r="B8" s="323"/>
      <c r="C8" s="323"/>
      <c r="D8" s="323"/>
      <c r="E8" s="349"/>
      <c r="F8" s="349"/>
      <c r="G8" s="349"/>
      <c r="H8" s="349"/>
      <c r="I8" s="349"/>
      <c r="J8" s="349"/>
      <c r="K8" s="349"/>
      <c r="L8" s="349"/>
      <c r="M8" s="349"/>
      <c r="N8" s="328"/>
      <c r="O8" s="151" t="s">
        <v>1122</v>
      </c>
      <c r="P8" s="151" t="s">
        <v>1123</v>
      </c>
      <c r="Q8" s="123" t="s">
        <v>1124</v>
      </c>
      <c r="R8" s="188">
        <v>19800000</v>
      </c>
      <c r="S8" s="366"/>
      <c r="T8" s="114">
        <v>160</v>
      </c>
      <c r="U8" s="114" t="s">
        <v>1655</v>
      </c>
      <c r="V8" s="115">
        <v>19800000</v>
      </c>
      <c r="W8" s="114">
        <v>454</v>
      </c>
      <c r="X8" s="114" t="s">
        <v>1597</v>
      </c>
      <c r="Y8" s="115">
        <v>19800000</v>
      </c>
    </row>
    <row r="9" spans="1:25" ht="100.5" customHeight="1" x14ac:dyDescent="0.25">
      <c r="A9" s="323"/>
      <c r="B9" s="323"/>
      <c r="C9" s="323"/>
      <c r="D9" s="323"/>
      <c r="E9" s="349"/>
      <c r="F9" s="349"/>
      <c r="G9" s="349"/>
      <c r="H9" s="349"/>
      <c r="I9" s="349"/>
      <c r="J9" s="349"/>
      <c r="K9" s="349"/>
      <c r="L9" s="349"/>
      <c r="M9" s="349"/>
      <c r="N9" s="328"/>
      <c r="O9" s="151" t="s">
        <v>1125</v>
      </c>
      <c r="P9" s="151" t="s">
        <v>1126</v>
      </c>
      <c r="Q9" s="123" t="s">
        <v>1127</v>
      </c>
      <c r="R9" s="188">
        <v>13500000</v>
      </c>
      <c r="S9" s="366"/>
      <c r="T9" s="114">
        <v>162</v>
      </c>
      <c r="U9" s="114" t="s">
        <v>1655</v>
      </c>
      <c r="V9" s="115">
        <v>13500000</v>
      </c>
      <c r="W9" s="114">
        <v>451</v>
      </c>
      <c r="X9" s="114" t="s">
        <v>1597</v>
      </c>
      <c r="Y9" s="115">
        <v>13500000</v>
      </c>
    </row>
    <row r="10" spans="1:25" ht="100.5" customHeight="1" x14ac:dyDescent="0.25">
      <c r="A10" s="323"/>
      <c r="B10" s="323"/>
      <c r="C10" s="323"/>
      <c r="D10" s="323"/>
      <c r="E10" s="349"/>
      <c r="F10" s="349"/>
      <c r="G10" s="349"/>
      <c r="H10" s="349"/>
      <c r="I10" s="349"/>
      <c r="J10" s="349"/>
      <c r="K10" s="349"/>
      <c r="L10" s="349"/>
      <c r="M10" s="349"/>
      <c r="N10" s="328"/>
      <c r="O10" s="151" t="s">
        <v>1128</v>
      </c>
      <c r="P10" s="151" t="s">
        <v>1129</v>
      </c>
      <c r="Q10" s="123" t="s">
        <v>1130</v>
      </c>
      <c r="R10" s="188">
        <v>13800000</v>
      </c>
      <c r="S10" s="366"/>
      <c r="T10" s="114">
        <v>167</v>
      </c>
      <c r="U10" s="114" t="s">
        <v>1655</v>
      </c>
      <c r="V10" s="115">
        <v>13800000</v>
      </c>
      <c r="W10" s="114">
        <v>456</v>
      </c>
      <c r="X10" s="114" t="s">
        <v>1597</v>
      </c>
      <c r="Y10" s="115">
        <v>13800000</v>
      </c>
    </row>
    <row r="11" spans="1:25" ht="100.5" customHeight="1" x14ac:dyDescent="0.25">
      <c r="A11" s="323"/>
      <c r="B11" s="323"/>
      <c r="C11" s="323"/>
      <c r="D11" s="323"/>
      <c r="E11" s="349"/>
      <c r="F11" s="349"/>
      <c r="G11" s="349"/>
      <c r="H11" s="349"/>
      <c r="I11" s="349"/>
      <c r="J11" s="349"/>
      <c r="K11" s="349"/>
      <c r="L11" s="349"/>
      <c r="M11" s="349"/>
      <c r="N11" s="328"/>
      <c r="O11" s="151" t="s">
        <v>1131</v>
      </c>
      <c r="P11" s="151" t="s">
        <v>1132</v>
      </c>
      <c r="Q11" s="123" t="s">
        <v>1133</v>
      </c>
      <c r="R11" s="188">
        <v>21770000</v>
      </c>
      <c r="S11" s="366"/>
      <c r="T11" s="114">
        <v>165</v>
      </c>
      <c r="U11" s="114" t="s">
        <v>1655</v>
      </c>
      <c r="V11" s="115">
        <v>21770000</v>
      </c>
      <c r="W11" s="114">
        <v>453</v>
      </c>
      <c r="X11" s="114" t="s">
        <v>1597</v>
      </c>
      <c r="Y11" s="115">
        <v>21770000</v>
      </c>
    </row>
    <row r="12" spans="1:25" ht="100.5" customHeight="1" x14ac:dyDescent="0.25">
      <c r="A12" s="323"/>
      <c r="B12" s="323"/>
      <c r="C12" s="323"/>
      <c r="D12" s="323"/>
      <c r="E12" s="349"/>
      <c r="F12" s="349"/>
      <c r="G12" s="349"/>
      <c r="H12" s="349"/>
      <c r="I12" s="349"/>
      <c r="J12" s="349"/>
      <c r="K12" s="349"/>
      <c r="L12" s="349"/>
      <c r="M12" s="349"/>
      <c r="N12" s="328"/>
      <c r="O12" s="151" t="s">
        <v>1134</v>
      </c>
      <c r="P12" s="151" t="s">
        <v>1135</v>
      </c>
      <c r="Q12" s="123" t="s">
        <v>1136</v>
      </c>
      <c r="R12" s="188">
        <v>11060000</v>
      </c>
      <c r="S12" s="366"/>
      <c r="T12" s="114">
        <v>161</v>
      </c>
      <c r="U12" s="114" t="s">
        <v>1655</v>
      </c>
      <c r="V12" s="115">
        <v>11060000</v>
      </c>
      <c r="W12" s="114">
        <v>455</v>
      </c>
      <c r="X12" s="114" t="s">
        <v>1597</v>
      </c>
      <c r="Y12" s="115">
        <v>11060000</v>
      </c>
    </row>
    <row r="13" spans="1:25" ht="100.5" customHeight="1" x14ac:dyDescent="0.25">
      <c r="A13" s="323"/>
      <c r="B13" s="323"/>
      <c r="C13" s="323"/>
      <c r="D13" s="323"/>
      <c r="E13" s="349"/>
      <c r="F13" s="349"/>
      <c r="G13" s="349"/>
      <c r="H13" s="349"/>
      <c r="I13" s="349"/>
      <c r="J13" s="349"/>
      <c r="K13" s="349"/>
      <c r="L13" s="349"/>
      <c r="M13" s="349"/>
      <c r="N13" s="328"/>
      <c r="O13" s="151" t="s">
        <v>1137</v>
      </c>
      <c r="P13" s="151" t="s">
        <v>1138</v>
      </c>
      <c r="Q13" s="123" t="s">
        <v>1139</v>
      </c>
      <c r="R13" s="188">
        <v>10260000</v>
      </c>
      <c r="S13" s="366"/>
      <c r="T13" s="114">
        <v>382</v>
      </c>
      <c r="U13" s="114" t="s">
        <v>1572</v>
      </c>
      <c r="V13" s="115">
        <v>10260000</v>
      </c>
      <c r="W13" s="114">
        <v>1420</v>
      </c>
      <c r="X13" s="114" t="s">
        <v>1590</v>
      </c>
      <c r="Y13" s="115">
        <v>10260000</v>
      </c>
    </row>
    <row r="14" spans="1:25" ht="100.5" customHeight="1" x14ac:dyDescent="0.25">
      <c r="A14" s="323"/>
      <c r="B14" s="323"/>
      <c r="C14" s="323"/>
      <c r="D14" s="323"/>
      <c r="E14" s="349"/>
      <c r="F14" s="349"/>
      <c r="G14" s="349"/>
      <c r="H14" s="349"/>
      <c r="I14" s="349"/>
      <c r="J14" s="349"/>
      <c r="K14" s="349"/>
      <c r="L14" s="349"/>
      <c r="M14" s="349"/>
      <c r="N14" s="328"/>
      <c r="O14" s="151" t="s">
        <v>1140</v>
      </c>
      <c r="P14" s="151" t="s">
        <v>1141</v>
      </c>
      <c r="Q14" s="123" t="s">
        <v>1142</v>
      </c>
      <c r="R14" s="188">
        <v>10260000</v>
      </c>
      <c r="S14" s="366"/>
      <c r="T14" s="114">
        <v>384</v>
      </c>
      <c r="U14" s="114" t="s">
        <v>1572</v>
      </c>
      <c r="V14" s="115">
        <v>10260000</v>
      </c>
      <c r="W14" s="114">
        <v>1419</v>
      </c>
      <c r="X14" s="114" t="s">
        <v>1590</v>
      </c>
      <c r="Y14" s="115">
        <v>10260000</v>
      </c>
    </row>
    <row r="15" spans="1:25" ht="100.5" customHeight="1" x14ac:dyDescent="0.25">
      <c r="A15" s="323"/>
      <c r="B15" s="323"/>
      <c r="C15" s="323"/>
      <c r="D15" s="323"/>
      <c r="E15" s="349"/>
      <c r="F15" s="349"/>
      <c r="G15" s="349"/>
      <c r="H15" s="349"/>
      <c r="I15" s="349"/>
      <c r="J15" s="349"/>
      <c r="K15" s="349"/>
      <c r="L15" s="349"/>
      <c r="M15" s="349"/>
      <c r="N15" s="328"/>
      <c r="O15" s="151" t="s">
        <v>1143</v>
      </c>
      <c r="P15" s="151" t="s">
        <v>617</v>
      </c>
      <c r="Q15" s="123" t="s">
        <v>1144</v>
      </c>
      <c r="R15" s="188">
        <v>10000000</v>
      </c>
      <c r="S15" s="366"/>
      <c r="T15" s="122">
        <v>458</v>
      </c>
      <c r="U15" s="114" t="s">
        <v>1635</v>
      </c>
      <c r="V15" s="115">
        <v>10000000</v>
      </c>
      <c r="W15" s="114">
        <v>1517</v>
      </c>
      <c r="X15" s="114" t="s">
        <v>1639</v>
      </c>
      <c r="Y15" s="115">
        <v>10000000</v>
      </c>
    </row>
    <row r="16" spans="1:25" ht="100.5" customHeight="1" x14ac:dyDescent="0.25">
      <c r="A16" s="323"/>
      <c r="B16" s="323"/>
      <c r="C16" s="323"/>
      <c r="D16" s="323"/>
      <c r="E16" s="349"/>
      <c r="F16" s="349"/>
      <c r="G16" s="349"/>
      <c r="H16" s="349"/>
      <c r="I16" s="349"/>
      <c r="J16" s="349"/>
      <c r="K16" s="349"/>
      <c r="L16" s="349"/>
      <c r="M16" s="349"/>
      <c r="N16" s="328"/>
      <c r="O16" s="151" t="s">
        <v>1145</v>
      </c>
      <c r="P16" s="151" t="s">
        <v>1146</v>
      </c>
      <c r="Q16" s="123" t="s">
        <v>1147</v>
      </c>
      <c r="R16" s="188">
        <v>6327000</v>
      </c>
      <c r="S16" s="366"/>
      <c r="T16" s="114">
        <v>472</v>
      </c>
      <c r="U16" s="114" t="s">
        <v>1645</v>
      </c>
      <c r="V16" s="115">
        <v>6327000</v>
      </c>
      <c r="W16" s="114">
        <v>1911</v>
      </c>
      <c r="X16" s="114" t="s">
        <v>1633</v>
      </c>
      <c r="Y16" s="115">
        <v>6327000</v>
      </c>
    </row>
    <row r="17" spans="1:25" ht="100.5" customHeight="1" x14ac:dyDescent="0.25">
      <c r="A17" s="323"/>
      <c r="B17" s="323"/>
      <c r="C17" s="323"/>
      <c r="D17" s="323"/>
      <c r="E17" s="349"/>
      <c r="F17" s="349"/>
      <c r="G17" s="349"/>
      <c r="H17" s="349"/>
      <c r="I17" s="349"/>
      <c r="J17" s="349"/>
      <c r="K17" s="349"/>
      <c r="L17" s="349"/>
      <c r="M17" s="349"/>
      <c r="N17" s="328"/>
      <c r="O17" s="151" t="s">
        <v>1148</v>
      </c>
      <c r="P17" s="151" t="s">
        <v>1149</v>
      </c>
      <c r="Q17" s="123" t="s">
        <v>1150</v>
      </c>
      <c r="R17" s="188">
        <v>2725578</v>
      </c>
      <c r="S17" s="366"/>
      <c r="T17" s="114">
        <v>537</v>
      </c>
      <c r="U17" s="114" t="s">
        <v>1576</v>
      </c>
      <c r="V17" s="115">
        <v>2725578</v>
      </c>
      <c r="W17" s="114">
        <v>1980</v>
      </c>
      <c r="X17" s="114" t="s">
        <v>1656</v>
      </c>
      <c r="Y17" s="115">
        <v>2725578</v>
      </c>
    </row>
    <row r="18" spans="1:25" ht="100.5" customHeight="1" x14ac:dyDescent="0.25">
      <c r="A18" s="323"/>
      <c r="B18" s="323"/>
      <c r="C18" s="323"/>
      <c r="D18" s="323"/>
      <c r="E18" s="349"/>
      <c r="F18" s="349"/>
      <c r="G18" s="349"/>
      <c r="H18" s="349"/>
      <c r="I18" s="349"/>
      <c r="J18" s="349"/>
      <c r="K18" s="349"/>
      <c r="L18" s="349"/>
      <c r="M18" s="349"/>
      <c r="N18" s="328"/>
      <c r="O18" s="151" t="s">
        <v>1151</v>
      </c>
      <c r="P18" s="151" t="s">
        <v>1152</v>
      </c>
      <c r="Q18" s="123" t="s">
        <v>1153</v>
      </c>
      <c r="R18" s="188">
        <v>3876000</v>
      </c>
      <c r="S18" s="366"/>
      <c r="T18" s="114">
        <v>645</v>
      </c>
      <c r="U18" s="114" t="s">
        <v>1581</v>
      </c>
      <c r="V18" s="115">
        <v>3876000</v>
      </c>
      <c r="W18" s="116">
        <v>2339</v>
      </c>
      <c r="X18" s="116" t="s">
        <v>1592</v>
      </c>
      <c r="Y18" s="117">
        <v>3876000</v>
      </c>
    </row>
    <row r="19" spans="1:25" ht="100.5" customHeight="1" x14ac:dyDescent="0.25">
      <c r="A19" s="323"/>
      <c r="B19" s="323"/>
      <c r="C19" s="323"/>
      <c r="D19" s="323"/>
      <c r="E19" s="349"/>
      <c r="F19" s="349"/>
      <c r="G19" s="349"/>
      <c r="H19" s="349"/>
      <c r="I19" s="349"/>
      <c r="J19" s="349"/>
      <c r="K19" s="349"/>
      <c r="L19" s="349"/>
      <c r="M19" s="349"/>
      <c r="N19" s="328"/>
      <c r="O19" s="151" t="s">
        <v>1154</v>
      </c>
      <c r="P19" s="151" t="s">
        <v>1155</v>
      </c>
      <c r="Q19" s="123" t="s">
        <v>1156</v>
      </c>
      <c r="R19" s="188">
        <v>2190000</v>
      </c>
      <c r="S19" s="366"/>
      <c r="T19" s="116"/>
      <c r="U19" s="116"/>
      <c r="V19" s="116"/>
      <c r="W19" s="116"/>
      <c r="X19" s="116"/>
      <c r="Y19" s="116"/>
    </row>
    <row r="20" spans="1:25" ht="100.5" customHeight="1" x14ac:dyDescent="0.25">
      <c r="A20" s="323"/>
      <c r="B20" s="323"/>
      <c r="C20" s="323"/>
      <c r="D20" s="323"/>
      <c r="E20" s="349"/>
      <c r="F20" s="349"/>
      <c r="G20" s="349"/>
      <c r="H20" s="349"/>
      <c r="I20" s="349"/>
      <c r="J20" s="349"/>
      <c r="K20" s="349"/>
      <c r="L20" s="349"/>
      <c r="M20" s="349"/>
      <c r="N20" s="328"/>
      <c r="O20" s="151" t="s">
        <v>1157</v>
      </c>
      <c r="P20" s="151" t="s">
        <v>1158</v>
      </c>
      <c r="Q20" s="123" t="s">
        <v>1159</v>
      </c>
      <c r="R20" s="188">
        <v>1867000</v>
      </c>
      <c r="S20" s="366"/>
      <c r="T20" s="116"/>
      <c r="U20" s="116"/>
      <c r="V20" s="116"/>
      <c r="W20" s="116"/>
      <c r="X20" s="116"/>
      <c r="Y20" s="116"/>
    </row>
    <row r="21" spans="1:25" ht="100.5" customHeight="1" x14ac:dyDescent="0.25">
      <c r="A21" s="323"/>
      <c r="B21" s="323"/>
      <c r="C21" s="323"/>
      <c r="D21" s="323"/>
      <c r="E21" s="349"/>
      <c r="F21" s="349"/>
      <c r="G21" s="349"/>
      <c r="H21" s="349"/>
      <c r="I21" s="349"/>
      <c r="J21" s="349"/>
      <c r="K21" s="349"/>
      <c r="L21" s="349"/>
      <c r="M21" s="349"/>
      <c r="N21" s="328"/>
      <c r="O21" s="151" t="s">
        <v>1160</v>
      </c>
      <c r="P21" s="151" t="s">
        <v>1161</v>
      </c>
      <c r="Q21" s="123" t="s">
        <v>1162</v>
      </c>
      <c r="R21" s="188">
        <v>19832000</v>
      </c>
      <c r="S21" s="366"/>
      <c r="T21" s="116"/>
      <c r="U21" s="116"/>
      <c r="V21" s="116"/>
      <c r="W21" s="116"/>
      <c r="X21" s="116"/>
      <c r="Y21" s="116"/>
    </row>
    <row r="22" spans="1:25" ht="100.5" customHeight="1" x14ac:dyDescent="0.25">
      <c r="A22" s="323"/>
      <c r="B22" s="323"/>
      <c r="C22" s="323"/>
      <c r="D22" s="323"/>
      <c r="E22" s="349"/>
      <c r="F22" s="349"/>
      <c r="G22" s="349"/>
      <c r="H22" s="349"/>
      <c r="I22" s="349"/>
      <c r="J22" s="349"/>
      <c r="K22" s="349"/>
      <c r="L22" s="349"/>
      <c r="M22" s="349"/>
      <c r="N22" s="328"/>
      <c r="O22" s="151" t="s">
        <v>1163</v>
      </c>
      <c r="P22" s="151" t="s">
        <v>1164</v>
      </c>
      <c r="Q22" s="123" t="s">
        <v>1165</v>
      </c>
      <c r="R22" s="188">
        <v>24994000</v>
      </c>
      <c r="S22" s="366"/>
      <c r="T22" s="114">
        <v>770</v>
      </c>
      <c r="U22" s="114" t="s">
        <v>1584</v>
      </c>
      <c r="V22" s="115">
        <v>24994000</v>
      </c>
      <c r="W22" s="116">
        <v>2638</v>
      </c>
      <c r="X22" s="116" t="s">
        <v>1594</v>
      </c>
      <c r="Y22" s="117">
        <v>24994000</v>
      </c>
    </row>
    <row r="23" spans="1:25" ht="100.5" customHeight="1" x14ac:dyDescent="0.25">
      <c r="A23" s="323"/>
      <c r="B23" s="323"/>
      <c r="C23" s="323"/>
      <c r="D23" s="323"/>
      <c r="E23" s="349"/>
      <c r="F23" s="349"/>
      <c r="G23" s="349"/>
      <c r="H23" s="349"/>
      <c r="I23" s="349"/>
      <c r="J23" s="349"/>
      <c r="K23" s="349"/>
      <c r="L23" s="349"/>
      <c r="M23" s="349"/>
      <c r="N23" s="328"/>
      <c r="O23" s="151" t="s">
        <v>1166</v>
      </c>
      <c r="P23" s="151" t="s">
        <v>1167</v>
      </c>
      <c r="Q23" s="123" t="s">
        <v>1168</v>
      </c>
      <c r="R23" s="188">
        <v>15125000</v>
      </c>
      <c r="S23" s="366"/>
      <c r="T23" s="114">
        <v>774</v>
      </c>
      <c r="U23" s="114" t="s">
        <v>1584</v>
      </c>
      <c r="V23" s="115">
        <v>15125000</v>
      </c>
      <c r="W23" s="116">
        <v>2875</v>
      </c>
      <c r="X23" s="116" t="s">
        <v>1571</v>
      </c>
      <c r="Y23" s="117">
        <v>15125000</v>
      </c>
    </row>
    <row r="24" spans="1:25" ht="100.5" customHeight="1" x14ac:dyDescent="0.25">
      <c r="A24" s="323"/>
      <c r="B24" s="323"/>
      <c r="C24" s="323"/>
      <c r="D24" s="323"/>
      <c r="E24" s="349"/>
      <c r="F24" s="349"/>
      <c r="G24" s="349"/>
      <c r="H24" s="349"/>
      <c r="I24" s="349"/>
      <c r="J24" s="349"/>
      <c r="K24" s="349"/>
      <c r="L24" s="349"/>
      <c r="M24" s="349"/>
      <c r="N24" s="328"/>
      <c r="O24" s="151" t="s">
        <v>1169</v>
      </c>
      <c r="P24" s="151" t="s">
        <v>1170</v>
      </c>
      <c r="Q24" s="123" t="s">
        <v>1171</v>
      </c>
      <c r="R24" s="188">
        <v>15125000</v>
      </c>
      <c r="S24" s="366"/>
      <c r="T24" s="114">
        <v>744</v>
      </c>
      <c r="U24" s="114" t="s">
        <v>1589</v>
      </c>
      <c r="V24" s="115">
        <v>15125000</v>
      </c>
      <c r="W24" s="116">
        <v>2643</v>
      </c>
      <c r="X24" s="116" t="s">
        <v>1594</v>
      </c>
      <c r="Y24" s="117">
        <v>15125000</v>
      </c>
    </row>
    <row r="25" spans="1:25" ht="100.5" customHeight="1" x14ac:dyDescent="0.25">
      <c r="A25" s="323"/>
      <c r="B25" s="323"/>
      <c r="C25" s="323"/>
      <c r="D25" s="323"/>
      <c r="E25" s="349"/>
      <c r="F25" s="349"/>
      <c r="G25" s="349"/>
      <c r="H25" s="349"/>
      <c r="I25" s="349"/>
      <c r="J25" s="349"/>
      <c r="K25" s="349"/>
      <c r="L25" s="349"/>
      <c r="M25" s="349"/>
      <c r="N25" s="328"/>
      <c r="O25" s="151" t="s">
        <v>1172</v>
      </c>
      <c r="P25" s="151" t="s">
        <v>1173</v>
      </c>
      <c r="Q25" s="123" t="s">
        <v>1174</v>
      </c>
      <c r="R25" s="188">
        <v>22950000</v>
      </c>
      <c r="S25" s="366"/>
      <c r="T25" s="114">
        <v>828</v>
      </c>
      <c r="U25" s="114" t="s">
        <v>1570</v>
      </c>
      <c r="V25" s="115">
        <v>22950000</v>
      </c>
      <c r="W25" s="116">
        <v>2948</v>
      </c>
      <c r="X25" s="116" t="s">
        <v>1588</v>
      </c>
      <c r="Y25" s="117">
        <v>22950000</v>
      </c>
    </row>
    <row r="26" spans="1:25" ht="100.5" customHeight="1" x14ac:dyDescent="0.25">
      <c r="A26" s="323"/>
      <c r="B26" s="323"/>
      <c r="C26" s="323"/>
      <c r="D26" s="323"/>
      <c r="E26" s="349"/>
      <c r="F26" s="349"/>
      <c r="G26" s="349"/>
      <c r="H26" s="349"/>
      <c r="I26" s="349"/>
      <c r="J26" s="349"/>
      <c r="K26" s="349"/>
      <c r="L26" s="349"/>
      <c r="M26" s="349"/>
      <c r="N26" s="328"/>
      <c r="O26" s="151" t="s">
        <v>1175</v>
      </c>
      <c r="P26" s="151" t="s">
        <v>1176</v>
      </c>
      <c r="Q26" s="123" t="s">
        <v>1177</v>
      </c>
      <c r="R26" s="188">
        <v>15214000</v>
      </c>
      <c r="S26" s="366"/>
      <c r="T26" s="114">
        <v>752</v>
      </c>
      <c r="U26" s="114" t="s">
        <v>1589</v>
      </c>
      <c r="V26" s="115">
        <v>15214000</v>
      </c>
      <c r="W26" s="116">
        <v>2648</v>
      </c>
      <c r="X26" s="116" t="s">
        <v>1594</v>
      </c>
      <c r="Y26" s="117">
        <v>15214000</v>
      </c>
    </row>
    <row r="27" spans="1:25" ht="100.5" customHeight="1" x14ac:dyDescent="0.25">
      <c r="A27" s="323"/>
      <c r="B27" s="323"/>
      <c r="C27" s="323"/>
      <c r="D27" s="323"/>
      <c r="E27" s="349"/>
      <c r="F27" s="349"/>
      <c r="G27" s="349"/>
      <c r="H27" s="349"/>
      <c r="I27" s="349"/>
      <c r="J27" s="349"/>
      <c r="K27" s="349"/>
      <c r="L27" s="349"/>
      <c r="M27" s="349"/>
      <c r="N27" s="328"/>
      <c r="O27" s="151" t="s">
        <v>1178</v>
      </c>
      <c r="P27" s="151" t="s">
        <v>1179</v>
      </c>
      <c r="Q27" s="123" t="s">
        <v>1180</v>
      </c>
      <c r="R27" s="188">
        <v>15125000</v>
      </c>
      <c r="S27" s="366"/>
      <c r="T27" s="114">
        <v>745</v>
      </c>
      <c r="U27" s="114" t="s">
        <v>1589</v>
      </c>
      <c r="V27" s="115">
        <v>15125000</v>
      </c>
      <c r="W27" s="116">
        <v>2645</v>
      </c>
      <c r="X27" s="116" t="s">
        <v>1594</v>
      </c>
      <c r="Y27" s="117">
        <v>15125000</v>
      </c>
    </row>
    <row r="28" spans="1:25" ht="100.5" customHeight="1" x14ac:dyDescent="0.25">
      <c r="A28" s="323"/>
      <c r="B28" s="323"/>
      <c r="C28" s="323"/>
      <c r="D28" s="323"/>
      <c r="E28" s="349"/>
      <c r="F28" s="349"/>
      <c r="G28" s="349"/>
      <c r="H28" s="349"/>
      <c r="I28" s="349"/>
      <c r="J28" s="349"/>
      <c r="K28" s="349"/>
      <c r="L28" s="349"/>
      <c r="M28" s="349"/>
      <c r="N28" s="328"/>
      <c r="O28" s="151" t="s">
        <v>1143</v>
      </c>
      <c r="P28" s="151" t="s">
        <v>1181</v>
      </c>
      <c r="Q28" s="123" t="s">
        <v>1182</v>
      </c>
      <c r="R28" s="188">
        <v>21734000</v>
      </c>
      <c r="S28" s="366"/>
      <c r="T28" s="114">
        <v>746</v>
      </c>
      <c r="U28" s="114" t="s">
        <v>1589</v>
      </c>
      <c r="V28" s="115">
        <v>21734000</v>
      </c>
      <c r="W28" s="116">
        <v>2640</v>
      </c>
      <c r="X28" s="116" t="s">
        <v>1594</v>
      </c>
      <c r="Y28" s="117">
        <v>21734000</v>
      </c>
    </row>
    <row r="29" spans="1:25" ht="100.5" customHeight="1" x14ac:dyDescent="0.25">
      <c r="A29" s="323"/>
      <c r="B29" s="323"/>
      <c r="C29" s="323"/>
      <c r="D29" s="323"/>
      <c r="E29" s="349"/>
      <c r="F29" s="349"/>
      <c r="G29" s="349"/>
      <c r="H29" s="349"/>
      <c r="I29" s="349"/>
      <c r="J29" s="349"/>
      <c r="K29" s="349"/>
      <c r="L29" s="349"/>
      <c r="M29" s="349"/>
      <c r="N29" s="328"/>
      <c r="O29" s="151" t="s">
        <v>1183</v>
      </c>
      <c r="P29" s="151" t="s">
        <v>1184</v>
      </c>
      <c r="Q29" s="123" t="s">
        <v>1185</v>
      </c>
      <c r="R29" s="188">
        <v>15660000</v>
      </c>
      <c r="S29" s="366"/>
      <c r="T29" s="114">
        <v>740</v>
      </c>
      <c r="U29" s="114" t="s">
        <v>1589</v>
      </c>
      <c r="V29" s="115">
        <v>15660000</v>
      </c>
      <c r="W29" s="116">
        <v>2639</v>
      </c>
      <c r="X29" s="116" t="s">
        <v>1594</v>
      </c>
      <c r="Y29" s="117">
        <v>15660000</v>
      </c>
    </row>
    <row r="30" spans="1:25" ht="100.5" customHeight="1" x14ac:dyDescent="0.25">
      <c r="A30" s="323"/>
      <c r="B30" s="323"/>
      <c r="C30" s="323"/>
      <c r="D30" s="323"/>
      <c r="E30" s="349"/>
      <c r="F30" s="349"/>
      <c r="G30" s="349"/>
      <c r="H30" s="349"/>
      <c r="I30" s="349"/>
      <c r="J30" s="349"/>
      <c r="K30" s="349"/>
      <c r="L30" s="349"/>
      <c r="M30" s="349"/>
      <c r="N30" s="328"/>
      <c r="O30" s="151" t="s">
        <v>1145</v>
      </c>
      <c r="P30" s="151" t="s">
        <v>1186</v>
      </c>
      <c r="Q30" s="123" t="s">
        <v>1187</v>
      </c>
      <c r="R30" s="188">
        <v>15587000</v>
      </c>
      <c r="S30" s="366"/>
      <c r="T30" s="114">
        <v>741</v>
      </c>
      <c r="U30" s="114" t="s">
        <v>1589</v>
      </c>
      <c r="V30" s="115">
        <v>15587000</v>
      </c>
      <c r="W30" s="116">
        <v>2637</v>
      </c>
      <c r="X30" s="116" t="s">
        <v>1594</v>
      </c>
      <c r="Y30" s="117">
        <v>15587000</v>
      </c>
    </row>
    <row r="31" spans="1:25" ht="100.5" customHeight="1" x14ac:dyDescent="0.25">
      <c r="A31" s="323"/>
      <c r="B31" s="323"/>
      <c r="C31" s="323"/>
      <c r="D31" s="323"/>
      <c r="E31" s="349"/>
      <c r="F31" s="349"/>
      <c r="G31" s="349"/>
      <c r="H31" s="349"/>
      <c r="I31" s="349"/>
      <c r="J31" s="349"/>
      <c r="K31" s="349"/>
      <c r="L31" s="349"/>
      <c r="M31" s="349"/>
      <c r="N31" s="328"/>
      <c r="O31" s="151" t="s">
        <v>1188</v>
      </c>
      <c r="P31" s="151" t="s">
        <v>1189</v>
      </c>
      <c r="Q31" s="123" t="s">
        <v>1190</v>
      </c>
      <c r="R31" s="188">
        <v>21734000</v>
      </c>
      <c r="S31" s="366"/>
      <c r="T31" s="114">
        <v>738</v>
      </c>
      <c r="U31" s="114" t="s">
        <v>1589</v>
      </c>
      <c r="V31" s="115">
        <v>21734000</v>
      </c>
      <c r="W31" s="116">
        <v>2647</v>
      </c>
      <c r="X31" s="116" t="s">
        <v>1594</v>
      </c>
      <c r="Y31" s="117">
        <v>21734000</v>
      </c>
    </row>
    <row r="32" spans="1:25" ht="100.5" customHeight="1" x14ac:dyDescent="0.25">
      <c r="A32" s="323"/>
      <c r="B32" s="323"/>
      <c r="C32" s="323"/>
      <c r="D32" s="323"/>
      <c r="E32" s="349"/>
      <c r="F32" s="349"/>
      <c r="G32" s="349"/>
      <c r="H32" s="349"/>
      <c r="I32" s="349"/>
      <c r="J32" s="349"/>
      <c r="K32" s="349"/>
      <c r="L32" s="349"/>
      <c r="M32" s="349"/>
      <c r="N32" s="328"/>
      <c r="O32" s="151" t="s">
        <v>1191</v>
      </c>
      <c r="P32" s="151" t="s">
        <v>1192</v>
      </c>
      <c r="Q32" s="123" t="s">
        <v>1193</v>
      </c>
      <c r="R32" s="188">
        <v>24994000</v>
      </c>
      <c r="S32" s="366"/>
      <c r="T32" s="114">
        <v>748</v>
      </c>
      <c r="U32" s="114" t="s">
        <v>1589</v>
      </c>
      <c r="V32" s="115">
        <v>24994000</v>
      </c>
      <c r="W32" s="116">
        <v>2644</v>
      </c>
      <c r="X32" s="116" t="s">
        <v>1594</v>
      </c>
      <c r="Y32" s="117">
        <v>24994000</v>
      </c>
    </row>
    <row r="33" spans="1:25" ht="100.5" customHeight="1" x14ac:dyDescent="0.25">
      <c r="A33" s="323"/>
      <c r="B33" s="323"/>
      <c r="C33" s="323"/>
      <c r="D33" s="323"/>
      <c r="E33" s="349"/>
      <c r="F33" s="349"/>
      <c r="G33" s="349"/>
      <c r="H33" s="349"/>
      <c r="I33" s="349"/>
      <c r="J33" s="349"/>
      <c r="K33" s="349"/>
      <c r="L33" s="349"/>
      <c r="M33" s="349"/>
      <c r="N33" s="328"/>
      <c r="O33" s="151" t="s">
        <v>1194</v>
      </c>
      <c r="P33" s="151" t="s">
        <v>1195</v>
      </c>
      <c r="Q33" s="123" t="s">
        <v>1196</v>
      </c>
      <c r="R33" s="188">
        <v>15030000</v>
      </c>
      <c r="S33" s="366"/>
      <c r="T33" s="114">
        <v>807</v>
      </c>
      <c r="U33" s="114" t="s">
        <v>1594</v>
      </c>
      <c r="V33" s="115">
        <v>15030000</v>
      </c>
      <c r="W33" s="116">
        <v>2964</v>
      </c>
      <c r="X33" s="116" t="s">
        <v>1588</v>
      </c>
      <c r="Y33" s="117">
        <v>15030000</v>
      </c>
    </row>
    <row r="34" spans="1:25" ht="100.5" customHeight="1" x14ac:dyDescent="0.25">
      <c r="A34" s="323"/>
      <c r="B34" s="323"/>
      <c r="C34" s="323"/>
      <c r="D34" s="323"/>
      <c r="E34" s="349"/>
      <c r="F34" s="349"/>
      <c r="G34" s="349"/>
      <c r="H34" s="349"/>
      <c r="I34" s="349"/>
      <c r="J34" s="349"/>
      <c r="K34" s="349"/>
      <c r="L34" s="349"/>
      <c r="M34" s="349"/>
      <c r="N34" s="328"/>
      <c r="O34" s="151" t="s">
        <v>1197</v>
      </c>
      <c r="P34" s="151" t="s">
        <v>1198</v>
      </c>
      <c r="Q34" s="123" t="s">
        <v>1199</v>
      </c>
      <c r="R34" s="188">
        <v>17659000</v>
      </c>
      <c r="S34" s="366"/>
      <c r="T34" s="114">
        <v>806</v>
      </c>
      <c r="U34" s="114" t="s">
        <v>1594</v>
      </c>
      <c r="V34" s="115">
        <v>17659000</v>
      </c>
      <c r="W34" s="116">
        <v>2963</v>
      </c>
      <c r="X34" s="116" t="s">
        <v>1588</v>
      </c>
      <c r="Y34" s="117">
        <v>17659000</v>
      </c>
    </row>
    <row r="35" spans="1:25" ht="100.5" customHeight="1" x14ac:dyDescent="0.25">
      <c r="A35" s="323"/>
      <c r="B35" s="323"/>
      <c r="C35" s="323"/>
      <c r="D35" s="323"/>
      <c r="E35" s="349"/>
      <c r="F35" s="349"/>
      <c r="G35" s="349"/>
      <c r="H35" s="349"/>
      <c r="I35" s="349"/>
      <c r="J35" s="349"/>
      <c r="K35" s="349"/>
      <c r="L35" s="349"/>
      <c r="M35" s="349"/>
      <c r="N35" s="328"/>
      <c r="O35" s="151" t="s">
        <v>1200</v>
      </c>
      <c r="P35" s="151" t="s">
        <v>1201</v>
      </c>
      <c r="Q35" s="123" t="s">
        <v>1202</v>
      </c>
      <c r="R35" s="188">
        <v>14474000</v>
      </c>
      <c r="S35" s="366"/>
      <c r="T35" s="114">
        <v>808</v>
      </c>
      <c r="U35" s="114" t="s">
        <v>1594</v>
      </c>
      <c r="V35" s="115">
        <v>14474000</v>
      </c>
      <c r="W35" s="116">
        <v>2966</v>
      </c>
      <c r="X35" s="116" t="s">
        <v>1588</v>
      </c>
      <c r="Y35" s="117">
        <v>14474000</v>
      </c>
    </row>
    <row r="36" spans="1:25" ht="100.5" customHeight="1" x14ac:dyDescent="0.25">
      <c r="A36" s="323"/>
      <c r="B36" s="323"/>
      <c r="C36" s="323"/>
      <c r="D36" s="323"/>
      <c r="E36" s="349"/>
      <c r="F36" s="349"/>
      <c r="G36" s="349"/>
      <c r="H36" s="349"/>
      <c r="I36" s="349"/>
      <c r="J36" s="349"/>
      <c r="K36" s="349"/>
      <c r="L36" s="349"/>
      <c r="M36" s="349"/>
      <c r="N36" s="328"/>
      <c r="O36" s="151" t="s">
        <v>1203</v>
      </c>
      <c r="P36" s="151" t="s">
        <v>1204</v>
      </c>
      <c r="Q36" s="123" t="s">
        <v>1205</v>
      </c>
      <c r="R36" s="188">
        <v>15214000</v>
      </c>
      <c r="S36" s="366"/>
      <c r="T36" s="114">
        <v>843</v>
      </c>
      <c r="U36" s="114" t="s">
        <v>1570</v>
      </c>
      <c r="V36" s="115">
        <v>15214000</v>
      </c>
      <c r="W36" s="116">
        <v>2916</v>
      </c>
      <c r="X36" s="116" t="s">
        <v>1571</v>
      </c>
      <c r="Y36" s="117">
        <v>15214000</v>
      </c>
    </row>
    <row r="37" spans="1:25" ht="28.5" customHeight="1" x14ac:dyDescent="0.25">
      <c r="A37" s="323"/>
      <c r="B37" s="323"/>
      <c r="C37" s="323"/>
      <c r="D37" s="323"/>
      <c r="E37" s="350"/>
      <c r="F37" s="350"/>
      <c r="G37" s="350"/>
      <c r="H37" s="350"/>
      <c r="I37" s="350"/>
      <c r="J37" s="350"/>
      <c r="K37" s="350"/>
      <c r="L37" s="350"/>
      <c r="M37" s="350"/>
      <c r="N37" s="328"/>
      <c r="O37" s="172" t="s">
        <v>637</v>
      </c>
      <c r="P37" s="124"/>
      <c r="Q37" s="124"/>
      <c r="R37" s="217">
        <f>SUM(R2:R36)</f>
        <v>517956578</v>
      </c>
      <c r="S37" s="367"/>
      <c r="T37" s="116"/>
      <c r="U37" s="116"/>
      <c r="V37" s="116"/>
      <c r="W37" s="116"/>
      <c r="X37" s="116"/>
      <c r="Y37" s="116"/>
    </row>
    <row r="38" spans="1:25" ht="283.5" x14ac:dyDescent="0.25">
      <c r="A38" s="323"/>
      <c r="B38" s="323"/>
      <c r="C38" s="323"/>
      <c r="D38" s="323"/>
      <c r="E38" s="118" t="s">
        <v>421</v>
      </c>
      <c r="F38" s="118" t="s">
        <v>422</v>
      </c>
      <c r="G38" s="120">
        <f>10000000</f>
        <v>10000000</v>
      </c>
      <c r="H38" s="120">
        <v>15000000</v>
      </c>
      <c r="I38" s="120"/>
      <c r="J38" s="120"/>
      <c r="K38" s="120"/>
      <c r="L38" s="120">
        <v>0</v>
      </c>
      <c r="M38" s="120">
        <f t="shared" si="0"/>
        <v>25000000</v>
      </c>
      <c r="N38" s="328"/>
      <c r="O38" s="151" t="s">
        <v>1657</v>
      </c>
      <c r="P38" s="151" t="s">
        <v>750</v>
      </c>
      <c r="Q38" s="123" t="s">
        <v>751</v>
      </c>
      <c r="R38" s="188">
        <v>25000000</v>
      </c>
      <c r="S38" s="189">
        <f>R38/M38</f>
        <v>1</v>
      </c>
      <c r="T38" s="114">
        <v>606</v>
      </c>
      <c r="U38" s="114" t="s">
        <v>1591</v>
      </c>
      <c r="V38" s="115">
        <v>25000000</v>
      </c>
      <c r="W38" s="114">
        <v>2868</v>
      </c>
      <c r="X38" s="114" t="s">
        <v>1571</v>
      </c>
      <c r="Y38" s="115">
        <v>14065425.5</v>
      </c>
    </row>
    <row r="39" spans="1:25" ht="54" x14ac:dyDescent="0.25">
      <c r="A39" s="323"/>
      <c r="B39" s="323"/>
      <c r="C39" s="323"/>
      <c r="D39" s="323"/>
      <c r="E39" s="118" t="s">
        <v>423</v>
      </c>
      <c r="F39" s="118" t="s">
        <v>424</v>
      </c>
      <c r="G39" s="120">
        <f>4000000</f>
        <v>4000000</v>
      </c>
      <c r="H39" s="120">
        <v>-4000000</v>
      </c>
      <c r="I39" s="120"/>
      <c r="J39" s="120"/>
      <c r="K39" s="120"/>
      <c r="L39" s="120">
        <v>0</v>
      </c>
      <c r="M39" s="120">
        <v>0</v>
      </c>
      <c r="N39" s="328"/>
      <c r="O39" s="116"/>
      <c r="P39" s="116"/>
      <c r="Q39" s="116"/>
      <c r="R39" s="116">
        <v>0</v>
      </c>
      <c r="S39" s="189"/>
      <c r="T39" s="116"/>
      <c r="U39" s="116"/>
      <c r="V39" s="116"/>
      <c r="W39" s="116"/>
      <c r="X39" s="116"/>
      <c r="Y39" s="116"/>
    </row>
    <row r="40" spans="1:25" ht="54" x14ac:dyDescent="0.25">
      <c r="A40" s="323"/>
      <c r="B40" s="323"/>
      <c r="C40" s="323"/>
      <c r="D40" s="323"/>
      <c r="E40" s="118" t="s">
        <v>425</v>
      </c>
      <c r="F40" s="118" t="s">
        <v>426</v>
      </c>
      <c r="G40" s="120">
        <f>3000000</f>
        <v>3000000</v>
      </c>
      <c r="H40" s="120">
        <v>-3000000</v>
      </c>
      <c r="I40" s="120"/>
      <c r="J40" s="120"/>
      <c r="K40" s="120"/>
      <c r="L40" s="120">
        <v>0</v>
      </c>
      <c r="M40" s="120">
        <v>0</v>
      </c>
      <c r="N40" s="328"/>
      <c r="O40" s="116"/>
      <c r="P40" s="116"/>
      <c r="Q40" s="116"/>
      <c r="R40" s="116">
        <v>0</v>
      </c>
      <c r="S40" s="189"/>
      <c r="T40" s="116"/>
      <c r="U40" s="116"/>
      <c r="V40" s="116"/>
      <c r="W40" s="116"/>
      <c r="X40" s="116"/>
      <c r="Y40" s="116"/>
    </row>
    <row r="41" spans="1:25" ht="256.5" x14ac:dyDescent="0.25">
      <c r="A41" s="323"/>
      <c r="B41" s="323"/>
      <c r="C41" s="323"/>
      <c r="D41" s="323"/>
      <c r="E41" s="118" t="s">
        <v>427</v>
      </c>
      <c r="F41" s="118" t="s">
        <v>428</v>
      </c>
      <c r="G41" s="120">
        <v>10000000</v>
      </c>
      <c r="H41" s="120"/>
      <c r="I41" s="120"/>
      <c r="J41" s="120"/>
      <c r="K41" s="120"/>
      <c r="L41" s="120">
        <v>0</v>
      </c>
      <c r="M41" s="120">
        <f t="shared" si="0"/>
        <v>10000000</v>
      </c>
      <c r="N41" s="328"/>
      <c r="O41" s="151" t="s">
        <v>936</v>
      </c>
      <c r="P41" s="151" t="s">
        <v>937</v>
      </c>
      <c r="Q41" s="123" t="s">
        <v>938</v>
      </c>
      <c r="R41" s="188">
        <v>10000000</v>
      </c>
      <c r="S41" s="189">
        <f t="shared" ref="S41:S44" si="1">R41/M41</f>
        <v>1</v>
      </c>
      <c r="T41" s="114">
        <v>548</v>
      </c>
      <c r="U41" s="114" t="s">
        <v>1578</v>
      </c>
      <c r="V41" s="115">
        <v>10000000</v>
      </c>
      <c r="W41" s="114" t="s">
        <v>1577</v>
      </c>
      <c r="X41" s="114" t="s">
        <v>1577</v>
      </c>
      <c r="Y41" s="114" t="s">
        <v>1577</v>
      </c>
    </row>
    <row r="42" spans="1:25" ht="54" x14ac:dyDescent="0.25">
      <c r="A42" s="323"/>
      <c r="B42" s="323"/>
      <c r="C42" s="323"/>
      <c r="D42" s="323"/>
      <c r="E42" s="118" t="s">
        <v>429</v>
      </c>
      <c r="F42" s="118" t="s">
        <v>430</v>
      </c>
      <c r="G42" s="120">
        <f>3000000</f>
        <v>3000000</v>
      </c>
      <c r="H42" s="120">
        <v>-3000000</v>
      </c>
      <c r="I42" s="120"/>
      <c r="J42" s="120"/>
      <c r="K42" s="120"/>
      <c r="L42" s="120">
        <v>0</v>
      </c>
      <c r="M42" s="120">
        <v>0</v>
      </c>
      <c r="N42" s="328"/>
      <c r="O42" s="116"/>
      <c r="P42" s="116"/>
      <c r="Q42" s="116"/>
      <c r="R42" s="116">
        <v>0</v>
      </c>
      <c r="S42" s="189"/>
      <c r="T42" s="116"/>
      <c r="U42" s="116"/>
      <c r="V42" s="116"/>
      <c r="W42" s="116"/>
      <c r="X42" s="116"/>
      <c r="Y42" s="116"/>
    </row>
    <row r="43" spans="1:25" ht="68.25" thickBot="1" x14ac:dyDescent="0.3">
      <c r="A43" s="323"/>
      <c r="B43" s="323"/>
      <c r="C43" s="323"/>
      <c r="D43" s="323"/>
      <c r="E43" s="118" t="s">
        <v>431</v>
      </c>
      <c r="F43" s="118" t="s">
        <v>432</v>
      </c>
      <c r="G43" s="120"/>
      <c r="H43" s="120"/>
      <c r="I43" s="120"/>
      <c r="J43" s="120">
        <v>80000000</v>
      </c>
      <c r="K43" s="120"/>
      <c r="L43" s="136">
        <v>0</v>
      </c>
      <c r="M43" s="136">
        <f t="shared" si="0"/>
        <v>80000000</v>
      </c>
      <c r="N43" s="330"/>
      <c r="O43" s="173"/>
      <c r="P43" s="173"/>
      <c r="Q43" s="173"/>
      <c r="R43" s="173"/>
      <c r="S43" s="191">
        <f t="shared" si="1"/>
        <v>0</v>
      </c>
      <c r="T43" s="173"/>
      <c r="U43" s="173"/>
      <c r="V43" s="173"/>
      <c r="W43" s="173"/>
      <c r="X43" s="173"/>
      <c r="Y43" s="173"/>
    </row>
    <row r="44" spans="1:25" ht="19.5" thickBot="1" x14ac:dyDescent="0.35">
      <c r="L44" s="48" t="s">
        <v>637</v>
      </c>
      <c r="M44" s="49">
        <f>SUM(M2:M43)</f>
        <v>621125000</v>
      </c>
      <c r="N44" s="50"/>
      <c r="O44" s="50"/>
      <c r="P44" s="50"/>
      <c r="Q44" s="50"/>
      <c r="R44" s="51">
        <f>SUM(R37:R43)</f>
        <v>552956578</v>
      </c>
      <c r="S44" s="80">
        <f t="shared" si="1"/>
        <v>0.89025007526665323</v>
      </c>
      <c r="T44" s="234"/>
      <c r="U44" s="235"/>
      <c r="V44" s="236">
        <f>SUM(V2:V43)</f>
        <v>529067578</v>
      </c>
      <c r="W44" s="235"/>
      <c r="X44" s="235"/>
      <c r="Y44" s="237">
        <f>SUM(Y2:Y43)</f>
        <v>508133003.5</v>
      </c>
    </row>
  </sheetData>
  <sheetProtection algorithmName="SHA-512" hashValue="F/Hwt+TJuo4k0h/0byX+igawgLPoYncRkVRODZTGaAGYpF9mwc1SJf2dkYVDfK7Mpn6hiAe7CVbZ13AxPRiLig==" saltValue="nh4RNEGqPn1jRXTb7VWS1g==" spinCount="100000" sheet="1" objects="1" scenarios="1" formatCells="0" formatColumns="0" formatRows="0"/>
  <mergeCells count="15">
    <mergeCell ref="S2:S37"/>
    <mergeCell ref="N2:N43"/>
    <mergeCell ref="A2:A43"/>
    <mergeCell ref="B2:B43"/>
    <mergeCell ref="C2:C43"/>
    <mergeCell ref="D2:D43"/>
    <mergeCell ref="M2:M37"/>
    <mergeCell ref="L2:L37"/>
    <mergeCell ref="K2:K37"/>
    <mergeCell ref="J2:J37"/>
    <mergeCell ref="I2:I37"/>
    <mergeCell ref="H2:H37"/>
    <mergeCell ref="G2:G37"/>
    <mergeCell ref="F2:F37"/>
    <mergeCell ref="E2:E37"/>
  </mergeCells>
  <conditionalFormatting sqref="S1:S2 S38:S1048576">
    <cfRule type="cellIs" dxfId="35" priority="1" operator="between">
      <formula>0.51</formula>
      <formula>0.69</formula>
    </cfRule>
    <cfRule type="cellIs" dxfId="34" priority="2" operator="lessThan">
      <formula>0.5</formula>
    </cfRule>
    <cfRule type="cellIs" dxfId="33" priority="3" operator="greaterThan">
      <formula>0.7</formula>
    </cfRule>
  </conditionalFormatting>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3"/>
  <sheetViews>
    <sheetView zoomScale="80" zoomScaleNormal="80" workbookViewId="0">
      <selection activeCell="A3" sqref="A3"/>
    </sheetView>
  </sheetViews>
  <sheetFormatPr baseColWidth="10" defaultColWidth="0" defaultRowHeight="15" zeroHeight="1" x14ac:dyDescent="0.25"/>
  <cols>
    <col min="1" max="2" width="11.42578125" customWidth="1"/>
    <col min="3" max="3" width="18.85546875" customWidth="1"/>
    <col min="4" max="5" width="11.42578125" customWidth="1"/>
    <col min="6" max="6" width="18.42578125" customWidth="1"/>
    <col min="7" max="7" width="11.5703125" bestFit="1" customWidth="1"/>
    <col min="8" max="8" width="11.42578125" customWidth="1"/>
    <col min="9" max="9" width="11.5703125" bestFit="1" customWidth="1"/>
    <col min="10" max="10" width="15.140625" bestFit="1" customWidth="1"/>
    <col min="11" max="11" width="13.85546875" bestFit="1" customWidth="1"/>
    <col min="12" max="12" width="11.42578125" customWidth="1"/>
    <col min="13" max="13" width="15.140625" bestFit="1" customWidth="1"/>
    <col min="14" max="14" width="15.42578125" bestFit="1" customWidth="1"/>
    <col min="15" max="23" width="11.42578125" customWidth="1"/>
    <col min="24" max="16384" width="11.42578125" hidden="1"/>
  </cols>
  <sheetData>
    <row r="1" spans="1:23" x14ac:dyDescent="0.25"/>
    <row r="2" spans="1:23" ht="89.25"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4" t="s">
        <v>636</v>
      </c>
      <c r="P2" s="14" t="s">
        <v>628</v>
      </c>
      <c r="Q2" s="14" t="s">
        <v>629</v>
      </c>
      <c r="R2" s="14" t="s">
        <v>630</v>
      </c>
      <c r="S2" s="14" t="s">
        <v>631</v>
      </c>
      <c r="T2" s="14" t="s">
        <v>632</v>
      </c>
      <c r="U2" s="14" t="s">
        <v>633</v>
      </c>
      <c r="V2" s="14" t="s">
        <v>634</v>
      </c>
      <c r="W2" s="14" t="s">
        <v>635</v>
      </c>
    </row>
    <row r="3" spans="1:23" ht="312" x14ac:dyDescent="0.25">
      <c r="A3" s="12" t="s">
        <v>177</v>
      </c>
      <c r="B3" s="12"/>
      <c r="C3" s="10" t="s">
        <v>178</v>
      </c>
      <c r="D3" s="10" t="s">
        <v>179</v>
      </c>
      <c r="E3" s="10" t="s">
        <v>61</v>
      </c>
      <c r="F3" s="10" t="s">
        <v>180</v>
      </c>
      <c r="G3" s="9">
        <v>0</v>
      </c>
      <c r="H3" s="9"/>
      <c r="I3" s="9">
        <v>0</v>
      </c>
      <c r="J3" s="11">
        <v>144002187</v>
      </c>
      <c r="K3" s="11">
        <v>25026020</v>
      </c>
      <c r="L3" s="11"/>
      <c r="M3" s="9">
        <f t="shared" ref="M3" si="0">SUM(G3:L3)</f>
        <v>169028207</v>
      </c>
      <c r="N3" s="13">
        <f>SUM(G3:L3)</f>
        <v>169028207</v>
      </c>
    </row>
  </sheetData>
  <sheetProtection algorithmName="SHA-512" hashValue="b5AuHw2ngwgNpAfGeMknLV51NEqWLmt1i1OggmkYhez9xpwRdgG9F5nYRVzsqNhfZYbSOEwd6RYQoauIQIeBOw==" saltValue="zhQaH8KXGB/U1hG+RTlCoQ==" spinCount="100000" sheet="1" objects="1" scenarios="1" formatCells="0" formatColumns="0" formatRows="0"/>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2060"/>
  </sheetPr>
  <dimension ref="A1:Y9"/>
  <sheetViews>
    <sheetView zoomScale="80" zoomScaleNormal="80" workbookViewId="0">
      <selection activeCell="A10" sqref="A10:XFD1048576"/>
    </sheetView>
  </sheetViews>
  <sheetFormatPr baseColWidth="10" defaultColWidth="0" defaultRowHeight="15" zeroHeight="1" x14ac:dyDescent="0.25"/>
  <cols>
    <col min="1" max="5" width="11.42578125" customWidth="1"/>
    <col min="6" max="6" width="34" customWidth="1"/>
    <col min="7" max="7" width="13.85546875" bestFit="1" customWidth="1"/>
    <col min="8" max="11" width="11.42578125" customWidth="1"/>
    <col min="12" max="12" width="11.5703125" bestFit="1" customWidth="1"/>
    <col min="13" max="13" width="17.42578125" bestFit="1" customWidth="1"/>
    <col min="14" max="14" width="15.42578125" bestFit="1" customWidth="1"/>
    <col min="15" max="17" width="11.42578125" customWidth="1"/>
    <col min="18" max="18" width="14.140625" bestFit="1" customWidth="1"/>
    <col min="19" max="19" width="11.5703125" style="38" bestFit="1" customWidth="1"/>
    <col min="20" max="21" width="11.42578125" customWidth="1"/>
    <col min="22" max="22" width="13.5703125" bestFit="1" customWidth="1"/>
    <col min="23" max="24" width="11.42578125" customWidth="1"/>
    <col min="25" max="25" width="13.570312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743</v>
      </c>
      <c r="S2" s="35" t="s">
        <v>1535</v>
      </c>
      <c r="T2" s="14" t="s">
        <v>630</v>
      </c>
      <c r="U2" s="14" t="s">
        <v>631</v>
      </c>
      <c r="V2" s="14" t="s">
        <v>632</v>
      </c>
      <c r="W2" s="14" t="s">
        <v>633</v>
      </c>
      <c r="X2" s="14" t="s">
        <v>634</v>
      </c>
      <c r="Y2" s="14" t="s">
        <v>635</v>
      </c>
    </row>
    <row r="3" spans="1:25" ht="48" customHeight="1" x14ac:dyDescent="0.25">
      <c r="A3" s="391" t="s">
        <v>187</v>
      </c>
      <c r="B3" s="391" t="s">
        <v>188</v>
      </c>
      <c r="C3" s="391" t="s">
        <v>189</v>
      </c>
      <c r="D3" s="391" t="s">
        <v>190</v>
      </c>
      <c r="E3" s="26" t="s">
        <v>191</v>
      </c>
      <c r="F3" s="26" t="s">
        <v>192</v>
      </c>
      <c r="G3" s="28">
        <v>67500000</v>
      </c>
      <c r="H3" s="28"/>
      <c r="I3" s="28"/>
      <c r="J3" s="28"/>
      <c r="K3" s="28"/>
      <c r="L3" s="28">
        <v>0</v>
      </c>
      <c r="M3" s="28">
        <f t="shared" ref="M3:M8" si="0">SUM(G3:L3)</f>
        <v>67500000</v>
      </c>
      <c r="N3" s="389">
        <f>SUM(M3:M8)</f>
        <v>323250000</v>
      </c>
      <c r="O3" s="34" t="s">
        <v>882</v>
      </c>
      <c r="P3" s="31" t="s">
        <v>883</v>
      </c>
      <c r="Q3" s="32" t="s">
        <v>884</v>
      </c>
      <c r="R3" s="33">
        <v>22000000</v>
      </c>
      <c r="S3" s="36">
        <f>R3/M3</f>
        <v>0.32592592592592595</v>
      </c>
      <c r="T3" s="116">
        <v>631</v>
      </c>
      <c r="U3" s="116" t="s">
        <v>1593</v>
      </c>
      <c r="V3" s="117">
        <v>22000000</v>
      </c>
      <c r="W3" s="116">
        <v>3222</v>
      </c>
      <c r="X3" s="116" t="s">
        <v>1643</v>
      </c>
      <c r="Y3" s="117">
        <v>21991200</v>
      </c>
    </row>
    <row r="4" spans="1:25" ht="60" x14ac:dyDescent="0.25">
      <c r="A4" s="391"/>
      <c r="B4" s="391"/>
      <c r="C4" s="391"/>
      <c r="D4" s="391"/>
      <c r="E4" s="26" t="s">
        <v>455</v>
      </c>
      <c r="F4" s="26" t="s">
        <v>456</v>
      </c>
      <c r="G4" s="28">
        <v>50000000</v>
      </c>
      <c r="H4" s="28"/>
      <c r="I4" s="28"/>
      <c r="J4" s="28"/>
      <c r="K4" s="28"/>
      <c r="L4" s="28">
        <v>0</v>
      </c>
      <c r="M4" s="28">
        <f t="shared" si="0"/>
        <v>50000000</v>
      </c>
      <c r="N4" s="389"/>
      <c r="O4" s="16"/>
      <c r="P4" s="16"/>
      <c r="Q4" s="16"/>
      <c r="R4" s="16"/>
      <c r="S4" s="36">
        <f t="shared" ref="S4:S8" si="1">R4/M4</f>
        <v>0</v>
      </c>
      <c r="T4" s="114"/>
      <c r="U4" s="114"/>
      <c r="V4" s="114"/>
      <c r="W4" s="114"/>
      <c r="X4" s="114"/>
      <c r="Y4" s="114"/>
    </row>
    <row r="5" spans="1:25" ht="48" x14ac:dyDescent="0.25">
      <c r="A5" s="391"/>
      <c r="B5" s="391"/>
      <c r="C5" s="391"/>
      <c r="D5" s="391"/>
      <c r="E5" s="26" t="s">
        <v>457</v>
      </c>
      <c r="F5" s="26" t="s">
        <v>458</v>
      </c>
      <c r="G5" s="28">
        <v>64000000</v>
      </c>
      <c r="H5" s="28"/>
      <c r="I5" s="28"/>
      <c r="J5" s="28"/>
      <c r="K5" s="28"/>
      <c r="L5" s="28">
        <v>0</v>
      </c>
      <c r="M5" s="28">
        <f t="shared" si="0"/>
        <v>64000000</v>
      </c>
      <c r="N5" s="389"/>
      <c r="O5" s="34" t="s">
        <v>752</v>
      </c>
      <c r="P5" s="31" t="s">
        <v>280</v>
      </c>
      <c r="Q5" s="32" t="s">
        <v>753</v>
      </c>
      <c r="R5" s="33">
        <v>40590000</v>
      </c>
      <c r="S5" s="36">
        <f t="shared" si="1"/>
        <v>0.63421875000000005</v>
      </c>
      <c r="T5" s="116">
        <v>361</v>
      </c>
      <c r="U5" s="116" t="s">
        <v>1602</v>
      </c>
      <c r="V5" s="117">
        <v>40590000</v>
      </c>
      <c r="W5" s="116">
        <v>1496</v>
      </c>
      <c r="X5" s="116" t="s">
        <v>1635</v>
      </c>
      <c r="Y5" s="117">
        <v>33640000</v>
      </c>
    </row>
    <row r="6" spans="1:25" ht="48" x14ac:dyDescent="0.25">
      <c r="A6" s="391"/>
      <c r="B6" s="391"/>
      <c r="C6" s="391"/>
      <c r="D6" s="391"/>
      <c r="E6" s="26" t="s">
        <v>407</v>
      </c>
      <c r="F6" s="26" t="s">
        <v>459</v>
      </c>
      <c r="G6" s="28">
        <v>9750000</v>
      </c>
      <c r="H6" s="28"/>
      <c r="I6" s="28"/>
      <c r="J6" s="28"/>
      <c r="K6" s="28"/>
      <c r="L6" s="28">
        <v>0</v>
      </c>
      <c r="M6" s="28">
        <f t="shared" si="0"/>
        <v>9750000</v>
      </c>
      <c r="N6" s="389"/>
      <c r="O6" s="16"/>
      <c r="P6" s="16"/>
      <c r="Q6" s="16"/>
      <c r="R6" s="16"/>
      <c r="S6" s="36">
        <f t="shared" si="1"/>
        <v>0</v>
      </c>
      <c r="T6" s="114"/>
      <c r="U6" s="114"/>
      <c r="V6" s="114"/>
      <c r="W6" s="114"/>
      <c r="X6" s="114"/>
      <c r="Y6" s="114"/>
    </row>
    <row r="7" spans="1:25" ht="48" x14ac:dyDescent="0.25">
      <c r="A7" s="391"/>
      <c r="B7" s="391"/>
      <c r="C7" s="391"/>
      <c r="D7" s="391"/>
      <c r="E7" s="26" t="s">
        <v>407</v>
      </c>
      <c r="F7" s="26" t="s">
        <v>460</v>
      </c>
      <c r="G7" s="28">
        <v>60000000</v>
      </c>
      <c r="H7" s="28"/>
      <c r="I7" s="28"/>
      <c r="J7" s="28"/>
      <c r="K7" s="28"/>
      <c r="L7" s="28">
        <v>0</v>
      </c>
      <c r="M7" s="28">
        <f t="shared" si="0"/>
        <v>60000000</v>
      </c>
      <c r="N7" s="389"/>
      <c r="O7" s="16"/>
      <c r="P7" s="16"/>
      <c r="Q7" s="16"/>
      <c r="R7" s="16"/>
      <c r="S7" s="36">
        <f t="shared" si="1"/>
        <v>0</v>
      </c>
      <c r="T7" s="114"/>
      <c r="U7" s="114"/>
      <c r="V7" s="114"/>
      <c r="W7" s="114"/>
      <c r="X7" s="114"/>
      <c r="Y7" s="114"/>
    </row>
    <row r="8" spans="1:25" ht="48.75" thickBot="1" x14ac:dyDescent="0.3">
      <c r="A8" s="391"/>
      <c r="B8" s="391"/>
      <c r="C8" s="391"/>
      <c r="D8" s="391"/>
      <c r="E8" s="26" t="s">
        <v>407</v>
      </c>
      <c r="F8" s="26" t="s">
        <v>461</v>
      </c>
      <c r="G8" s="28">
        <v>72000000</v>
      </c>
      <c r="H8" s="28"/>
      <c r="I8" s="28"/>
      <c r="J8" s="28"/>
      <c r="K8" s="28"/>
      <c r="L8" s="25">
        <v>0</v>
      </c>
      <c r="M8" s="25">
        <f t="shared" si="0"/>
        <v>72000000</v>
      </c>
      <c r="N8" s="390"/>
      <c r="O8" s="47"/>
      <c r="P8" s="47"/>
      <c r="Q8" s="47"/>
      <c r="R8" s="47"/>
      <c r="S8" s="86">
        <f t="shared" si="1"/>
        <v>0</v>
      </c>
      <c r="T8" s="208"/>
      <c r="U8" s="208"/>
      <c r="V8" s="208"/>
      <c r="W8" s="208"/>
      <c r="X8" s="208"/>
      <c r="Y8" s="208"/>
    </row>
    <row r="9" spans="1:25" ht="19.5" thickBot="1" x14ac:dyDescent="0.35">
      <c r="L9" s="48" t="s">
        <v>637</v>
      </c>
      <c r="M9" s="49">
        <f>SUM(M3:M8)</f>
        <v>323250000</v>
      </c>
      <c r="N9" s="50"/>
      <c r="O9" s="50"/>
      <c r="P9" s="50"/>
      <c r="Q9" s="50"/>
      <c r="R9" s="51">
        <f>SUM(R3:R8)</f>
        <v>62590000</v>
      </c>
      <c r="S9" s="88">
        <f>R9/M9</f>
        <v>0.19362722351121422</v>
      </c>
      <c r="T9" s="234"/>
      <c r="U9" s="235"/>
      <c r="V9" s="236">
        <f>SUM(V3:V8)</f>
        <v>62590000</v>
      </c>
      <c r="W9" s="235"/>
      <c r="X9" s="235"/>
      <c r="Y9" s="237">
        <f>SUM(Y3:Y8)</f>
        <v>55631200</v>
      </c>
    </row>
  </sheetData>
  <sheetProtection algorithmName="SHA-512" hashValue="rl/JPZP1uWygQt9tAKFAxHZZlAXM/AivOFSeR3O9kwtIIqR9OkGj6Tmpz8wguLx9WTEve558qD+yuyqpkw8Vcg==" saltValue="lKmWB9BYZ0X86LqVabefFA==" spinCount="100000" sheet="1" objects="1" scenarios="1" formatCells="0" formatColumns="0" formatRows="0"/>
  <mergeCells count="5">
    <mergeCell ref="N3:N8"/>
    <mergeCell ref="A3:A8"/>
    <mergeCell ref="B3:B8"/>
    <mergeCell ref="C3:C8"/>
    <mergeCell ref="D3:D8"/>
  </mergeCells>
  <conditionalFormatting sqref="S1:S1048576">
    <cfRule type="cellIs" dxfId="32" priority="1" operator="between">
      <formula>0.51</formula>
      <formula>0.69</formula>
    </cfRule>
    <cfRule type="cellIs" dxfId="31" priority="2" operator="lessThan">
      <formula>0.5</formula>
    </cfRule>
    <cfRule type="cellIs" dxfId="30" priority="3" operator="greaterThan">
      <formula>0.7</formula>
    </cfRule>
  </conditionalFormatting>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Y27"/>
  <sheetViews>
    <sheetView zoomScale="60" zoomScaleNormal="60" workbookViewId="0">
      <pane ySplit="1" topLeftCell="A20" activePane="bottomLeft" state="frozen"/>
      <selection pane="bottomLeft" activeCell="R27" sqref="R27"/>
    </sheetView>
  </sheetViews>
  <sheetFormatPr baseColWidth="10" defaultColWidth="0" defaultRowHeight="15" zeroHeight="1" x14ac:dyDescent="0.25"/>
  <cols>
    <col min="1" max="5" width="11.42578125" customWidth="1"/>
    <col min="6" max="6" width="19.42578125" customWidth="1"/>
    <col min="7" max="7" width="15.140625" bestFit="1" customWidth="1"/>
    <col min="8" max="8" width="14.7109375" bestFit="1" customWidth="1"/>
    <col min="9" max="9" width="11.42578125" customWidth="1"/>
    <col min="10" max="10" width="13.85546875" bestFit="1" customWidth="1"/>
    <col min="11" max="11" width="11.42578125" customWidth="1"/>
    <col min="12" max="12" width="11.5703125" bestFit="1" customWidth="1"/>
    <col min="13" max="13" width="17.42578125" bestFit="1" customWidth="1"/>
    <col min="14" max="14" width="15.42578125" bestFit="1" customWidth="1"/>
    <col min="15" max="15" width="44.5703125" customWidth="1"/>
    <col min="16" max="17" width="11.42578125" customWidth="1"/>
    <col min="18" max="18" width="15.85546875" bestFit="1" customWidth="1"/>
    <col min="19" max="19" width="12" style="38" customWidth="1"/>
    <col min="20" max="21" width="11.42578125" customWidth="1"/>
    <col min="22" max="22" width="21.85546875" customWidth="1"/>
    <col min="23" max="24" width="11.42578125" customWidth="1"/>
    <col min="25" max="25" width="23.28515625" customWidth="1"/>
    <col min="26" max="16384" width="11.42578125" hidden="1"/>
  </cols>
  <sheetData>
    <row r="1" spans="1:25" ht="89.25" x14ac:dyDescent="0.25">
      <c r="A1" s="1" t="s">
        <v>0</v>
      </c>
      <c r="B1" s="1" t="s">
        <v>1</v>
      </c>
      <c r="C1" s="1" t="s">
        <v>2</v>
      </c>
      <c r="D1" s="1" t="s">
        <v>3</v>
      </c>
      <c r="E1" s="1" t="s">
        <v>4</v>
      </c>
      <c r="F1" s="1" t="s">
        <v>5</v>
      </c>
      <c r="G1" s="1" t="s">
        <v>6</v>
      </c>
      <c r="H1" s="1" t="s">
        <v>7</v>
      </c>
      <c r="I1" s="1" t="s">
        <v>8</v>
      </c>
      <c r="J1" s="1" t="s">
        <v>9</v>
      </c>
      <c r="K1" s="1" t="s">
        <v>10</v>
      </c>
      <c r="L1" s="1" t="s">
        <v>11</v>
      </c>
      <c r="M1" s="1" t="s">
        <v>12</v>
      </c>
      <c r="N1" s="29" t="s">
        <v>13</v>
      </c>
      <c r="O1" s="14" t="s">
        <v>636</v>
      </c>
      <c r="P1" s="14" t="s">
        <v>628</v>
      </c>
      <c r="Q1" s="14" t="s">
        <v>629</v>
      </c>
      <c r="R1" s="14" t="s">
        <v>722</v>
      </c>
      <c r="S1" s="35" t="s">
        <v>1535</v>
      </c>
      <c r="T1" s="14" t="s">
        <v>630</v>
      </c>
      <c r="U1" s="14" t="s">
        <v>631</v>
      </c>
      <c r="V1" s="14" t="s">
        <v>632</v>
      </c>
      <c r="W1" s="14" t="s">
        <v>633</v>
      </c>
      <c r="X1" s="14" t="s">
        <v>634</v>
      </c>
      <c r="Y1" s="14" t="s">
        <v>635</v>
      </c>
    </row>
    <row r="2" spans="1:25" ht="134.25" customHeight="1" x14ac:dyDescent="0.25">
      <c r="A2" s="391" t="s">
        <v>193</v>
      </c>
      <c r="B2" s="391" t="s">
        <v>194</v>
      </c>
      <c r="C2" s="391" t="s">
        <v>195</v>
      </c>
      <c r="D2" s="391" t="s">
        <v>195</v>
      </c>
      <c r="E2" s="395" t="s">
        <v>196</v>
      </c>
      <c r="F2" s="395" t="s">
        <v>197</v>
      </c>
      <c r="G2" s="395">
        <f>239978982</f>
        <v>239978982</v>
      </c>
      <c r="H2" s="395">
        <f>+(41520000+50384740)</f>
        <v>91904740</v>
      </c>
      <c r="I2" s="395"/>
      <c r="J2" s="395"/>
      <c r="K2" s="395"/>
      <c r="L2" s="395">
        <v>0</v>
      </c>
      <c r="M2" s="395">
        <f t="shared" ref="M2:M26" si="0">SUM(G2:L2)</f>
        <v>331883722</v>
      </c>
      <c r="N2" s="389">
        <f>SUM(M2:M25)</f>
        <v>413968982</v>
      </c>
      <c r="O2" s="278" t="s">
        <v>1221</v>
      </c>
      <c r="P2" s="67" t="s">
        <v>1222</v>
      </c>
      <c r="Q2" s="32" t="s">
        <v>1223</v>
      </c>
      <c r="R2" s="75">
        <v>14400000</v>
      </c>
      <c r="S2" s="392">
        <f>R21/M2</f>
        <v>0.94622899281574291</v>
      </c>
      <c r="T2" s="99">
        <v>139</v>
      </c>
      <c r="U2" s="99" t="s">
        <v>1596</v>
      </c>
      <c r="V2" s="100">
        <v>14400000</v>
      </c>
      <c r="W2" s="101">
        <v>335</v>
      </c>
      <c r="X2" s="101" t="s">
        <v>1561</v>
      </c>
      <c r="Y2" s="102">
        <v>14400000</v>
      </c>
    </row>
    <row r="3" spans="1:25" ht="134.25" customHeight="1" x14ac:dyDescent="0.25">
      <c r="A3" s="391"/>
      <c r="B3" s="391"/>
      <c r="C3" s="391"/>
      <c r="D3" s="391"/>
      <c r="E3" s="396"/>
      <c r="F3" s="396"/>
      <c r="G3" s="396"/>
      <c r="H3" s="396"/>
      <c r="I3" s="396"/>
      <c r="J3" s="396"/>
      <c r="K3" s="396"/>
      <c r="L3" s="396"/>
      <c r="M3" s="396"/>
      <c r="N3" s="389"/>
      <c r="O3" s="278" t="s">
        <v>1224</v>
      </c>
      <c r="P3" s="67" t="s">
        <v>1225</v>
      </c>
      <c r="Q3" s="32" t="s">
        <v>1226</v>
      </c>
      <c r="R3" s="75">
        <v>14400000</v>
      </c>
      <c r="S3" s="393"/>
      <c r="T3" s="99">
        <v>138</v>
      </c>
      <c r="U3" s="99" t="s">
        <v>1596</v>
      </c>
      <c r="V3" s="100">
        <v>14400000</v>
      </c>
      <c r="W3" s="101">
        <v>333</v>
      </c>
      <c r="X3" s="101" t="s">
        <v>1561</v>
      </c>
      <c r="Y3" s="102">
        <v>14400000</v>
      </c>
    </row>
    <row r="4" spans="1:25" ht="134.25" customHeight="1" x14ac:dyDescent="0.25">
      <c r="A4" s="391"/>
      <c r="B4" s="391"/>
      <c r="C4" s="391"/>
      <c r="D4" s="391"/>
      <c r="E4" s="396"/>
      <c r="F4" s="396"/>
      <c r="G4" s="396"/>
      <c r="H4" s="396"/>
      <c r="I4" s="396"/>
      <c r="J4" s="396"/>
      <c r="K4" s="396"/>
      <c r="L4" s="396"/>
      <c r="M4" s="396"/>
      <c r="N4" s="389"/>
      <c r="O4" s="278" t="s">
        <v>1227</v>
      </c>
      <c r="P4" s="67" t="s">
        <v>1228</v>
      </c>
      <c r="Q4" s="32" t="s">
        <v>1229</v>
      </c>
      <c r="R4" s="75">
        <v>17000000</v>
      </c>
      <c r="S4" s="393"/>
      <c r="T4" s="99">
        <v>137</v>
      </c>
      <c r="U4" s="99" t="s">
        <v>1596</v>
      </c>
      <c r="V4" s="100">
        <v>17000000</v>
      </c>
      <c r="W4" s="101">
        <v>272</v>
      </c>
      <c r="X4" s="101" t="s">
        <v>1561</v>
      </c>
      <c r="Y4" s="102">
        <v>17000000</v>
      </c>
    </row>
    <row r="5" spans="1:25" ht="134.25" customHeight="1" x14ac:dyDescent="0.25">
      <c r="A5" s="391"/>
      <c r="B5" s="391"/>
      <c r="C5" s="391"/>
      <c r="D5" s="391"/>
      <c r="E5" s="396"/>
      <c r="F5" s="396"/>
      <c r="G5" s="396"/>
      <c r="H5" s="396"/>
      <c r="I5" s="396"/>
      <c r="J5" s="396"/>
      <c r="K5" s="396"/>
      <c r="L5" s="396"/>
      <c r="M5" s="396"/>
      <c r="N5" s="389"/>
      <c r="O5" s="278" t="s">
        <v>1230</v>
      </c>
      <c r="P5" s="67" t="s">
        <v>1231</v>
      </c>
      <c r="Q5" s="32" t="s">
        <v>1232</v>
      </c>
      <c r="R5" s="75">
        <v>21600000</v>
      </c>
      <c r="S5" s="393"/>
      <c r="T5" s="99">
        <v>140</v>
      </c>
      <c r="U5" s="99" t="s">
        <v>1596</v>
      </c>
      <c r="V5" s="100">
        <v>21600000</v>
      </c>
      <c r="W5" s="101">
        <v>19</v>
      </c>
      <c r="X5" s="101" t="s">
        <v>1655</v>
      </c>
      <c r="Y5" s="102">
        <v>21600000</v>
      </c>
    </row>
    <row r="6" spans="1:25" ht="134.25" customHeight="1" x14ac:dyDescent="0.25">
      <c r="A6" s="391"/>
      <c r="B6" s="391"/>
      <c r="C6" s="391"/>
      <c r="D6" s="391"/>
      <c r="E6" s="396"/>
      <c r="F6" s="396"/>
      <c r="G6" s="396"/>
      <c r="H6" s="396"/>
      <c r="I6" s="396"/>
      <c r="J6" s="396"/>
      <c r="K6" s="396"/>
      <c r="L6" s="396"/>
      <c r="M6" s="396"/>
      <c r="N6" s="389"/>
      <c r="O6" s="278" t="s">
        <v>1233</v>
      </c>
      <c r="P6" s="67" t="s">
        <v>1234</v>
      </c>
      <c r="Q6" s="32" t="s">
        <v>1235</v>
      </c>
      <c r="R6" s="75">
        <v>16000000</v>
      </c>
      <c r="S6" s="393"/>
      <c r="T6" s="99">
        <v>136</v>
      </c>
      <c r="U6" s="99" t="s">
        <v>1596</v>
      </c>
      <c r="V6" s="100">
        <v>16000000</v>
      </c>
      <c r="W6" s="101">
        <v>270</v>
      </c>
      <c r="X6" s="101" t="s">
        <v>1561</v>
      </c>
      <c r="Y6" s="102">
        <v>16000000</v>
      </c>
    </row>
    <row r="7" spans="1:25" ht="134.25" customHeight="1" x14ac:dyDescent="0.25">
      <c r="A7" s="391"/>
      <c r="B7" s="391"/>
      <c r="C7" s="391"/>
      <c r="D7" s="391"/>
      <c r="E7" s="396"/>
      <c r="F7" s="396"/>
      <c r="G7" s="396"/>
      <c r="H7" s="396"/>
      <c r="I7" s="396"/>
      <c r="J7" s="396"/>
      <c r="K7" s="396"/>
      <c r="L7" s="396"/>
      <c r="M7" s="396"/>
      <c r="N7" s="389"/>
      <c r="O7" s="278" t="s">
        <v>1236</v>
      </c>
      <c r="P7" s="67" t="s">
        <v>1237</v>
      </c>
      <c r="Q7" s="32" t="s">
        <v>1238</v>
      </c>
      <c r="R7" s="75">
        <v>16350000</v>
      </c>
      <c r="S7" s="393"/>
      <c r="T7" s="99">
        <v>166</v>
      </c>
      <c r="U7" s="99" t="s">
        <v>1655</v>
      </c>
      <c r="V7" s="100">
        <v>16350000</v>
      </c>
      <c r="W7" s="101">
        <v>486</v>
      </c>
      <c r="X7" s="101" t="s">
        <v>1597</v>
      </c>
      <c r="Y7" s="102">
        <v>16350000</v>
      </c>
    </row>
    <row r="8" spans="1:25" ht="134.25" customHeight="1" x14ac:dyDescent="0.25">
      <c r="A8" s="391"/>
      <c r="B8" s="391"/>
      <c r="C8" s="391"/>
      <c r="D8" s="391"/>
      <c r="E8" s="396"/>
      <c r="F8" s="396"/>
      <c r="G8" s="396"/>
      <c r="H8" s="396"/>
      <c r="I8" s="396"/>
      <c r="J8" s="396"/>
      <c r="K8" s="396"/>
      <c r="L8" s="396"/>
      <c r="M8" s="396"/>
      <c r="N8" s="389"/>
      <c r="O8" s="278" t="s">
        <v>1239</v>
      </c>
      <c r="P8" s="67" t="s">
        <v>1240</v>
      </c>
      <c r="Q8" s="32" t="s">
        <v>1241</v>
      </c>
      <c r="R8" s="75">
        <v>7000000</v>
      </c>
      <c r="S8" s="393"/>
      <c r="T8" s="99">
        <v>273</v>
      </c>
      <c r="U8" s="99" t="s">
        <v>1598</v>
      </c>
      <c r="V8" s="100">
        <v>7000000</v>
      </c>
      <c r="W8" s="101">
        <v>696</v>
      </c>
      <c r="X8" s="101" t="s">
        <v>1599</v>
      </c>
      <c r="Y8" s="102">
        <v>7000000</v>
      </c>
    </row>
    <row r="9" spans="1:25" ht="134.25" customHeight="1" x14ac:dyDescent="0.25">
      <c r="A9" s="391"/>
      <c r="B9" s="391"/>
      <c r="C9" s="391"/>
      <c r="D9" s="391"/>
      <c r="E9" s="396"/>
      <c r="F9" s="396"/>
      <c r="G9" s="396"/>
      <c r="H9" s="396"/>
      <c r="I9" s="396"/>
      <c r="J9" s="396"/>
      <c r="K9" s="396"/>
      <c r="L9" s="396"/>
      <c r="M9" s="396"/>
      <c r="N9" s="389"/>
      <c r="O9" s="278" t="s">
        <v>1242</v>
      </c>
      <c r="P9" s="67" t="s">
        <v>399</v>
      </c>
      <c r="Q9" s="32" t="s">
        <v>1243</v>
      </c>
      <c r="R9" s="75">
        <v>13440000</v>
      </c>
      <c r="S9" s="393"/>
      <c r="T9" s="99">
        <v>306</v>
      </c>
      <c r="U9" s="99" t="s">
        <v>1628</v>
      </c>
      <c r="V9" s="100">
        <v>13440000</v>
      </c>
      <c r="W9" s="101">
        <v>1252</v>
      </c>
      <c r="X9" s="101" t="s">
        <v>1652</v>
      </c>
      <c r="Y9" s="102">
        <v>13440000</v>
      </c>
    </row>
    <row r="10" spans="1:25" ht="134.25" customHeight="1" x14ac:dyDescent="0.25">
      <c r="A10" s="391"/>
      <c r="B10" s="391"/>
      <c r="C10" s="391"/>
      <c r="D10" s="391"/>
      <c r="E10" s="396"/>
      <c r="F10" s="396"/>
      <c r="G10" s="396"/>
      <c r="H10" s="396"/>
      <c r="I10" s="396"/>
      <c r="J10" s="396"/>
      <c r="K10" s="396"/>
      <c r="L10" s="396"/>
      <c r="M10" s="396"/>
      <c r="N10" s="389"/>
      <c r="O10" s="278" t="s">
        <v>1244</v>
      </c>
      <c r="P10" s="67" t="s">
        <v>1245</v>
      </c>
      <c r="Q10" s="32" t="s">
        <v>1246</v>
      </c>
      <c r="R10" s="75">
        <v>5520000</v>
      </c>
      <c r="S10" s="393"/>
      <c r="T10" s="99">
        <v>618</v>
      </c>
      <c r="U10" s="99" t="s">
        <v>1650</v>
      </c>
      <c r="V10" s="100">
        <v>5520000</v>
      </c>
      <c r="W10" s="104">
        <v>2277</v>
      </c>
      <c r="X10" s="104" t="s">
        <v>1703</v>
      </c>
      <c r="Y10" s="105">
        <v>5520000</v>
      </c>
    </row>
    <row r="11" spans="1:25" ht="134.25" customHeight="1" x14ac:dyDescent="0.25">
      <c r="A11" s="391"/>
      <c r="B11" s="391"/>
      <c r="C11" s="391"/>
      <c r="D11" s="391"/>
      <c r="E11" s="396"/>
      <c r="F11" s="396"/>
      <c r="G11" s="396"/>
      <c r="H11" s="396"/>
      <c r="I11" s="396"/>
      <c r="J11" s="396"/>
      <c r="K11" s="396"/>
      <c r="L11" s="396"/>
      <c r="M11" s="396"/>
      <c r="N11" s="389"/>
      <c r="O11" s="278" t="s">
        <v>1247</v>
      </c>
      <c r="P11" s="67" t="s">
        <v>1248</v>
      </c>
      <c r="Q11" s="32" t="s">
        <v>1249</v>
      </c>
      <c r="R11" s="75">
        <v>36000000</v>
      </c>
      <c r="S11" s="393"/>
      <c r="T11" s="99">
        <v>700</v>
      </c>
      <c r="U11" s="99" t="s">
        <v>1676</v>
      </c>
      <c r="V11" s="100">
        <v>36000000</v>
      </c>
      <c r="W11" s="101" t="s">
        <v>1580</v>
      </c>
      <c r="X11" s="101" t="s">
        <v>1580</v>
      </c>
      <c r="Y11" s="101" t="s">
        <v>1580</v>
      </c>
    </row>
    <row r="12" spans="1:25" ht="134.25" customHeight="1" x14ac:dyDescent="0.25">
      <c r="A12" s="391"/>
      <c r="B12" s="391"/>
      <c r="C12" s="391"/>
      <c r="D12" s="391"/>
      <c r="E12" s="396"/>
      <c r="F12" s="396"/>
      <c r="G12" s="396"/>
      <c r="H12" s="396"/>
      <c r="I12" s="396"/>
      <c r="J12" s="396"/>
      <c r="K12" s="396"/>
      <c r="L12" s="396"/>
      <c r="M12" s="396"/>
      <c r="N12" s="389"/>
      <c r="O12" s="278" t="s">
        <v>1250</v>
      </c>
      <c r="P12" s="67" t="s">
        <v>1251</v>
      </c>
      <c r="Q12" s="32" t="s">
        <v>1252</v>
      </c>
      <c r="R12" s="75">
        <v>8000000</v>
      </c>
      <c r="S12" s="393"/>
      <c r="T12" s="99">
        <v>701</v>
      </c>
      <c r="U12" s="99" t="s">
        <v>1676</v>
      </c>
      <c r="V12" s="100">
        <v>8000000</v>
      </c>
      <c r="W12" s="101" t="s">
        <v>1580</v>
      </c>
      <c r="X12" s="101" t="s">
        <v>1580</v>
      </c>
      <c r="Y12" s="101" t="s">
        <v>1580</v>
      </c>
    </row>
    <row r="13" spans="1:25" ht="134.25" customHeight="1" x14ac:dyDescent="0.25">
      <c r="A13" s="391"/>
      <c r="B13" s="391"/>
      <c r="C13" s="391"/>
      <c r="D13" s="391"/>
      <c r="E13" s="396"/>
      <c r="F13" s="396"/>
      <c r="G13" s="396"/>
      <c r="H13" s="396"/>
      <c r="I13" s="396"/>
      <c r="J13" s="396"/>
      <c r="K13" s="396"/>
      <c r="L13" s="396"/>
      <c r="M13" s="396"/>
      <c r="N13" s="389"/>
      <c r="O13" s="278" t="s">
        <v>1253</v>
      </c>
      <c r="P13" s="67" t="s">
        <v>1254</v>
      </c>
      <c r="Q13" s="32" t="s">
        <v>1255</v>
      </c>
      <c r="R13" s="75">
        <v>19832000</v>
      </c>
      <c r="S13" s="393"/>
      <c r="T13" s="99">
        <v>812</v>
      </c>
      <c r="U13" s="99" t="s">
        <v>1570</v>
      </c>
      <c r="V13" s="100">
        <v>19832000</v>
      </c>
      <c r="W13" s="104">
        <v>2932</v>
      </c>
      <c r="X13" s="104" t="s">
        <v>1571</v>
      </c>
      <c r="Y13" s="105">
        <v>19832000</v>
      </c>
    </row>
    <row r="14" spans="1:25" ht="134.25" customHeight="1" x14ac:dyDescent="0.25">
      <c r="A14" s="391"/>
      <c r="B14" s="391"/>
      <c r="C14" s="391"/>
      <c r="D14" s="391"/>
      <c r="E14" s="396"/>
      <c r="F14" s="396"/>
      <c r="G14" s="396"/>
      <c r="H14" s="396"/>
      <c r="I14" s="396"/>
      <c r="J14" s="396"/>
      <c r="K14" s="396"/>
      <c r="L14" s="396"/>
      <c r="M14" s="396"/>
      <c r="N14" s="389"/>
      <c r="O14" s="278" t="s">
        <v>1224</v>
      </c>
      <c r="P14" s="67" t="s">
        <v>1256</v>
      </c>
      <c r="Q14" s="32" t="s">
        <v>1257</v>
      </c>
      <c r="R14" s="75">
        <v>16300000</v>
      </c>
      <c r="S14" s="393"/>
      <c r="T14" s="99">
        <v>904</v>
      </c>
      <c r="U14" s="99" t="s">
        <v>1571</v>
      </c>
      <c r="V14" s="100">
        <v>16300000</v>
      </c>
      <c r="W14" s="104">
        <v>3161</v>
      </c>
      <c r="X14" s="104" t="s">
        <v>1704</v>
      </c>
      <c r="Y14" s="105">
        <v>16300000</v>
      </c>
    </row>
    <row r="15" spans="1:25" ht="134.25" customHeight="1" x14ac:dyDescent="0.25">
      <c r="A15" s="391"/>
      <c r="B15" s="391"/>
      <c r="C15" s="391"/>
      <c r="D15" s="391"/>
      <c r="E15" s="396"/>
      <c r="F15" s="396"/>
      <c r="G15" s="396"/>
      <c r="H15" s="396"/>
      <c r="I15" s="396"/>
      <c r="J15" s="396"/>
      <c r="K15" s="396"/>
      <c r="L15" s="396"/>
      <c r="M15" s="396"/>
      <c r="N15" s="389"/>
      <c r="O15" s="278" t="s">
        <v>1221</v>
      </c>
      <c r="P15" s="67" t="s">
        <v>1258</v>
      </c>
      <c r="Q15" s="32" t="s">
        <v>1259</v>
      </c>
      <c r="R15" s="75">
        <v>18474000</v>
      </c>
      <c r="S15" s="393"/>
      <c r="T15" s="99">
        <v>802</v>
      </c>
      <c r="U15" s="99" t="s">
        <v>1594</v>
      </c>
      <c r="V15" s="100">
        <v>18474000</v>
      </c>
      <c r="W15" s="104">
        <v>2960</v>
      </c>
      <c r="X15" s="104" t="s">
        <v>1588</v>
      </c>
      <c r="Y15" s="105">
        <v>18474000</v>
      </c>
    </row>
    <row r="16" spans="1:25" ht="134.25" customHeight="1" x14ac:dyDescent="0.25">
      <c r="A16" s="391"/>
      <c r="B16" s="391"/>
      <c r="C16" s="391"/>
      <c r="D16" s="391"/>
      <c r="E16" s="396"/>
      <c r="F16" s="396"/>
      <c r="G16" s="396"/>
      <c r="H16" s="396"/>
      <c r="I16" s="396"/>
      <c r="J16" s="396"/>
      <c r="K16" s="396"/>
      <c r="L16" s="396"/>
      <c r="M16" s="396"/>
      <c r="N16" s="389"/>
      <c r="O16" s="278" t="s">
        <v>1236</v>
      </c>
      <c r="P16" s="67" t="s">
        <v>1260</v>
      </c>
      <c r="Q16" s="32" t="s">
        <v>1261</v>
      </c>
      <c r="R16" s="75">
        <v>16300000</v>
      </c>
      <c r="S16" s="393"/>
      <c r="T16" s="99">
        <v>803</v>
      </c>
      <c r="U16" s="99" t="s">
        <v>1594</v>
      </c>
      <c r="V16" s="100">
        <v>16300000</v>
      </c>
      <c r="W16" s="104">
        <v>2961</v>
      </c>
      <c r="X16" s="104" t="s">
        <v>1588</v>
      </c>
      <c r="Y16" s="105">
        <v>16300000</v>
      </c>
    </row>
    <row r="17" spans="1:25" ht="134.25" customHeight="1" x14ac:dyDescent="0.25">
      <c r="A17" s="391"/>
      <c r="B17" s="391"/>
      <c r="C17" s="391"/>
      <c r="D17" s="391"/>
      <c r="E17" s="396"/>
      <c r="F17" s="396"/>
      <c r="G17" s="396"/>
      <c r="H17" s="396"/>
      <c r="I17" s="396"/>
      <c r="J17" s="396"/>
      <c r="K17" s="396"/>
      <c r="L17" s="396"/>
      <c r="M17" s="396"/>
      <c r="N17" s="389"/>
      <c r="O17" s="278" t="s">
        <v>1262</v>
      </c>
      <c r="P17" s="67" t="s">
        <v>1263</v>
      </c>
      <c r="Q17" s="32" t="s">
        <v>1264</v>
      </c>
      <c r="R17" s="75">
        <v>21734000</v>
      </c>
      <c r="S17" s="393"/>
      <c r="T17" s="99">
        <v>881</v>
      </c>
      <c r="U17" s="99" t="s">
        <v>1587</v>
      </c>
      <c r="V17" s="100">
        <v>21734000</v>
      </c>
      <c r="W17" s="104">
        <v>2874</v>
      </c>
      <c r="X17" s="104" t="s">
        <v>1571</v>
      </c>
      <c r="Y17" s="105">
        <v>21734000</v>
      </c>
    </row>
    <row r="18" spans="1:25" ht="134.25" customHeight="1" x14ac:dyDescent="0.25">
      <c r="A18" s="391"/>
      <c r="B18" s="391"/>
      <c r="C18" s="391"/>
      <c r="D18" s="391"/>
      <c r="E18" s="396"/>
      <c r="F18" s="396"/>
      <c r="G18" s="396"/>
      <c r="H18" s="396"/>
      <c r="I18" s="396"/>
      <c r="J18" s="396"/>
      <c r="K18" s="396"/>
      <c r="L18" s="396"/>
      <c r="M18" s="396"/>
      <c r="N18" s="389"/>
      <c r="O18" s="278" t="s">
        <v>1265</v>
      </c>
      <c r="P18" s="67" t="s">
        <v>1266</v>
      </c>
      <c r="Q18" s="32" t="s">
        <v>1267</v>
      </c>
      <c r="R18" s="75">
        <v>18474000</v>
      </c>
      <c r="S18" s="393"/>
      <c r="T18" s="99">
        <v>866</v>
      </c>
      <c r="U18" s="99" t="s">
        <v>1570</v>
      </c>
      <c r="V18" s="100">
        <v>18474000</v>
      </c>
      <c r="W18" s="104">
        <v>2933</v>
      </c>
      <c r="X18" s="104" t="s">
        <v>1571</v>
      </c>
      <c r="Y18" s="105">
        <v>18474000</v>
      </c>
    </row>
    <row r="19" spans="1:25" ht="134.25" customHeight="1" x14ac:dyDescent="0.25">
      <c r="A19" s="391"/>
      <c r="B19" s="391"/>
      <c r="C19" s="391"/>
      <c r="D19" s="391"/>
      <c r="E19" s="396"/>
      <c r="F19" s="396"/>
      <c r="G19" s="396"/>
      <c r="H19" s="396"/>
      <c r="I19" s="396"/>
      <c r="J19" s="396"/>
      <c r="K19" s="396"/>
      <c r="L19" s="396"/>
      <c r="M19" s="396"/>
      <c r="N19" s="389"/>
      <c r="O19" s="278" t="s">
        <v>1268</v>
      </c>
      <c r="P19" s="67" t="s">
        <v>1269</v>
      </c>
      <c r="Q19" s="32" t="s">
        <v>1270</v>
      </c>
      <c r="R19" s="75">
        <v>18000000</v>
      </c>
      <c r="S19" s="393"/>
      <c r="T19" s="99">
        <v>868</v>
      </c>
      <c r="U19" s="99" t="s">
        <v>1570</v>
      </c>
      <c r="V19" s="100">
        <v>18000000</v>
      </c>
      <c r="W19" s="104">
        <v>2872</v>
      </c>
      <c r="X19" s="104" t="s">
        <v>1571</v>
      </c>
      <c r="Y19" s="105">
        <v>18000000</v>
      </c>
    </row>
    <row r="20" spans="1:25" ht="134.25" customHeight="1" x14ac:dyDescent="0.25">
      <c r="A20" s="391"/>
      <c r="B20" s="391"/>
      <c r="C20" s="391"/>
      <c r="D20" s="391"/>
      <c r="E20" s="396"/>
      <c r="F20" s="396"/>
      <c r="G20" s="396"/>
      <c r="H20" s="396"/>
      <c r="I20" s="396"/>
      <c r="J20" s="396"/>
      <c r="K20" s="396"/>
      <c r="L20" s="396"/>
      <c r="M20" s="396"/>
      <c r="N20" s="389"/>
      <c r="O20" s="278" t="s">
        <v>1242</v>
      </c>
      <c r="P20" s="67" t="s">
        <v>1271</v>
      </c>
      <c r="Q20" s="32" t="s">
        <v>1272</v>
      </c>
      <c r="R20" s="75">
        <v>15214000</v>
      </c>
      <c r="S20" s="393"/>
      <c r="T20" s="99">
        <v>943</v>
      </c>
      <c r="U20" s="99" t="s">
        <v>1705</v>
      </c>
      <c r="V20" s="100">
        <v>15214000</v>
      </c>
      <c r="W20" s="101" t="s">
        <v>1580</v>
      </c>
      <c r="X20" s="101" t="s">
        <v>1580</v>
      </c>
      <c r="Y20" s="101" t="s">
        <v>1580</v>
      </c>
    </row>
    <row r="21" spans="1:25" ht="40.5" customHeight="1" x14ac:dyDescent="0.25">
      <c r="A21" s="391"/>
      <c r="B21" s="391"/>
      <c r="C21" s="391"/>
      <c r="D21" s="391"/>
      <c r="E21" s="397"/>
      <c r="F21" s="397"/>
      <c r="G21" s="397"/>
      <c r="H21" s="397"/>
      <c r="I21" s="397"/>
      <c r="J21" s="397"/>
      <c r="K21" s="397"/>
      <c r="L21" s="397"/>
      <c r="M21" s="397"/>
      <c r="N21" s="389"/>
      <c r="O21" s="20" t="s">
        <v>637</v>
      </c>
      <c r="P21" s="21"/>
      <c r="Q21" s="21"/>
      <c r="R21" s="22">
        <f>SUM(R2:R20)</f>
        <v>314038000</v>
      </c>
      <c r="S21" s="394"/>
      <c r="T21" s="17"/>
      <c r="U21" s="17"/>
      <c r="V21" s="17"/>
      <c r="W21" s="17"/>
      <c r="X21" s="17"/>
      <c r="Y21" s="17"/>
    </row>
    <row r="22" spans="1:25" ht="60" x14ac:dyDescent="0.25">
      <c r="A22" s="391"/>
      <c r="B22" s="391"/>
      <c r="C22" s="391"/>
      <c r="D22" s="391"/>
      <c r="E22" s="26" t="s">
        <v>413</v>
      </c>
      <c r="F22" s="26" t="s">
        <v>414</v>
      </c>
      <c r="G22" s="28">
        <f>41520000</f>
        <v>41520000</v>
      </c>
      <c r="H22" s="28">
        <v>-41520000</v>
      </c>
      <c r="I22" s="28"/>
      <c r="J22" s="28"/>
      <c r="K22" s="28"/>
      <c r="L22" s="28">
        <v>0</v>
      </c>
      <c r="M22" s="28">
        <f t="shared" si="0"/>
        <v>0</v>
      </c>
      <c r="N22" s="389"/>
      <c r="O22" s="17"/>
      <c r="P22" s="17"/>
      <c r="Q22" s="16"/>
      <c r="R22" s="17"/>
      <c r="S22" s="89"/>
      <c r="T22" s="17"/>
      <c r="U22" s="17"/>
      <c r="V22" s="17"/>
      <c r="W22" s="17"/>
      <c r="X22" s="17"/>
      <c r="Y22" s="17"/>
    </row>
    <row r="23" spans="1:25" ht="60" x14ac:dyDescent="0.25">
      <c r="A23" s="391"/>
      <c r="B23" s="391"/>
      <c r="C23" s="391"/>
      <c r="D23" s="391"/>
      <c r="E23" s="26" t="s">
        <v>415</v>
      </c>
      <c r="F23" s="26" t="s">
        <v>416</v>
      </c>
      <c r="G23" s="28">
        <v>41520000</v>
      </c>
      <c r="H23" s="28">
        <v>-41020000</v>
      </c>
      <c r="I23" s="28"/>
      <c r="J23" s="28"/>
      <c r="K23" s="28"/>
      <c r="L23" s="28">
        <v>0</v>
      </c>
      <c r="M23" s="28">
        <f t="shared" si="0"/>
        <v>500000</v>
      </c>
      <c r="N23" s="389"/>
      <c r="O23" s="55" t="s">
        <v>1239</v>
      </c>
      <c r="P23" s="67" t="s">
        <v>1500</v>
      </c>
      <c r="Q23" s="32" t="s">
        <v>1501</v>
      </c>
      <c r="R23" s="75">
        <v>500000</v>
      </c>
      <c r="S23" s="89">
        <f t="shared" ref="S23:S27" si="1">R23/M23</f>
        <v>1</v>
      </c>
      <c r="T23" s="99">
        <v>273</v>
      </c>
      <c r="U23" s="99" t="s">
        <v>1598</v>
      </c>
      <c r="V23" s="100">
        <v>500000</v>
      </c>
      <c r="W23" s="101">
        <v>696</v>
      </c>
      <c r="X23" s="101" t="s">
        <v>1599</v>
      </c>
      <c r="Y23" s="102">
        <v>500000</v>
      </c>
    </row>
    <row r="24" spans="1:25" ht="240" x14ac:dyDescent="0.25">
      <c r="A24" s="391"/>
      <c r="B24" s="391"/>
      <c r="C24" s="391"/>
      <c r="D24" s="391"/>
      <c r="E24" s="26" t="s">
        <v>417</v>
      </c>
      <c r="F24" s="26" t="s">
        <v>418</v>
      </c>
      <c r="G24" s="28">
        <f>25950000</f>
        <v>25950000</v>
      </c>
      <c r="H24" s="28">
        <f>-(15000000+9364740)</f>
        <v>-24364740</v>
      </c>
      <c r="I24" s="28"/>
      <c r="J24" s="28"/>
      <c r="K24" s="28"/>
      <c r="L24" s="28">
        <v>0</v>
      </c>
      <c r="M24" s="28">
        <f t="shared" si="0"/>
        <v>1585260</v>
      </c>
      <c r="N24" s="389"/>
      <c r="O24" s="34" t="s">
        <v>723</v>
      </c>
      <c r="P24" s="67" t="s">
        <v>724</v>
      </c>
      <c r="Q24" s="32" t="s">
        <v>725</v>
      </c>
      <c r="R24" s="75">
        <v>1585260</v>
      </c>
      <c r="S24" s="89">
        <f t="shared" si="1"/>
        <v>1</v>
      </c>
      <c r="T24" s="99">
        <v>273</v>
      </c>
      <c r="U24" s="99" t="s">
        <v>1598</v>
      </c>
      <c r="V24" s="100">
        <v>1585260</v>
      </c>
      <c r="W24" s="101">
        <v>696</v>
      </c>
      <c r="X24" s="101" t="s">
        <v>1599</v>
      </c>
      <c r="Y24" s="102">
        <v>1585260</v>
      </c>
    </row>
    <row r="25" spans="1:25" ht="96" x14ac:dyDescent="0.25">
      <c r="A25" s="391"/>
      <c r="B25" s="391"/>
      <c r="C25" s="391"/>
      <c r="D25" s="391"/>
      <c r="E25" s="26" t="s">
        <v>419</v>
      </c>
      <c r="F25" s="26" t="s">
        <v>420</v>
      </c>
      <c r="G25" s="28">
        <v>0</v>
      </c>
      <c r="H25" s="28"/>
      <c r="I25" s="28"/>
      <c r="J25" s="28">
        <v>80000000</v>
      </c>
      <c r="K25" s="28"/>
      <c r="L25" s="28">
        <v>0</v>
      </c>
      <c r="M25" s="28">
        <f t="shared" si="0"/>
        <v>80000000</v>
      </c>
      <c r="N25" s="389"/>
      <c r="O25" s="17"/>
      <c r="P25" s="17"/>
      <c r="Q25" s="16"/>
      <c r="R25" s="17"/>
      <c r="S25" s="89">
        <f t="shared" si="1"/>
        <v>0</v>
      </c>
      <c r="T25" s="17"/>
      <c r="U25" s="17"/>
      <c r="V25" s="17"/>
      <c r="W25" s="17"/>
      <c r="X25" s="17"/>
      <c r="Y25" s="17"/>
    </row>
    <row r="26" spans="1:25" ht="120.75" thickBot="1" x14ac:dyDescent="0.3">
      <c r="A26" s="52" t="s">
        <v>198</v>
      </c>
      <c r="B26" s="52">
        <v>105</v>
      </c>
      <c r="C26" s="26" t="s">
        <v>199</v>
      </c>
      <c r="D26" s="26" t="s">
        <v>200</v>
      </c>
      <c r="E26" s="26" t="s">
        <v>201</v>
      </c>
      <c r="F26" s="26" t="s">
        <v>202</v>
      </c>
      <c r="G26" s="28">
        <v>0</v>
      </c>
      <c r="H26" s="28"/>
      <c r="I26" s="28">
        <v>0</v>
      </c>
      <c r="J26" s="27">
        <v>400000000</v>
      </c>
      <c r="K26" s="27"/>
      <c r="L26" s="24"/>
      <c r="M26" s="25">
        <f t="shared" si="0"/>
        <v>400000000</v>
      </c>
      <c r="N26" s="91">
        <f>SUM(G26:L26)</f>
        <v>400000000</v>
      </c>
      <c r="O26" s="68"/>
      <c r="P26" s="68"/>
      <c r="Q26" s="47"/>
      <c r="R26" s="68"/>
      <c r="S26" s="90">
        <f t="shared" si="1"/>
        <v>0</v>
      </c>
      <c r="T26" s="68"/>
      <c r="U26" s="68"/>
      <c r="V26" s="68"/>
      <c r="W26" s="68"/>
      <c r="X26" s="68"/>
      <c r="Y26" s="68"/>
    </row>
    <row r="27" spans="1:25" ht="19.5" thickBot="1" x14ac:dyDescent="0.35">
      <c r="L27" s="48" t="s">
        <v>637</v>
      </c>
      <c r="M27" s="49">
        <f>SUM(M2:M26)</f>
        <v>813968982</v>
      </c>
      <c r="N27" s="50"/>
      <c r="O27" s="50"/>
      <c r="P27" s="50"/>
      <c r="Q27" s="50"/>
      <c r="R27" s="51">
        <f>SUM(R21:R26)</f>
        <v>316123260</v>
      </c>
      <c r="S27" s="92">
        <f t="shared" si="1"/>
        <v>0.38837261245908261</v>
      </c>
      <c r="T27" s="233"/>
      <c r="U27" s="233"/>
      <c r="V27" s="236">
        <f>SUM(V2:V26)</f>
        <v>316123260</v>
      </c>
      <c r="W27" s="233"/>
      <c r="X27" s="233"/>
      <c r="Y27" s="237">
        <f>SUM(Y2:Y26)</f>
        <v>256909260</v>
      </c>
    </row>
  </sheetData>
  <sheetProtection algorithmName="SHA-512" hashValue="VYIMg8qmwnIoOCARR1lLHVNgiVLvNxq6x2SnQinnB2/7AecYUnXuR1PnFdPPKJecfnRt5z9iCG7Biza32iZhkw==" saltValue="bp07gaNscCTdw5C+1D+8IQ==" spinCount="100000" sheet="1" objects="1" scenarios="1" formatCells="0" formatColumns="0" formatRows="0"/>
  <mergeCells count="15">
    <mergeCell ref="S2:S21"/>
    <mergeCell ref="N2:N25"/>
    <mergeCell ref="A2:A25"/>
    <mergeCell ref="B2:B25"/>
    <mergeCell ref="C2:C25"/>
    <mergeCell ref="D2:D25"/>
    <mergeCell ref="M2:M21"/>
    <mergeCell ref="L2:L21"/>
    <mergeCell ref="K2:K21"/>
    <mergeCell ref="J2:J21"/>
    <mergeCell ref="I2:I21"/>
    <mergeCell ref="H2:H21"/>
    <mergeCell ref="G2:G21"/>
    <mergeCell ref="F2:F21"/>
    <mergeCell ref="E2:E21"/>
  </mergeCells>
  <conditionalFormatting sqref="S1:S2 S22:S1048576">
    <cfRule type="cellIs" dxfId="29" priority="1" operator="between">
      <formula>0.51</formula>
      <formula>0.69</formula>
    </cfRule>
    <cfRule type="cellIs" dxfId="28" priority="2" operator="lessThan">
      <formula>0.5</formula>
    </cfRule>
    <cfRule type="cellIs" dxfId="27" priority="3" operator="greaterThan">
      <formula>0.7</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Y9"/>
  <sheetViews>
    <sheetView zoomScale="80" zoomScaleNormal="80" workbookViewId="0">
      <selection activeCell="A10" sqref="A10:XFD1048576"/>
    </sheetView>
  </sheetViews>
  <sheetFormatPr baseColWidth="10" defaultColWidth="0" defaultRowHeight="15" zeroHeight="1" x14ac:dyDescent="0.25"/>
  <cols>
    <col min="1" max="5" width="11.42578125" customWidth="1"/>
    <col min="6" max="6" width="26.28515625" customWidth="1"/>
    <col min="7" max="7" width="18.5703125" bestFit="1" customWidth="1"/>
    <col min="8" max="8" width="19.7109375" bestFit="1" customWidth="1"/>
    <col min="9" max="11" width="11.42578125" customWidth="1"/>
    <col min="12" max="12" width="11.5703125" bestFit="1" customWidth="1"/>
    <col min="13" max="13" width="18.85546875" bestFit="1" customWidth="1"/>
    <col min="14" max="14" width="20.5703125" bestFit="1" customWidth="1"/>
    <col min="15" max="17" width="11.42578125" customWidth="1"/>
    <col min="18" max="18" width="15.5703125" bestFit="1" customWidth="1"/>
    <col min="19" max="19" width="11.7109375" style="38" bestFit="1" customWidth="1"/>
    <col min="20" max="21" width="11.42578125" customWidth="1"/>
    <col min="22" max="22" width="15.28515625" bestFit="1" customWidth="1"/>
    <col min="23" max="24" width="11.42578125" customWidth="1"/>
    <col min="25" max="25" width="15.2851562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722</v>
      </c>
      <c r="S2" s="35" t="s">
        <v>1535</v>
      </c>
      <c r="T2" s="14" t="s">
        <v>630</v>
      </c>
      <c r="U2" s="14" t="s">
        <v>631</v>
      </c>
      <c r="V2" s="14" t="s">
        <v>632</v>
      </c>
      <c r="W2" s="14" t="s">
        <v>633</v>
      </c>
      <c r="X2" s="14" t="s">
        <v>634</v>
      </c>
      <c r="Y2" s="14" t="s">
        <v>635</v>
      </c>
    </row>
    <row r="3" spans="1:25" ht="50.25" customHeight="1" x14ac:dyDescent="0.25">
      <c r="A3" s="391" t="s">
        <v>203</v>
      </c>
      <c r="B3" s="391" t="s">
        <v>204</v>
      </c>
      <c r="C3" s="391" t="s">
        <v>205</v>
      </c>
      <c r="D3" s="391" t="s">
        <v>206</v>
      </c>
      <c r="E3" s="395" t="s">
        <v>207</v>
      </c>
      <c r="F3" s="395" t="s">
        <v>208</v>
      </c>
      <c r="G3" s="395">
        <v>88142004</v>
      </c>
      <c r="H3" s="395"/>
      <c r="I3" s="395"/>
      <c r="J3" s="395"/>
      <c r="K3" s="395"/>
      <c r="L3" s="395">
        <v>0</v>
      </c>
      <c r="M3" s="395">
        <f t="shared" ref="M3:M8" si="0">SUM(G3:L3)</f>
        <v>88142004</v>
      </c>
      <c r="N3" s="389">
        <f>SUM(M3:M8)</f>
        <v>207740004</v>
      </c>
      <c r="O3" s="34" t="s">
        <v>1212</v>
      </c>
      <c r="P3" s="31" t="s">
        <v>1213</v>
      </c>
      <c r="Q3" s="32" t="s">
        <v>1214</v>
      </c>
      <c r="R3" s="33">
        <v>27430282</v>
      </c>
      <c r="S3" s="398">
        <f>R5/M3</f>
        <v>0.3855174656568961</v>
      </c>
      <c r="T3" s="251">
        <v>71</v>
      </c>
      <c r="U3" s="251" t="s">
        <v>1623</v>
      </c>
      <c r="V3" s="252">
        <v>27430282</v>
      </c>
      <c r="W3" s="251">
        <v>266</v>
      </c>
      <c r="X3" s="251" t="s">
        <v>1561</v>
      </c>
      <c r="Y3" s="252">
        <v>27430282</v>
      </c>
    </row>
    <row r="4" spans="1:25" ht="38.25" customHeight="1" x14ac:dyDescent="0.25">
      <c r="A4" s="391"/>
      <c r="B4" s="391"/>
      <c r="C4" s="391"/>
      <c r="D4" s="391"/>
      <c r="E4" s="396"/>
      <c r="F4" s="396"/>
      <c r="G4" s="396"/>
      <c r="H4" s="396"/>
      <c r="I4" s="396"/>
      <c r="J4" s="396"/>
      <c r="K4" s="396"/>
      <c r="L4" s="396"/>
      <c r="M4" s="396"/>
      <c r="N4" s="389"/>
      <c r="O4" s="34" t="s">
        <v>1215</v>
      </c>
      <c r="P4" s="31" t="s">
        <v>1216</v>
      </c>
      <c r="Q4" s="32" t="s">
        <v>1217</v>
      </c>
      <c r="R4" s="33">
        <v>6550000</v>
      </c>
      <c r="S4" s="399"/>
      <c r="T4" s="251">
        <v>278</v>
      </c>
      <c r="U4" s="251" t="s">
        <v>1598</v>
      </c>
      <c r="V4" s="252">
        <v>6550000</v>
      </c>
      <c r="W4" s="251">
        <v>732</v>
      </c>
      <c r="X4" s="251" t="s">
        <v>1630</v>
      </c>
      <c r="Y4" s="252">
        <v>6500000</v>
      </c>
    </row>
    <row r="5" spans="1:25" ht="22.5" customHeight="1" x14ac:dyDescent="0.25">
      <c r="A5" s="391"/>
      <c r="B5" s="391"/>
      <c r="C5" s="391"/>
      <c r="D5" s="391"/>
      <c r="E5" s="397"/>
      <c r="F5" s="397"/>
      <c r="G5" s="397"/>
      <c r="H5" s="397"/>
      <c r="I5" s="397"/>
      <c r="J5" s="397"/>
      <c r="K5" s="397"/>
      <c r="L5" s="397"/>
      <c r="M5" s="397"/>
      <c r="N5" s="389"/>
      <c r="O5" s="76" t="s">
        <v>637</v>
      </c>
      <c r="P5" s="77"/>
      <c r="Q5" s="78"/>
      <c r="R5" s="79">
        <f>SUM(R3:R4)</f>
        <v>33980282</v>
      </c>
      <c r="S5" s="400"/>
      <c r="T5" s="253"/>
      <c r="U5" s="253"/>
      <c r="V5" s="253"/>
      <c r="W5" s="253"/>
      <c r="X5" s="253"/>
      <c r="Y5" s="253"/>
    </row>
    <row r="6" spans="1:25" ht="60" x14ac:dyDescent="0.25">
      <c r="A6" s="391"/>
      <c r="B6" s="391"/>
      <c r="C6" s="391"/>
      <c r="D6" s="391"/>
      <c r="E6" s="26" t="s">
        <v>403</v>
      </c>
      <c r="F6" s="26" t="s">
        <v>404</v>
      </c>
      <c r="G6" s="28">
        <f>71760000</f>
        <v>71760000</v>
      </c>
      <c r="H6" s="28">
        <v>-40845486</v>
      </c>
      <c r="I6" s="28"/>
      <c r="J6" s="28"/>
      <c r="K6" s="28"/>
      <c r="L6" s="28">
        <v>0</v>
      </c>
      <c r="M6" s="28">
        <f t="shared" si="0"/>
        <v>30914514</v>
      </c>
      <c r="N6" s="389"/>
      <c r="O6" s="16"/>
      <c r="P6" s="16"/>
      <c r="Q6" s="16"/>
      <c r="R6" s="16"/>
      <c r="S6" s="37">
        <f>R6/M6</f>
        <v>0</v>
      </c>
      <c r="T6" s="253"/>
      <c r="U6" s="253"/>
      <c r="V6" s="253"/>
      <c r="W6" s="253"/>
      <c r="X6" s="253"/>
      <c r="Y6" s="253"/>
    </row>
    <row r="7" spans="1:25" ht="84" x14ac:dyDescent="0.25">
      <c r="A7" s="391"/>
      <c r="B7" s="391"/>
      <c r="C7" s="391"/>
      <c r="D7" s="391"/>
      <c r="E7" s="26" t="s">
        <v>405</v>
      </c>
      <c r="F7" s="26" t="s">
        <v>406</v>
      </c>
      <c r="G7" s="28">
        <f>7500000</f>
        <v>7500000</v>
      </c>
      <c r="H7" s="28">
        <v>74202000</v>
      </c>
      <c r="I7" s="28"/>
      <c r="J7" s="28"/>
      <c r="K7" s="28"/>
      <c r="L7" s="28">
        <v>0</v>
      </c>
      <c r="M7" s="28">
        <f t="shared" si="0"/>
        <v>81702000</v>
      </c>
      <c r="N7" s="389"/>
      <c r="O7" s="34" t="s">
        <v>1505</v>
      </c>
      <c r="P7" s="31" t="s">
        <v>1506</v>
      </c>
      <c r="Q7" s="32" t="s">
        <v>1507</v>
      </c>
      <c r="R7" s="33">
        <v>81702000</v>
      </c>
      <c r="S7" s="37">
        <f t="shared" ref="S7:S9" si="1">R7/M7</f>
        <v>1</v>
      </c>
      <c r="T7" s="251">
        <v>544</v>
      </c>
      <c r="U7" s="251" t="s">
        <v>1578</v>
      </c>
      <c r="V7" s="252">
        <v>81702000</v>
      </c>
      <c r="W7" s="251">
        <v>2177</v>
      </c>
      <c r="X7" s="251" t="s">
        <v>1573</v>
      </c>
      <c r="Y7" s="252">
        <v>81702000</v>
      </c>
    </row>
    <row r="8" spans="1:25" ht="48.75" thickBot="1" x14ac:dyDescent="0.3">
      <c r="A8" s="391"/>
      <c r="B8" s="391"/>
      <c r="C8" s="391"/>
      <c r="D8" s="391"/>
      <c r="E8" s="26" t="s">
        <v>407</v>
      </c>
      <c r="F8" s="26" t="s">
        <v>408</v>
      </c>
      <c r="G8" s="28">
        <v>6981486</v>
      </c>
      <c r="H8" s="28"/>
      <c r="I8" s="28"/>
      <c r="J8" s="28"/>
      <c r="K8" s="28"/>
      <c r="L8" s="25">
        <v>0</v>
      </c>
      <c r="M8" s="25">
        <f t="shared" si="0"/>
        <v>6981486</v>
      </c>
      <c r="N8" s="390"/>
      <c r="O8" s="47"/>
      <c r="P8" s="47"/>
      <c r="Q8" s="47"/>
      <c r="R8" s="47"/>
      <c r="S8" s="56">
        <f t="shared" si="1"/>
        <v>0</v>
      </c>
      <c r="T8" s="254"/>
      <c r="U8" s="254"/>
      <c r="V8" s="254"/>
      <c r="W8" s="254"/>
      <c r="X8" s="254"/>
      <c r="Y8" s="254"/>
    </row>
    <row r="9" spans="1:25" ht="19.5" thickBot="1" x14ac:dyDescent="0.35">
      <c r="L9" s="48" t="s">
        <v>637</v>
      </c>
      <c r="M9" s="49">
        <f>SUM(M3:M8)</f>
        <v>207740004</v>
      </c>
      <c r="N9" s="50"/>
      <c r="O9" s="50"/>
      <c r="P9" s="50"/>
      <c r="Q9" s="50"/>
      <c r="R9" s="51">
        <f>SUM(R5:R8)</f>
        <v>115682282</v>
      </c>
      <c r="S9" s="93">
        <f t="shared" si="1"/>
        <v>0.55686088270220691</v>
      </c>
      <c r="T9" s="234"/>
      <c r="U9" s="235"/>
      <c r="V9" s="236">
        <f>SUM(V3:V8)</f>
        <v>115682282</v>
      </c>
      <c r="W9" s="235"/>
      <c r="X9" s="235"/>
      <c r="Y9" s="237">
        <f>SUM(Y3:Y8)</f>
        <v>115632282</v>
      </c>
    </row>
  </sheetData>
  <sheetProtection algorithmName="SHA-512" hashValue="p9hAYJyeGSRr4ddOe5M+l1ng6xolYUuYO14gbmrX3I9eDh0wefM43jV+wxG1rdObXzWmCXWuopV5y0kJaTfbpg==" saltValue="ck0EPRLGiKQUVMFmhBTm9A==" spinCount="100000" sheet="1" objects="1" scenarios="1" formatCells="0" formatColumns="0" formatRows="0"/>
  <mergeCells count="15">
    <mergeCell ref="E3:E5"/>
    <mergeCell ref="S3:S5"/>
    <mergeCell ref="N3:N8"/>
    <mergeCell ref="A3:A8"/>
    <mergeCell ref="B3:B8"/>
    <mergeCell ref="C3:C8"/>
    <mergeCell ref="D3:D8"/>
    <mergeCell ref="M3:M5"/>
    <mergeCell ref="L3:L5"/>
    <mergeCell ref="K3:K5"/>
    <mergeCell ref="J3:J5"/>
    <mergeCell ref="I3:I5"/>
    <mergeCell ref="H3:H5"/>
    <mergeCell ref="G3:G5"/>
    <mergeCell ref="F3:F5"/>
  </mergeCells>
  <conditionalFormatting sqref="S1:S3 S6:S1048576">
    <cfRule type="cellIs" dxfId="26" priority="1" operator="between">
      <formula>0.51</formula>
      <formula>0.69</formula>
    </cfRule>
    <cfRule type="cellIs" dxfId="25" priority="2" operator="lessThan">
      <formula>0.5</formula>
    </cfRule>
    <cfRule type="cellIs" dxfId="24" priority="3" operator="greaterThan">
      <formula>0.7</formula>
    </cfRule>
  </conditionalFormatting>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Y133"/>
  <sheetViews>
    <sheetView topLeftCell="G1" zoomScale="70" zoomScaleNormal="70" workbookViewId="0">
      <pane ySplit="1" topLeftCell="A13" activePane="bottomLeft" state="frozen"/>
      <selection activeCell="D1" sqref="D1"/>
      <selection pane="bottomLeft" activeCell="A134" sqref="A134:XFD1048576"/>
    </sheetView>
  </sheetViews>
  <sheetFormatPr baseColWidth="10" defaultColWidth="0" defaultRowHeight="15" zeroHeight="1" x14ac:dyDescent="0.25"/>
  <cols>
    <col min="1" max="2" width="11.42578125" customWidth="1"/>
    <col min="3" max="3" width="25.42578125" customWidth="1"/>
    <col min="4" max="4" width="16.140625" customWidth="1"/>
    <col min="5" max="5" width="11.42578125" customWidth="1"/>
    <col min="6" max="6" width="34.85546875" customWidth="1"/>
    <col min="7" max="7" width="18" customWidth="1"/>
    <col min="8" max="8" width="15.28515625" bestFit="1" customWidth="1"/>
    <col min="9" max="9" width="11.42578125" customWidth="1"/>
    <col min="10" max="10" width="11.5703125" bestFit="1" customWidth="1"/>
    <col min="11" max="11" width="13.85546875" bestFit="1" customWidth="1"/>
    <col min="12" max="12" width="15.28515625" bestFit="1" customWidth="1"/>
    <col min="13" max="13" width="19.5703125" bestFit="1" customWidth="1"/>
    <col min="14" max="14" width="15.7109375" bestFit="1" customWidth="1"/>
    <col min="15" max="15" width="48.7109375" customWidth="1"/>
    <col min="16" max="17" width="11.42578125" customWidth="1"/>
    <col min="18" max="18" width="15.5703125" bestFit="1" customWidth="1"/>
    <col min="19" max="19" width="13.140625" style="38" customWidth="1"/>
    <col min="20" max="21" width="11.42578125" customWidth="1"/>
    <col min="22" max="22" width="19.5703125" bestFit="1" customWidth="1"/>
    <col min="23" max="24" width="11.42578125" customWidth="1"/>
    <col min="25" max="25" width="20.140625" bestFit="1" customWidth="1"/>
    <col min="26" max="16384" width="11.42578125" hidden="1"/>
  </cols>
  <sheetData>
    <row r="1" spans="1:25" ht="89.2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4" t="s">
        <v>636</v>
      </c>
      <c r="P1" s="14" t="s">
        <v>628</v>
      </c>
      <c r="Q1" s="14" t="s">
        <v>629</v>
      </c>
      <c r="R1" s="14" t="s">
        <v>743</v>
      </c>
      <c r="S1" s="35" t="s">
        <v>1535</v>
      </c>
      <c r="T1" s="14" t="s">
        <v>630</v>
      </c>
      <c r="U1" s="14" t="s">
        <v>631</v>
      </c>
      <c r="V1" s="14" t="s">
        <v>632</v>
      </c>
      <c r="W1" s="14" t="s">
        <v>633</v>
      </c>
      <c r="X1" s="14" t="s">
        <v>634</v>
      </c>
      <c r="Y1" s="14" t="s">
        <v>635</v>
      </c>
    </row>
    <row r="2" spans="1:25" ht="45" x14ac:dyDescent="0.25">
      <c r="A2" s="408" t="s">
        <v>209</v>
      </c>
      <c r="B2" s="408" t="s">
        <v>210</v>
      </c>
      <c r="C2" s="408" t="s">
        <v>211</v>
      </c>
      <c r="D2" s="408" t="s">
        <v>212</v>
      </c>
      <c r="E2" s="408" t="s">
        <v>213</v>
      </c>
      <c r="F2" s="408" t="s">
        <v>214</v>
      </c>
      <c r="G2" s="408">
        <v>533539505</v>
      </c>
      <c r="H2" s="408"/>
      <c r="I2" s="408"/>
      <c r="J2" s="408"/>
      <c r="K2" s="408"/>
      <c r="L2" s="408">
        <v>0</v>
      </c>
      <c r="M2" s="408">
        <f t="shared" ref="M2" si="0">SUM(G2:L2)</f>
        <v>533539505</v>
      </c>
      <c r="N2" s="405">
        <f>+M2</f>
        <v>533539505</v>
      </c>
      <c r="O2" s="278" t="s">
        <v>1281</v>
      </c>
      <c r="P2" s="67" t="s">
        <v>1282</v>
      </c>
      <c r="Q2" s="32" t="s">
        <v>1283</v>
      </c>
      <c r="R2" s="75">
        <v>16669520</v>
      </c>
      <c r="S2" s="404">
        <f>R19/N2</f>
        <v>0.42744193422003496</v>
      </c>
      <c r="T2" s="116">
        <v>238</v>
      </c>
      <c r="U2" s="116" t="s">
        <v>1626</v>
      </c>
      <c r="V2" s="117">
        <v>16669520</v>
      </c>
      <c r="W2" s="116">
        <v>620</v>
      </c>
      <c r="X2" s="116" t="s">
        <v>1627</v>
      </c>
      <c r="Y2" s="117">
        <v>16424380</v>
      </c>
    </row>
    <row r="3" spans="1:25" ht="105" x14ac:dyDescent="0.25">
      <c r="A3" s="409"/>
      <c r="B3" s="409"/>
      <c r="C3" s="409"/>
      <c r="D3" s="409"/>
      <c r="E3" s="409"/>
      <c r="F3" s="409"/>
      <c r="G3" s="409"/>
      <c r="H3" s="409"/>
      <c r="I3" s="409"/>
      <c r="J3" s="409"/>
      <c r="K3" s="409"/>
      <c r="L3" s="409"/>
      <c r="M3" s="409"/>
      <c r="N3" s="406"/>
      <c r="O3" s="278" t="s">
        <v>1284</v>
      </c>
      <c r="P3" s="67" t="s">
        <v>1285</v>
      </c>
      <c r="Q3" s="32" t="s">
        <v>1286</v>
      </c>
      <c r="R3" s="75">
        <v>18496000</v>
      </c>
      <c r="S3" s="404"/>
      <c r="T3" s="116">
        <v>241</v>
      </c>
      <c r="U3" s="116" t="s">
        <v>1626</v>
      </c>
      <c r="V3" s="117">
        <v>18496000</v>
      </c>
      <c r="W3" s="116">
        <v>698</v>
      </c>
      <c r="X3" s="116" t="s">
        <v>1599</v>
      </c>
      <c r="Y3" s="117">
        <v>17680000</v>
      </c>
    </row>
    <row r="4" spans="1:25" ht="60" x14ac:dyDescent="0.25">
      <c r="A4" s="409"/>
      <c r="B4" s="409"/>
      <c r="C4" s="409"/>
      <c r="D4" s="409"/>
      <c r="E4" s="409"/>
      <c r="F4" s="409"/>
      <c r="G4" s="409"/>
      <c r="H4" s="409"/>
      <c r="I4" s="409"/>
      <c r="J4" s="409"/>
      <c r="K4" s="409"/>
      <c r="L4" s="409"/>
      <c r="M4" s="409"/>
      <c r="N4" s="406"/>
      <c r="O4" s="278" t="s">
        <v>1287</v>
      </c>
      <c r="P4" s="67" t="s">
        <v>1288</v>
      </c>
      <c r="Q4" s="32" t="s">
        <v>1289</v>
      </c>
      <c r="R4" s="75">
        <v>16184000</v>
      </c>
      <c r="S4" s="404"/>
      <c r="T4" s="116">
        <v>244</v>
      </c>
      <c r="U4" s="116" t="s">
        <v>1626</v>
      </c>
      <c r="V4" s="117">
        <v>16184000</v>
      </c>
      <c r="W4" s="116">
        <v>716</v>
      </c>
      <c r="X4" s="116" t="s">
        <v>1599</v>
      </c>
      <c r="Y4" s="117">
        <v>15589000</v>
      </c>
    </row>
    <row r="5" spans="1:25" ht="105" x14ac:dyDescent="0.25">
      <c r="A5" s="409"/>
      <c r="B5" s="409"/>
      <c r="C5" s="409"/>
      <c r="D5" s="409"/>
      <c r="E5" s="409"/>
      <c r="F5" s="409"/>
      <c r="G5" s="409"/>
      <c r="H5" s="409"/>
      <c r="I5" s="409"/>
      <c r="J5" s="409"/>
      <c r="K5" s="409"/>
      <c r="L5" s="409"/>
      <c r="M5" s="409"/>
      <c r="N5" s="406"/>
      <c r="O5" s="278" t="s">
        <v>1290</v>
      </c>
      <c r="P5" s="67" t="s">
        <v>1291</v>
      </c>
      <c r="Q5" s="32" t="s">
        <v>1292</v>
      </c>
      <c r="R5" s="75">
        <v>14288160</v>
      </c>
      <c r="S5" s="404"/>
      <c r="T5" s="116">
        <v>243</v>
      </c>
      <c r="U5" s="116" t="s">
        <v>1626</v>
      </c>
      <c r="V5" s="117">
        <v>14288160</v>
      </c>
      <c r="W5" s="116">
        <v>715</v>
      </c>
      <c r="X5" s="116" t="s">
        <v>1599</v>
      </c>
      <c r="Y5" s="117">
        <v>13762860</v>
      </c>
    </row>
    <row r="6" spans="1:25" ht="75" x14ac:dyDescent="0.25">
      <c r="A6" s="409"/>
      <c r="B6" s="409"/>
      <c r="C6" s="409"/>
      <c r="D6" s="409"/>
      <c r="E6" s="409"/>
      <c r="F6" s="409"/>
      <c r="G6" s="409"/>
      <c r="H6" s="409"/>
      <c r="I6" s="409"/>
      <c r="J6" s="409"/>
      <c r="K6" s="409"/>
      <c r="L6" s="409"/>
      <c r="M6" s="409"/>
      <c r="N6" s="406"/>
      <c r="O6" s="278" t="s">
        <v>1293</v>
      </c>
      <c r="P6" s="67" t="s">
        <v>1294</v>
      </c>
      <c r="Q6" s="32" t="s">
        <v>1295</v>
      </c>
      <c r="R6" s="75">
        <v>8830083</v>
      </c>
      <c r="S6" s="404"/>
      <c r="T6" s="116">
        <v>246</v>
      </c>
      <c r="U6" s="116" t="s">
        <v>1626</v>
      </c>
      <c r="V6" s="117">
        <v>8830083</v>
      </c>
      <c r="W6" s="116">
        <v>714</v>
      </c>
      <c r="X6" s="116" t="s">
        <v>1599</v>
      </c>
      <c r="Y6" s="117">
        <v>8505447</v>
      </c>
    </row>
    <row r="7" spans="1:25" ht="30" x14ac:dyDescent="0.25">
      <c r="A7" s="409"/>
      <c r="B7" s="409"/>
      <c r="C7" s="409"/>
      <c r="D7" s="409"/>
      <c r="E7" s="409"/>
      <c r="F7" s="409"/>
      <c r="G7" s="409"/>
      <c r="H7" s="409"/>
      <c r="I7" s="409"/>
      <c r="J7" s="409"/>
      <c r="K7" s="409"/>
      <c r="L7" s="409"/>
      <c r="M7" s="409"/>
      <c r="N7" s="406"/>
      <c r="O7" s="278" t="s">
        <v>1296</v>
      </c>
      <c r="P7" s="67" t="s">
        <v>1297</v>
      </c>
      <c r="Q7" s="32" t="s">
        <v>1298</v>
      </c>
      <c r="R7" s="75">
        <v>14288160</v>
      </c>
      <c r="S7" s="404"/>
      <c r="T7" s="116">
        <v>245</v>
      </c>
      <c r="U7" s="116" t="s">
        <v>1626</v>
      </c>
      <c r="V7" s="117">
        <v>14288160</v>
      </c>
      <c r="W7" s="116">
        <v>712</v>
      </c>
      <c r="X7" s="116" t="s">
        <v>1599</v>
      </c>
      <c r="Y7" s="117">
        <v>13762860</v>
      </c>
    </row>
    <row r="8" spans="1:25" ht="45" x14ac:dyDescent="0.25">
      <c r="A8" s="409"/>
      <c r="B8" s="409"/>
      <c r="C8" s="409"/>
      <c r="D8" s="409"/>
      <c r="E8" s="409"/>
      <c r="F8" s="409"/>
      <c r="G8" s="409"/>
      <c r="H8" s="409"/>
      <c r="I8" s="409"/>
      <c r="J8" s="409"/>
      <c r="K8" s="409"/>
      <c r="L8" s="409"/>
      <c r="M8" s="409"/>
      <c r="N8" s="406"/>
      <c r="O8" s="278" t="s">
        <v>1299</v>
      </c>
      <c r="P8" s="67" t="s">
        <v>1300</v>
      </c>
      <c r="Q8" s="32" t="s">
        <v>1301</v>
      </c>
      <c r="R8" s="75">
        <v>16669520</v>
      </c>
      <c r="S8" s="404"/>
      <c r="T8" s="116">
        <v>240</v>
      </c>
      <c r="U8" s="116" t="s">
        <v>1626</v>
      </c>
      <c r="V8" s="117">
        <v>16669520</v>
      </c>
      <c r="W8" s="116">
        <v>699</v>
      </c>
      <c r="X8" s="116" t="s">
        <v>1599</v>
      </c>
      <c r="Y8" s="117">
        <v>15934100</v>
      </c>
    </row>
    <row r="9" spans="1:25" ht="60" x14ac:dyDescent="0.25">
      <c r="A9" s="409"/>
      <c r="B9" s="409"/>
      <c r="C9" s="409"/>
      <c r="D9" s="409"/>
      <c r="E9" s="409"/>
      <c r="F9" s="409"/>
      <c r="G9" s="409"/>
      <c r="H9" s="409"/>
      <c r="I9" s="409"/>
      <c r="J9" s="409"/>
      <c r="K9" s="409"/>
      <c r="L9" s="409"/>
      <c r="M9" s="409"/>
      <c r="N9" s="406"/>
      <c r="O9" s="278" t="s">
        <v>1302</v>
      </c>
      <c r="P9" s="67" t="s">
        <v>1303</v>
      </c>
      <c r="Q9" s="32" t="s">
        <v>1304</v>
      </c>
      <c r="R9" s="75">
        <v>18496000</v>
      </c>
      <c r="S9" s="404"/>
      <c r="T9" s="116">
        <v>239</v>
      </c>
      <c r="U9" s="116" t="s">
        <v>1626</v>
      </c>
      <c r="V9" s="117">
        <v>18496000</v>
      </c>
      <c r="W9" s="116">
        <v>622</v>
      </c>
      <c r="X9" s="116" t="s">
        <v>1627</v>
      </c>
      <c r="Y9" s="117">
        <v>18224000</v>
      </c>
    </row>
    <row r="10" spans="1:25" ht="75" x14ac:dyDescent="0.25">
      <c r="A10" s="409"/>
      <c r="B10" s="409"/>
      <c r="C10" s="409"/>
      <c r="D10" s="409"/>
      <c r="E10" s="409"/>
      <c r="F10" s="409"/>
      <c r="G10" s="409"/>
      <c r="H10" s="409"/>
      <c r="I10" s="409"/>
      <c r="J10" s="409"/>
      <c r="K10" s="409"/>
      <c r="L10" s="409"/>
      <c r="M10" s="409"/>
      <c r="N10" s="406"/>
      <c r="O10" s="278" t="s">
        <v>1305</v>
      </c>
      <c r="P10" s="67" t="s">
        <v>1306</v>
      </c>
      <c r="Q10" s="32" t="s">
        <v>1307</v>
      </c>
      <c r="R10" s="75">
        <v>13872000</v>
      </c>
      <c r="S10" s="404"/>
      <c r="T10" s="116">
        <v>247</v>
      </c>
      <c r="U10" s="116" t="s">
        <v>1626</v>
      </c>
      <c r="V10" s="117">
        <v>13872000</v>
      </c>
      <c r="W10" s="116">
        <v>713</v>
      </c>
      <c r="X10" s="116" t="s">
        <v>1599</v>
      </c>
      <c r="Y10" s="117">
        <v>13362000</v>
      </c>
    </row>
    <row r="11" spans="1:25" ht="105" x14ac:dyDescent="0.25">
      <c r="A11" s="409"/>
      <c r="B11" s="409"/>
      <c r="C11" s="409"/>
      <c r="D11" s="409"/>
      <c r="E11" s="409"/>
      <c r="F11" s="409"/>
      <c r="G11" s="409"/>
      <c r="H11" s="409"/>
      <c r="I11" s="409"/>
      <c r="J11" s="409"/>
      <c r="K11" s="409"/>
      <c r="L11" s="409"/>
      <c r="M11" s="409"/>
      <c r="N11" s="406"/>
      <c r="O11" s="278" t="s">
        <v>1308</v>
      </c>
      <c r="P11" s="67" t="s">
        <v>1309</v>
      </c>
      <c r="Q11" s="32" t="s">
        <v>1310</v>
      </c>
      <c r="R11" s="75">
        <v>15240704</v>
      </c>
      <c r="S11" s="404"/>
      <c r="T11" s="116">
        <v>242</v>
      </c>
      <c r="U11" s="116" t="s">
        <v>1626</v>
      </c>
      <c r="V11" s="117">
        <v>15240704</v>
      </c>
      <c r="W11" s="116">
        <v>623</v>
      </c>
      <c r="X11" s="116" t="s">
        <v>1627</v>
      </c>
      <c r="Y11" s="117">
        <v>15016576</v>
      </c>
    </row>
    <row r="12" spans="1:25" ht="135" x14ac:dyDescent="0.25">
      <c r="A12" s="409"/>
      <c r="B12" s="409"/>
      <c r="C12" s="409"/>
      <c r="D12" s="409"/>
      <c r="E12" s="409"/>
      <c r="F12" s="409"/>
      <c r="G12" s="409"/>
      <c r="H12" s="409"/>
      <c r="I12" s="409"/>
      <c r="J12" s="409"/>
      <c r="K12" s="409"/>
      <c r="L12" s="409"/>
      <c r="M12" s="409"/>
      <c r="N12" s="406"/>
      <c r="O12" s="278" t="s">
        <v>1311</v>
      </c>
      <c r="P12" s="67" t="s">
        <v>41</v>
      </c>
      <c r="Q12" s="32" t="s">
        <v>1312</v>
      </c>
      <c r="R12" s="75">
        <v>12448080</v>
      </c>
      <c r="S12" s="404"/>
      <c r="T12" s="116">
        <v>376</v>
      </c>
      <c r="U12" s="116" t="s">
        <v>1562</v>
      </c>
      <c r="V12" s="117">
        <v>12448080</v>
      </c>
      <c r="W12" s="116">
        <v>1404</v>
      </c>
      <c r="X12" s="116" t="s">
        <v>1674</v>
      </c>
      <c r="Y12" s="117">
        <v>11756520</v>
      </c>
    </row>
    <row r="13" spans="1:25" ht="165" x14ac:dyDescent="0.25">
      <c r="A13" s="409"/>
      <c r="B13" s="409"/>
      <c r="C13" s="409"/>
      <c r="D13" s="409"/>
      <c r="E13" s="409"/>
      <c r="F13" s="409"/>
      <c r="G13" s="409"/>
      <c r="H13" s="409"/>
      <c r="I13" s="409"/>
      <c r="J13" s="409"/>
      <c r="K13" s="409"/>
      <c r="L13" s="409"/>
      <c r="M13" s="409"/>
      <c r="N13" s="406"/>
      <c r="O13" s="278" t="s">
        <v>1313</v>
      </c>
      <c r="P13" s="67" t="s">
        <v>46</v>
      </c>
      <c r="Q13" s="32" t="s">
        <v>1314</v>
      </c>
      <c r="R13" s="75">
        <v>16941738</v>
      </c>
      <c r="S13" s="404"/>
      <c r="T13" s="116">
        <v>377</v>
      </c>
      <c r="U13" s="116" t="s">
        <v>1562</v>
      </c>
      <c r="V13" s="117">
        <v>16941738</v>
      </c>
      <c r="W13" s="116">
        <v>1413</v>
      </c>
      <c r="X13" s="116" t="s">
        <v>1674</v>
      </c>
      <c r="Y13" s="117">
        <v>15906087</v>
      </c>
    </row>
    <row r="14" spans="1:25" ht="105" x14ac:dyDescent="0.25">
      <c r="A14" s="409"/>
      <c r="B14" s="409"/>
      <c r="C14" s="409"/>
      <c r="D14" s="409"/>
      <c r="E14" s="409"/>
      <c r="F14" s="409"/>
      <c r="G14" s="409"/>
      <c r="H14" s="409"/>
      <c r="I14" s="409"/>
      <c r="J14" s="409"/>
      <c r="K14" s="409"/>
      <c r="L14" s="409"/>
      <c r="M14" s="409"/>
      <c r="N14" s="406"/>
      <c r="O14" s="278" t="s">
        <v>1315</v>
      </c>
      <c r="P14" s="67" t="s">
        <v>601</v>
      </c>
      <c r="Q14" s="32" t="s">
        <v>1316</v>
      </c>
      <c r="R14" s="75">
        <v>11089860</v>
      </c>
      <c r="S14" s="404"/>
      <c r="T14" s="122">
        <v>456</v>
      </c>
      <c r="U14" s="116" t="s">
        <v>1564</v>
      </c>
      <c r="V14" s="117">
        <v>11089860</v>
      </c>
      <c r="W14" s="116">
        <v>1986</v>
      </c>
      <c r="X14" s="116" t="s">
        <v>1675</v>
      </c>
      <c r="Y14" s="117">
        <v>6723840</v>
      </c>
    </row>
    <row r="15" spans="1:25" ht="60" x14ac:dyDescent="0.25">
      <c r="A15" s="409"/>
      <c r="B15" s="409"/>
      <c r="C15" s="409"/>
      <c r="D15" s="409"/>
      <c r="E15" s="409"/>
      <c r="F15" s="409"/>
      <c r="G15" s="409"/>
      <c r="H15" s="409"/>
      <c r="I15" s="409"/>
      <c r="J15" s="409"/>
      <c r="K15" s="409"/>
      <c r="L15" s="409"/>
      <c r="M15" s="409"/>
      <c r="N15" s="406"/>
      <c r="O15" s="278" t="s">
        <v>1317</v>
      </c>
      <c r="P15" s="67" t="s">
        <v>603</v>
      </c>
      <c r="Q15" s="32" t="s">
        <v>1318</v>
      </c>
      <c r="R15" s="75">
        <v>12870000</v>
      </c>
      <c r="S15" s="404"/>
      <c r="T15" s="122">
        <v>443</v>
      </c>
      <c r="U15" s="116" t="s">
        <v>1634</v>
      </c>
      <c r="V15" s="117">
        <v>12870000</v>
      </c>
      <c r="W15" s="116">
        <v>1499</v>
      </c>
      <c r="X15" s="116" t="s">
        <v>1636</v>
      </c>
      <c r="Y15" s="117">
        <v>11960000</v>
      </c>
    </row>
    <row r="16" spans="1:25" ht="75" x14ac:dyDescent="0.25">
      <c r="A16" s="409"/>
      <c r="B16" s="409"/>
      <c r="C16" s="409"/>
      <c r="D16" s="409"/>
      <c r="E16" s="409"/>
      <c r="F16" s="409"/>
      <c r="G16" s="409"/>
      <c r="H16" s="409"/>
      <c r="I16" s="409"/>
      <c r="J16" s="409"/>
      <c r="K16" s="409"/>
      <c r="L16" s="409"/>
      <c r="M16" s="409"/>
      <c r="N16" s="406"/>
      <c r="O16" s="278" t="s">
        <v>1319</v>
      </c>
      <c r="P16" s="67" t="s">
        <v>1320</v>
      </c>
      <c r="Q16" s="32" t="s">
        <v>1321</v>
      </c>
      <c r="R16" s="75">
        <v>6673333</v>
      </c>
      <c r="S16" s="404"/>
      <c r="T16" s="116">
        <v>473</v>
      </c>
      <c r="U16" s="116" t="s">
        <v>1645</v>
      </c>
      <c r="V16" s="117">
        <v>6673333</v>
      </c>
      <c r="W16" s="116">
        <v>1920</v>
      </c>
      <c r="X16" s="116" t="s">
        <v>1595</v>
      </c>
      <c r="Y16" s="117">
        <v>5280000</v>
      </c>
    </row>
    <row r="17" spans="1:25" ht="105" x14ac:dyDescent="0.25">
      <c r="A17" s="409"/>
      <c r="B17" s="409"/>
      <c r="C17" s="409"/>
      <c r="D17" s="409"/>
      <c r="E17" s="409"/>
      <c r="F17" s="409"/>
      <c r="G17" s="409"/>
      <c r="H17" s="409"/>
      <c r="I17" s="409"/>
      <c r="J17" s="409"/>
      <c r="K17" s="409"/>
      <c r="L17" s="409"/>
      <c r="M17" s="409"/>
      <c r="N17" s="406"/>
      <c r="O17" s="278" t="s">
        <v>1322</v>
      </c>
      <c r="P17" s="67" t="s">
        <v>1323</v>
      </c>
      <c r="Q17" s="32" t="s">
        <v>1324</v>
      </c>
      <c r="R17" s="75">
        <v>7500000</v>
      </c>
      <c r="S17" s="404"/>
      <c r="T17" s="116">
        <v>716</v>
      </c>
      <c r="U17" s="116" t="s">
        <v>1585</v>
      </c>
      <c r="V17" s="117">
        <v>7500000</v>
      </c>
      <c r="W17" s="116">
        <v>2642</v>
      </c>
      <c r="X17" s="116" t="s">
        <v>1594</v>
      </c>
      <c r="Y17" s="117">
        <v>7500000</v>
      </c>
    </row>
    <row r="18" spans="1:25" ht="150" x14ac:dyDescent="0.25">
      <c r="A18" s="409"/>
      <c r="B18" s="409"/>
      <c r="C18" s="409"/>
      <c r="D18" s="409"/>
      <c r="E18" s="409"/>
      <c r="F18" s="409"/>
      <c r="G18" s="409"/>
      <c r="H18" s="409"/>
      <c r="I18" s="409"/>
      <c r="J18" s="409"/>
      <c r="K18" s="409"/>
      <c r="L18" s="409"/>
      <c r="M18" s="409"/>
      <c r="N18" s="406"/>
      <c r="O18" s="278" t="s">
        <v>1325</v>
      </c>
      <c r="P18" s="67" t="s">
        <v>1326</v>
      </c>
      <c r="Q18" s="32" t="s">
        <v>1327</v>
      </c>
      <c r="R18" s="75">
        <v>7500000</v>
      </c>
      <c r="S18" s="404"/>
      <c r="T18" s="116">
        <v>717</v>
      </c>
      <c r="U18" s="116" t="s">
        <v>1585</v>
      </c>
      <c r="V18" s="117">
        <v>7500000</v>
      </c>
      <c r="W18" s="116">
        <v>2632</v>
      </c>
      <c r="X18" s="116" t="s">
        <v>1594</v>
      </c>
      <c r="Y18" s="117">
        <v>7500000</v>
      </c>
    </row>
    <row r="19" spans="1:25" x14ac:dyDescent="0.25">
      <c r="A19" s="410"/>
      <c r="B19" s="410"/>
      <c r="C19" s="410"/>
      <c r="D19" s="410"/>
      <c r="E19" s="410"/>
      <c r="F19" s="410"/>
      <c r="G19" s="410"/>
      <c r="H19" s="410"/>
      <c r="I19" s="410"/>
      <c r="J19" s="410"/>
      <c r="K19" s="410"/>
      <c r="L19" s="410"/>
      <c r="M19" s="410"/>
      <c r="N19" s="407"/>
      <c r="O19" s="20" t="s">
        <v>637</v>
      </c>
      <c r="P19" s="21"/>
      <c r="Q19" s="21"/>
      <c r="R19" s="22">
        <f>SUM(R2:R18)</f>
        <v>228057158</v>
      </c>
      <c r="S19" s="404"/>
      <c r="T19" s="116"/>
      <c r="U19" s="116"/>
      <c r="V19" s="116"/>
      <c r="W19" s="116"/>
      <c r="X19" s="116"/>
      <c r="Y19" s="116"/>
    </row>
    <row r="20" spans="1:25" ht="96" customHeight="1" x14ac:dyDescent="0.3">
      <c r="A20" s="329" t="s">
        <v>215</v>
      </c>
      <c r="B20" s="329" t="s">
        <v>216</v>
      </c>
      <c r="C20" s="329" t="s">
        <v>217</v>
      </c>
      <c r="D20" s="329" t="s">
        <v>212</v>
      </c>
      <c r="E20" s="306" t="s">
        <v>218</v>
      </c>
      <c r="F20" s="307" t="s">
        <v>219</v>
      </c>
      <c r="G20" s="308">
        <v>171771812</v>
      </c>
      <c r="H20" s="308"/>
      <c r="I20" s="308"/>
      <c r="J20" s="308"/>
      <c r="K20" s="308"/>
      <c r="L20" s="308"/>
      <c r="M20" s="308">
        <f t="shared" ref="M20:M93" si="1">SUM(G20:L20)</f>
        <v>171771812</v>
      </c>
      <c r="N20" s="411">
        <f>SUM(M20:M82)</f>
        <v>1019374628</v>
      </c>
      <c r="O20" s="109"/>
      <c r="P20" s="109"/>
      <c r="Q20" s="109"/>
      <c r="R20" s="109"/>
      <c r="S20" s="89">
        <f>R20/M20</f>
        <v>0</v>
      </c>
      <c r="T20" s="116"/>
      <c r="U20" s="116"/>
      <c r="V20" s="116"/>
      <c r="W20" s="116"/>
      <c r="X20" s="116"/>
      <c r="Y20" s="116"/>
    </row>
    <row r="21" spans="1:25" ht="99.75" x14ac:dyDescent="0.3">
      <c r="A21" s="329"/>
      <c r="B21" s="329"/>
      <c r="C21" s="329"/>
      <c r="D21" s="329"/>
      <c r="E21" s="306" t="s">
        <v>61</v>
      </c>
      <c r="F21" s="307" t="s">
        <v>476</v>
      </c>
      <c r="G21" s="308">
        <v>0</v>
      </c>
      <c r="H21" s="308"/>
      <c r="I21" s="308">
        <v>0</v>
      </c>
      <c r="J21" s="308"/>
      <c r="K21" s="308">
        <v>652000</v>
      </c>
      <c r="L21" s="308"/>
      <c r="M21" s="308">
        <f t="shared" si="1"/>
        <v>652000</v>
      </c>
      <c r="N21" s="411"/>
      <c r="O21" s="109"/>
      <c r="P21" s="109"/>
      <c r="Q21" s="109"/>
      <c r="R21" s="109"/>
      <c r="S21" s="89">
        <f t="shared" ref="S21:S63" si="2">R21/M21</f>
        <v>0</v>
      </c>
      <c r="T21" s="116"/>
      <c r="U21" s="116"/>
      <c r="V21" s="116"/>
      <c r="W21" s="116"/>
      <c r="X21" s="116"/>
      <c r="Y21" s="116"/>
    </row>
    <row r="22" spans="1:25" ht="85.5" x14ac:dyDescent="0.3">
      <c r="A22" s="329"/>
      <c r="B22" s="329"/>
      <c r="C22" s="329"/>
      <c r="D22" s="329"/>
      <c r="E22" s="306" t="s">
        <v>61</v>
      </c>
      <c r="F22" s="307" t="s">
        <v>477</v>
      </c>
      <c r="G22" s="308">
        <v>0</v>
      </c>
      <c r="H22" s="308"/>
      <c r="I22" s="308">
        <v>0</v>
      </c>
      <c r="J22" s="308"/>
      <c r="K22" s="308">
        <v>291000</v>
      </c>
      <c r="L22" s="308"/>
      <c r="M22" s="308">
        <f t="shared" si="1"/>
        <v>291000</v>
      </c>
      <c r="N22" s="411"/>
      <c r="O22" s="109"/>
      <c r="P22" s="109"/>
      <c r="Q22" s="109"/>
      <c r="R22" s="109"/>
      <c r="S22" s="89">
        <f t="shared" si="2"/>
        <v>0</v>
      </c>
      <c r="T22" s="116"/>
      <c r="U22" s="116"/>
      <c r="V22" s="116"/>
      <c r="W22" s="116"/>
      <c r="X22" s="116"/>
      <c r="Y22" s="116"/>
    </row>
    <row r="23" spans="1:25" ht="85.5" x14ac:dyDescent="0.3">
      <c r="A23" s="329"/>
      <c r="B23" s="329"/>
      <c r="C23" s="329"/>
      <c r="D23" s="329"/>
      <c r="E23" s="306" t="s">
        <v>61</v>
      </c>
      <c r="F23" s="307" t="s">
        <v>478</v>
      </c>
      <c r="G23" s="308">
        <v>0</v>
      </c>
      <c r="H23" s="308"/>
      <c r="I23" s="308">
        <v>0</v>
      </c>
      <c r="J23" s="308"/>
      <c r="K23" s="308">
        <v>85000</v>
      </c>
      <c r="L23" s="308"/>
      <c r="M23" s="308">
        <f t="shared" si="1"/>
        <v>85000</v>
      </c>
      <c r="N23" s="411"/>
      <c r="O23" s="109"/>
      <c r="P23" s="109"/>
      <c r="Q23" s="109"/>
      <c r="R23" s="109"/>
      <c r="S23" s="89">
        <f t="shared" si="2"/>
        <v>0</v>
      </c>
      <c r="T23" s="116"/>
      <c r="U23" s="116"/>
      <c r="V23" s="116"/>
      <c r="W23" s="116"/>
      <c r="X23" s="116"/>
      <c r="Y23" s="116"/>
    </row>
    <row r="24" spans="1:25" ht="85.5" x14ac:dyDescent="0.3">
      <c r="A24" s="329"/>
      <c r="B24" s="329"/>
      <c r="C24" s="329"/>
      <c r="D24" s="329"/>
      <c r="E24" s="306" t="s">
        <v>61</v>
      </c>
      <c r="F24" s="307" t="s">
        <v>479</v>
      </c>
      <c r="G24" s="308">
        <v>0</v>
      </c>
      <c r="H24" s="308"/>
      <c r="I24" s="308">
        <v>0</v>
      </c>
      <c r="J24" s="308"/>
      <c r="K24" s="308">
        <v>85000</v>
      </c>
      <c r="L24" s="308"/>
      <c r="M24" s="308">
        <f t="shared" si="1"/>
        <v>85000</v>
      </c>
      <c r="N24" s="411"/>
      <c r="O24" s="109"/>
      <c r="P24" s="109"/>
      <c r="Q24" s="109"/>
      <c r="R24" s="109"/>
      <c r="S24" s="89">
        <f t="shared" si="2"/>
        <v>0</v>
      </c>
      <c r="T24" s="116"/>
      <c r="U24" s="116"/>
      <c r="V24" s="116"/>
      <c r="W24" s="116"/>
      <c r="X24" s="116"/>
      <c r="Y24" s="116"/>
    </row>
    <row r="25" spans="1:25" ht="85.5" x14ac:dyDescent="0.3">
      <c r="A25" s="329"/>
      <c r="B25" s="329"/>
      <c r="C25" s="329"/>
      <c r="D25" s="329"/>
      <c r="E25" s="306" t="s">
        <v>61</v>
      </c>
      <c r="F25" s="307" t="s">
        <v>480</v>
      </c>
      <c r="G25" s="308">
        <v>0</v>
      </c>
      <c r="H25" s="308"/>
      <c r="I25" s="308">
        <v>0</v>
      </c>
      <c r="J25" s="308"/>
      <c r="K25" s="308">
        <v>600000</v>
      </c>
      <c r="L25" s="308"/>
      <c r="M25" s="308">
        <f t="shared" si="1"/>
        <v>600000</v>
      </c>
      <c r="N25" s="411"/>
      <c r="O25" s="109"/>
      <c r="P25" s="109"/>
      <c r="Q25" s="109"/>
      <c r="R25" s="109"/>
      <c r="S25" s="89">
        <f t="shared" si="2"/>
        <v>0</v>
      </c>
      <c r="T25" s="116"/>
      <c r="U25" s="116"/>
      <c r="V25" s="116"/>
      <c r="W25" s="116"/>
      <c r="X25" s="116"/>
      <c r="Y25" s="116"/>
    </row>
    <row r="26" spans="1:25" ht="85.5" x14ac:dyDescent="0.3">
      <c r="A26" s="329"/>
      <c r="B26" s="329"/>
      <c r="C26" s="329"/>
      <c r="D26" s="329"/>
      <c r="E26" s="306" t="s">
        <v>61</v>
      </c>
      <c r="F26" s="307" t="s">
        <v>481</v>
      </c>
      <c r="G26" s="308">
        <v>0</v>
      </c>
      <c r="H26" s="308"/>
      <c r="I26" s="308">
        <v>0</v>
      </c>
      <c r="J26" s="308"/>
      <c r="K26" s="308">
        <v>257893</v>
      </c>
      <c r="L26" s="308"/>
      <c r="M26" s="308">
        <f t="shared" si="1"/>
        <v>257893</v>
      </c>
      <c r="N26" s="411"/>
      <c r="O26" s="109"/>
      <c r="P26" s="109"/>
      <c r="Q26" s="109"/>
      <c r="R26" s="109"/>
      <c r="S26" s="89">
        <f t="shared" si="2"/>
        <v>0</v>
      </c>
      <c r="T26" s="116"/>
      <c r="U26" s="116"/>
      <c r="V26" s="116"/>
      <c r="W26" s="116"/>
      <c r="X26" s="116"/>
      <c r="Y26" s="116"/>
    </row>
    <row r="27" spans="1:25" ht="85.5" x14ac:dyDescent="0.3">
      <c r="A27" s="329"/>
      <c r="B27" s="329"/>
      <c r="C27" s="329"/>
      <c r="D27" s="329"/>
      <c r="E27" s="306" t="s">
        <v>61</v>
      </c>
      <c r="F27" s="307" t="s">
        <v>482</v>
      </c>
      <c r="G27" s="308">
        <v>0</v>
      </c>
      <c r="H27" s="308"/>
      <c r="I27" s="308">
        <v>0</v>
      </c>
      <c r="J27" s="308"/>
      <c r="K27" s="308">
        <v>124000</v>
      </c>
      <c r="L27" s="308"/>
      <c r="M27" s="308">
        <f t="shared" si="1"/>
        <v>124000</v>
      </c>
      <c r="N27" s="411"/>
      <c r="O27" s="109"/>
      <c r="P27" s="109"/>
      <c r="Q27" s="109"/>
      <c r="R27" s="109"/>
      <c r="S27" s="89">
        <f t="shared" si="2"/>
        <v>0</v>
      </c>
      <c r="T27" s="116"/>
      <c r="U27" s="116"/>
      <c r="V27" s="116"/>
      <c r="W27" s="116"/>
      <c r="X27" s="116"/>
      <c r="Y27" s="116"/>
    </row>
    <row r="28" spans="1:25" ht="99.75" x14ac:dyDescent="0.3">
      <c r="A28" s="329"/>
      <c r="B28" s="329"/>
      <c r="C28" s="329"/>
      <c r="D28" s="329"/>
      <c r="E28" s="306" t="s">
        <v>61</v>
      </c>
      <c r="F28" s="307" t="s">
        <v>483</v>
      </c>
      <c r="G28" s="308">
        <v>0</v>
      </c>
      <c r="H28" s="308"/>
      <c r="I28" s="308">
        <v>0</v>
      </c>
      <c r="J28" s="308"/>
      <c r="K28" s="308">
        <v>1110000</v>
      </c>
      <c r="L28" s="308"/>
      <c r="M28" s="308">
        <f t="shared" si="1"/>
        <v>1110000</v>
      </c>
      <c r="N28" s="411"/>
      <c r="O28" s="109"/>
      <c r="P28" s="109"/>
      <c r="Q28" s="109"/>
      <c r="R28" s="109"/>
      <c r="S28" s="89">
        <f t="shared" si="2"/>
        <v>0</v>
      </c>
      <c r="T28" s="116"/>
      <c r="U28" s="116"/>
      <c r="V28" s="116"/>
      <c r="W28" s="116"/>
      <c r="X28" s="116"/>
      <c r="Y28" s="116"/>
    </row>
    <row r="29" spans="1:25" ht="114" x14ac:dyDescent="0.3">
      <c r="A29" s="329"/>
      <c r="B29" s="329"/>
      <c r="C29" s="329"/>
      <c r="D29" s="329"/>
      <c r="E29" s="306" t="s">
        <v>61</v>
      </c>
      <c r="F29" s="307" t="s">
        <v>484</v>
      </c>
      <c r="G29" s="308">
        <v>0</v>
      </c>
      <c r="H29" s="308"/>
      <c r="I29" s="308">
        <v>0</v>
      </c>
      <c r="J29" s="308"/>
      <c r="K29" s="308">
        <v>271500</v>
      </c>
      <c r="L29" s="308"/>
      <c r="M29" s="308">
        <f t="shared" si="1"/>
        <v>271500</v>
      </c>
      <c r="N29" s="411"/>
      <c r="O29" s="109"/>
      <c r="P29" s="109"/>
      <c r="Q29" s="109"/>
      <c r="R29" s="109"/>
      <c r="S29" s="89">
        <f t="shared" si="2"/>
        <v>0</v>
      </c>
      <c r="T29" s="116"/>
      <c r="U29" s="116"/>
      <c r="V29" s="116"/>
      <c r="W29" s="116"/>
      <c r="X29" s="116"/>
      <c r="Y29" s="116"/>
    </row>
    <row r="30" spans="1:25" ht="85.5" x14ac:dyDescent="0.3">
      <c r="A30" s="329"/>
      <c r="B30" s="329"/>
      <c r="C30" s="329"/>
      <c r="D30" s="329"/>
      <c r="E30" s="306" t="s">
        <v>61</v>
      </c>
      <c r="F30" s="307" t="s">
        <v>485</v>
      </c>
      <c r="G30" s="308">
        <v>0</v>
      </c>
      <c r="H30" s="308"/>
      <c r="I30" s="308">
        <v>0</v>
      </c>
      <c r="J30" s="308"/>
      <c r="K30" s="308">
        <v>3549953</v>
      </c>
      <c r="L30" s="308"/>
      <c r="M30" s="308">
        <f t="shared" si="1"/>
        <v>3549953</v>
      </c>
      <c r="N30" s="411"/>
      <c r="O30" s="109"/>
      <c r="P30" s="109"/>
      <c r="Q30" s="109"/>
      <c r="R30" s="109"/>
      <c r="S30" s="89">
        <f t="shared" si="2"/>
        <v>0</v>
      </c>
      <c r="T30" s="116"/>
      <c r="U30" s="116"/>
      <c r="V30" s="116"/>
      <c r="W30" s="116"/>
      <c r="X30" s="116"/>
      <c r="Y30" s="116"/>
    </row>
    <row r="31" spans="1:25" ht="185.25" x14ac:dyDescent="0.3">
      <c r="A31" s="329"/>
      <c r="B31" s="329"/>
      <c r="C31" s="329"/>
      <c r="D31" s="329"/>
      <c r="E31" s="306" t="s">
        <v>61</v>
      </c>
      <c r="F31" s="307" t="s">
        <v>486</v>
      </c>
      <c r="G31" s="308">
        <v>0</v>
      </c>
      <c r="H31" s="308"/>
      <c r="I31" s="308">
        <v>0</v>
      </c>
      <c r="J31" s="308"/>
      <c r="K31" s="308">
        <v>2340000</v>
      </c>
      <c r="L31" s="308"/>
      <c r="M31" s="308">
        <f t="shared" si="1"/>
        <v>2340000</v>
      </c>
      <c r="N31" s="411"/>
      <c r="O31" s="109"/>
      <c r="P31" s="109"/>
      <c r="Q31" s="109"/>
      <c r="R31" s="109"/>
      <c r="S31" s="89">
        <f t="shared" si="2"/>
        <v>0</v>
      </c>
      <c r="T31" s="116"/>
      <c r="U31" s="116"/>
      <c r="V31" s="116"/>
      <c r="W31" s="116"/>
      <c r="X31" s="116"/>
      <c r="Y31" s="116"/>
    </row>
    <row r="32" spans="1:25" ht="99.75" x14ac:dyDescent="0.3">
      <c r="A32" s="329"/>
      <c r="B32" s="329"/>
      <c r="C32" s="329"/>
      <c r="D32" s="329"/>
      <c r="E32" s="306" t="s">
        <v>61</v>
      </c>
      <c r="F32" s="307" t="s">
        <v>487</v>
      </c>
      <c r="G32" s="308">
        <v>0</v>
      </c>
      <c r="H32" s="308"/>
      <c r="I32" s="308">
        <v>0</v>
      </c>
      <c r="J32" s="308"/>
      <c r="K32" s="308">
        <v>12600000</v>
      </c>
      <c r="L32" s="308"/>
      <c r="M32" s="308">
        <f t="shared" si="1"/>
        <v>12600000</v>
      </c>
      <c r="N32" s="411"/>
      <c r="O32" s="109"/>
      <c r="P32" s="109"/>
      <c r="Q32" s="109"/>
      <c r="R32" s="109"/>
      <c r="S32" s="89">
        <f t="shared" si="2"/>
        <v>0</v>
      </c>
      <c r="T32" s="116"/>
      <c r="U32" s="116"/>
      <c r="V32" s="116"/>
      <c r="W32" s="116"/>
      <c r="X32" s="116"/>
      <c r="Y32" s="116"/>
    </row>
    <row r="33" spans="1:25" ht="85.5" x14ac:dyDescent="0.3">
      <c r="A33" s="329"/>
      <c r="B33" s="329"/>
      <c r="C33" s="329"/>
      <c r="D33" s="329"/>
      <c r="E33" s="306" t="s">
        <v>61</v>
      </c>
      <c r="F33" s="307" t="s">
        <v>488</v>
      </c>
      <c r="G33" s="308">
        <v>0</v>
      </c>
      <c r="H33" s="308"/>
      <c r="I33" s="308">
        <v>0</v>
      </c>
      <c r="J33" s="308"/>
      <c r="K33" s="308">
        <v>9644071</v>
      </c>
      <c r="L33" s="308"/>
      <c r="M33" s="308">
        <f t="shared" si="1"/>
        <v>9644071</v>
      </c>
      <c r="N33" s="411"/>
      <c r="O33" s="109"/>
      <c r="P33" s="109"/>
      <c r="Q33" s="109"/>
      <c r="R33" s="109"/>
      <c r="S33" s="89">
        <f t="shared" si="2"/>
        <v>0</v>
      </c>
      <c r="T33" s="116"/>
      <c r="U33" s="116"/>
      <c r="V33" s="116"/>
      <c r="W33" s="116"/>
      <c r="X33" s="116"/>
      <c r="Y33" s="116"/>
    </row>
    <row r="34" spans="1:25" ht="114" x14ac:dyDescent="0.3">
      <c r="A34" s="329"/>
      <c r="B34" s="329"/>
      <c r="C34" s="329"/>
      <c r="D34" s="329"/>
      <c r="E34" s="306" t="s">
        <v>61</v>
      </c>
      <c r="F34" s="307" t="s">
        <v>489</v>
      </c>
      <c r="G34" s="308">
        <v>0</v>
      </c>
      <c r="H34" s="308"/>
      <c r="I34" s="308">
        <v>0</v>
      </c>
      <c r="J34" s="308"/>
      <c r="K34" s="308">
        <v>800000</v>
      </c>
      <c r="L34" s="308"/>
      <c r="M34" s="308">
        <f t="shared" si="1"/>
        <v>800000</v>
      </c>
      <c r="N34" s="411"/>
      <c r="O34" s="109"/>
      <c r="P34" s="109"/>
      <c r="Q34" s="109"/>
      <c r="R34" s="109"/>
      <c r="S34" s="89">
        <f t="shared" si="2"/>
        <v>0</v>
      </c>
      <c r="T34" s="116"/>
      <c r="U34" s="116"/>
      <c r="V34" s="116"/>
      <c r="W34" s="116"/>
      <c r="X34" s="116"/>
      <c r="Y34" s="116"/>
    </row>
    <row r="35" spans="1:25" ht="99.75" x14ac:dyDescent="0.3">
      <c r="A35" s="329"/>
      <c r="B35" s="329"/>
      <c r="C35" s="329"/>
      <c r="D35" s="329"/>
      <c r="E35" s="306" t="s">
        <v>61</v>
      </c>
      <c r="F35" s="307" t="s">
        <v>490</v>
      </c>
      <c r="G35" s="308">
        <v>0</v>
      </c>
      <c r="H35" s="308"/>
      <c r="I35" s="308">
        <v>0</v>
      </c>
      <c r="J35" s="308"/>
      <c r="K35" s="308">
        <v>16000</v>
      </c>
      <c r="L35" s="308"/>
      <c r="M35" s="308">
        <f t="shared" si="1"/>
        <v>16000</v>
      </c>
      <c r="N35" s="411"/>
      <c r="O35" s="109"/>
      <c r="P35" s="109"/>
      <c r="Q35" s="109"/>
      <c r="R35" s="109"/>
      <c r="S35" s="89">
        <f t="shared" si="2"/>
        <v>0</v>
      </c>
      <c r="T35" s="116"/>
      <c r="U35" s="116"/>
      <c r="V35" s="116"/>
      <c r="W35" s="116"/>
      <c r="X35" s="116"/>
      <c r="Y35" s="116"/>
    </row>
    <row r="36" spans="1:25" ht="85.5" x14ac:dyDescent="0.3">
      <c r="A36" s="329"/>
      <c r="B36" s="329"/>
      <c r="C36" s="329"/>
      <c r="D36" s="329"/>
      <c r="E36" s="306" t="s">
        <v>61</v>
      </c>
      <c r="F36" s="307" t="s">
        <v>491</v>
      </c>
      <c r="G36" s="308">
        <v>0</v>
      </c>
      <c r="H36" s="308"/>
      <c r="I36" s="308">
        <v>0</v>
      </c>
      <c r="J36" s="308"/>
      <c r="K36" s="308">
        <v>311000</v>
      </c>
      <c r="L36" s="308"/>
      <c r="M36" s="308">
        <f t="shared" si="1"/>
        <v>311000</v>
      </c>
      <c r="N36" s="411"/>
      <c r="O36" s="109"/>
      <c r="P36" s="109"/>
      <c r="Q36" s="109"/>
      <c r="R36" s="109"/>
      <c r="S36" s="89">
        <f t="shared" si="2"/>
        <v>0</v>
      </c>
      <c r="T36" s="116"/>
      <c r="U36" s="116"/>
      <c r="V36" s="116"/>
      <c r="W36" s="116"/>
      <c r="X36" s="116"/>
      <c r="Y36" s="116"/>
    </row>
    <row r="37" spans="1:25" ht="85.5" x14ac:dyDescent="0.3">
      <c r="A37" s="329"/>
      <c r="B37" s="329"/>
      <c r="C37" s="329"/>
      <c r="D37" s="329"/>
      <c r="E37" s="306" t="s">
        <v>61</v>
      </c>
      <c r="F37" s="307" t="s">
        <v>492</v>
      </c>
      <c r="G37" s="308">
        <v>0</v>
      </c>
      <c r="H37" s="308"/>
      <c r="I37" s="308">
        <v>0</v>
      </c>
      <c r="J37" s="308"/>
      <c r="K37" s="308">
        <v>200000</v>
      </c>
      <c r="L37" s="308"/>
      <c r="M37" s="308">
        <f t="shared" si="1"/>
        <v>200000</v>
      </c>
      <c r="N37" s="411"/>
      <c r="O37" s="109"/>
      <c r="P37" s="109"/>
      <c r="Q37" s="109"/>
      <c r="R37" s="109"/>
      <c r="S37" s="89">
        <f t="shared" si="2"/>
        <v>0</v>
      </c>
      <c r="T37" s="116"/>
      <c r="U37" s="116"/>
      <c r="V37" s="116"/>
      <c r="W37" s="116"/>
      <c r="X37" s="116"/>
      <c r="Y37" s="116"/>
    </row>
    <row r="38" spans="1:25" ht="85.5" x14ac:dyDescent="0.3">
      <c r="A38" s="329"/>
      <c r="B38" s="329"/>
      <c r="C38" s="329"/>
      <c r="D38" s="329"/>
      <c r="E38" s="306" t="s">
        <v>61</v>
      </c>
      <c r="F38" s="307" t="s">
        <v>493</v>
      </c>
      <c r="G38" s="308">
        <v>0</v>
      </c>
      <c r="H38" s="308"/>
      <c r="I38" s="308">
        <v>0</v>
      </c>
      <c r="J38" s="308"/>
      <c r="K38" s="308">
        <v>5233482</v>
      </c>
      <c r="L38" s="308"/>
      <c r="M38" s="308">
        <f t="shared" si="1"/>
        <v>5233482</v>
      </c>
      <c r="N38" s="411"/>
      <c r="O38" s="109"/>
      <c r="P38" s="109"/>
      <c r="Q38" s="109"/>
      <c r="R38" s="109"/>
      <c r="S38" s="89">
        <f t="shared" si="2"/>
        <v>0</v>
      </c>
      <c r="T38" s="116"/>
      <c r="U38" s="116"/>
      <c r="V38" s="116"/>
      <c r="W38" s="116"/>
      <c r="X38" s="116"/>
      <c r="Y38" s="116"/>
    </row>
    <row r="39" spans="1:25" ht="99.75" x14ac:dyDescent="0.3">
      <c r="A39" s="329"/>
      <c r="B39" s="329"/>
      <c r="C39" s="329"/>
      <c r="D39" s="329"/>
      <c r="E39" s="306" t="s">
        <v>61</v>
      </c>
      <c r="F39" s="307" t="s">
        <v>494</v>
      </c>
      <c r="G39" s="308">
        <v>0</v>
      </c>
      <c r="H39" s="308"/>
      <c r="I39" s="308">
        <v>0</v>
      </c>
      <c r="J39" s="308"/>
      <c r="K39" s="308">
        <v>11056000</v>
      </c>
      <c r="L39" s="308"/>
      <c r="M39" s="308">
        <f t="shared" si="1"/>
        <v>11056000</v>
      </c>
      <c r="N39" s="411"/>
      <c r="O39" s="109"/>
      <c r="P39" s="109"/>
      <c r="Q39" s="109"/>
      <c r="R39" s="109"/>
      <c r="S39" s="89">
        <f t="shared" si="2"/>
        <v>0</v>
      </c>
      <c r="T39" s="116"/>
      <c r="U39" s="116"/>
      <c r="V39" s="116"/>
      <c r="W39" s="116"/>
      <c r="X39" s="116"/>
      <c r="Y39" s="116"/>
    </row>
    <row r="40" spans="1:25" ht="85.5" x14ac:dyDescent="0.3">
      <c r="A40" s="329"/>
      <c r="B40" s="329"/>
      <c r="C40" s="329"/>
      <c r="D40" s="329"/>
      <c r="E40" s="306" t="s">
        <v>61</v>
      </c>
      <c r="F40" s="307" t="s">
        <v>495</v>
      </c>
      <c r="G40" s="308">
        <v>0</v>
      </c>
      <c r="H40" s="308"/>
      <c r="I40" s="308">
        <v>0</v>
      </c>
      <c r="J40" s="308"/>
      <c r="K40" s="308">
        <v>918000</v>
      </c>
      <c r="L40" s="308"/>
      <c r="M40" s="308">
        <f t="shared" si="1"/>
        <v>918000</v>
      </c>
      <c r="N40" s="411"/>
      <c r="O40" s="109"/>
      <c r="P40" s="109"/>
      <c r="Q40" s="109"/>
      <c r="R40" s="109"/>
      <c r="S40" s="89">
        <f t="shared" si="2"/>
        <v>0</v>
      </c>
      <c r="T40" s="116"/>
      <c r="U40" s="116"/>
      <c r="V40" s="116"/>
      <c r="W40" s="116"/>
      <c r="X40" s="116"/>
      <c r="Y40" s="116"/>
    </row>
    <row r="41" spans="1:25" ht="85.5" x14ac:dyDescent="0.3">
      <c r="A41" s="329"/>
      <c r="B41" s="329"/>
      <c r="C41" s="329"/>
      <c r="D41" s="329"/>
      <c r="E41" s="306" t="s">
        <v>61</v>
      </c>
      <c r="F41" s="307" t="s">
        <v>496</v>
      </c>
      <c r="G41" s="308">
        <v>0</v>
      </c>
      <c r="H41" s="308"/>
      <c r="I41" s="308">
        <v>0</v>
      </c>
      <c r="J41" s="308"/>
      <c r="K41" s="308">
        <v>216000</v>
      </c>
      <c r="L41" s="308"/>
      <c r="M41" s="308">
        <f t="shared" si="1"/>
        <v>216000</v>
      </c>
      <c r="N41" s="411"/>
      <c r="O41" s="109"/>
      <c r="P41" s="109"/>
      <c r="Q41" s="109"/>
      <c r="R41" s="109"/>
      <c r="S41" s="89">
        <f t="shared" si="2"/>
        <v>0</v>
      </c>
      <c r="T41" s="116"/>
      <c r="U41" s="116"/>
      <c r="V41" s="116"/>
      <c r="W41" s="116"/>
      <c r="X41" s="116"/>
      <c r="Y41" s="116"/>
    </row>
    <row r="42" spans="1:25" ht="72" customHeight="1" x14ac:dyDescent="0.3">
      <c r="A42" s="329"/>
      <c r="B42" s="329"/>
      <c r="C42" s="329"/>
      <c r="D42" s="329"/>
      <c r="E42" s="306" t="s">
        <v>61</v>
      </c>
      <c r="F42" s="307" t="s">
        <v>497</v>
      </c>
      <c r="G42" s="308">
        <v>0</v>
      </c>
      <c r="H42" s="308"/>
      <c r="I42" s="308">
        <v>0</v>
      </c>
      <c r="J42" s="308"/>
      <c r="K42" s="308">
        <v>375340</v>
      </c>
      <c r="L42" s="308"/>
      <c r="M42" s="308">
        <f t="shared" si="1"/>
        <v>375340</v>
      </c>
      <c r="N42" s="411"/>
      <c r="O42" s="109"/>
      <c r="P42" s="109"/>
      <c r="Q42" s="109"/>
      <c r="R42" s="109"/>
      <c r="S42" s="89">
        <f t="shared" si="2"/>
        <v>0</v>
      </c>
      <c r="T42" s="116"/>
      <c r="U42" s="116"/>
      <c r="V42" s="116"/>
      <c r="W42" s="116"/>
      <c r="X42" s="116"/>
      <c r="Y42" s="116"/>
    </row>
    <row r="43" spans="1:25" ht="85.5" x14ac:dyDescent="0.3">
      <c r="A43" s="329"/>
      <c r="B43" s="329"/>
      <c r="C43" s="329"/>
      <c r="D43" s="329"/>
      <c r="E43" s="306" t="s">
        <v>61</v>
      </c>
      <c r="F43" s="307" t="s">
        <v>498</v>
      </c>
      <c r="G43" s="308">
        <v>0</v>
      </c>
      <c r="H43" s="308"/>
      <c r="I43" s="308">
        <v>0</v>
      </c>
      <c r="J43" s="308"/>
      <c r="K43" s="308">
        <v>9940000</v>
      </c>
      <c r="L43" s="308"/>
      <c r="M43" s="308">
        <f t="shared" si="1"/>
        <v>9940000</v>
      </c>
      <c r="N43" s="411"/>
      <c r="O43" s="109"/>
      <c r="P43" s="109"/>
      <c r="Q43" s="109"/>
      <c r="R43" s="109"/>
      <c r="S43" s="89">
        <f t="shared" si="2"/>
        <v>0</v>
      </c>
      <c r="T43" s="116"/>
      <c r="U43" s="116"/>
      <c r="V43" s="116"/>
      <c r="W43" s="116"/>
      <c r="X43" s="116"/>
      <c r="Y43" s="116"/>
    </row>
    <row r="44" spans="1:25" ht="85.5" x14ac:dyDescent="0.3">
      <c r="A44" s="329"/>
      <c r="B44" s="329"/>
      <c r="C44" s="329"/>
      <c r="D44" s="329"/>
      <c r="E44" s="306" t="s">
        <v>61</v>
      </c>
      <c r="F44" s="307" t="s">
        <v>499</v>
      </c>
      <c r="G44" s="308">
        <v>0</v>
      </c>
      <c r="H44" s="308"/>
      <c r="I44" s="308">
        <v>0</v>
      </c>
      <c r="J44" s="308"/>
      <c r="K44" s="308">
        <v>2485600</v>
      </c>
      <c r="L44" s="308"/>
      <c r="M44" s="308">
        <f t="shared" si="1"/>
        <v>2485600</v>
      </c>
      <c r="N44" s="411"/>
      <c r="O44" s="109"/>
      <c r="P44" s="109"/>
      <c r="Q44" s="109"/>
      <c r="R44" s="109"/>
      <c r="S44" s="89">
        <f t="shared" si="2"/>
        <v>0</v>
      </c>
      <c r="T44" s="116"/>
      <c r="U44" s="116"/>
      <c r="V44" s="116"/>
      <c r="W44" s="116"/>
      <c r="X44" s="116"/>
      <c r="Y44" s="116"/>
    </row>
    <row r="45" spans="1:25" ht="99.75" x14ac:dyDescent="0.3">
      <c r="A45" s="329"/>
      <c r="B45" s="329"/>
      <c r="C45" s="329"/>
      <c r="D45" s="329"/>
      <c r="E45" s="306" t="s">
        <v>61</v>
      </c>
      <c r="F45" s="307" t="s">
        <v>500</v>
      </c>
      <c r="G45" s="308">
        <v>0</v>
      </c>
      <c r="H45" s="308"/>
      <c r="I45" s="308">
        <v>0</v>
      </c>
      <c r="J45" s="308"/>
      <c r="K45" s="308">
        <v>673400</v>
      </c>
      <c r="L45" s="308"/>
      <c r="M45" s="308">
        <f t="shared" si="1"/>
        <v>673400</v>
      </c>
      <c r="N45" s="411"/>
      <c r="O45" s="109"/>
      <c r="P45" s="109"/>
      <c r="Q45" s="109"/>
      <c r="R45" s="109"/>
      <c r="S45" s="89">
        <f t="shared" si="2"/>
        <v>0</v>
      </c>
      <c r="T45" s="116"/>
      <c r="U45" s="116"/>
      <c r="V45" s="116"/>
      <c r="W45" s="116"/>
      <c r="X45" s="116"/>
      <c r="Y45" s="116"/>
    </row>
    <row r="46" spans="1:25" ht="85.5" x14ac:dyDescent="0.3">
      <c r="A46" s="329"/>
      <c r="B46" s="329"/>
      <c r="C46" s="329"/>
      <c r="D46" s="329"/>
      <c r="E46" s="306" t="s">
        <v>61</v>
      </c>
      <c r="F46" s="307" t="s">
        <v>501</v>
      </c>
      <c r="G46" s="308">
        <v>0</v>
      </c>
      <c r="H46" s="308"/>
      <c r="I46" s="308">
        <v>0</v>
      </c>
      <c r="J46" s="308"/>
      <c r="K46" s="308">
        <v>491550</v>
      </c>
      <c r="L46" s="308"/>
      <c r="M46" s="308">
        <f t="shared" si="1"/>
        <v>491550</v>
      </c>
      <c r="N46" s="411"/>
      <c r="O46" s="109"/>
      <c r="P46" s="109"/>
      <c r="Q46" s="109"/>
      <c r="R46" s="109"/>
      <c r="S46" s="89">
        <f t="shared" si="2"/>
        <v>0</v>
      </c>
      <c r="T46" s="116"/>
      <c r="U46" s="116"/>
      <c r="V46" s="116"/>
      <c r="W46" s="116"/>
      <c r="X46" s="116"/>
      <c r="Y46" s="116"/>
    </row>
    <row r="47" spans="1:25" ht="99.75" x14ac:dyDescent="0.3">
      <c r="A47" s="329"/>
      <c r="B47" s="329"/>
      <c r="C47" s="329"/>
      <c r="D47" s="329"/>
      <c r="E47" s="306" t="s">
        <v>61</v>
      </c>
      <c r="F47" s="307" t="s">
        <v>476</v>
      </c>
      <c r="G47" s="308">
        <v>0</v>
      </c>
      <c r="H47" s="308"/>
      <c r="I47" s="308">
        <v>0</v>
      </c>
      <c r="J47" s="308"/>
      <c r="K47" s="308">
        <v>1188400</v>
      </c>
      <c r="L47" s="308"/>
      <c r="M47" s="308">
        <f t="shared" si="1"/>
        <v>1188400</v>
      </c>
      <c r="N47" s="411"/>
      <c r="O47" s="109"/>
      <c r="P47" s="109"/>
      <c r="Q47" s="109"/>
      <c r="R47" s="109"/>
      <c r="S47" s="89">
        <f t="shared" si="2"/>
        <v>0</v>
      </c>
      <c r="T47" s="116"/>
      <c r="U47" s="116"/>
      <c r="V47" s="116"/>
      <c r="W47" s="116"/>
      <c r="X47" s="116"/>
      <c r="Y47" s="116"/>
    </row>
    <row r="48" spans="1:25" ht="99.75" x14ac:dyDescent="0.3">
      <c r="A48" s="329"/>
      <c r="B48" s="329"/>
      <c r="C48" s="329"/>
      <c r="D48" s="329"/>
      <c r="E48" s="306" t="s">
        <v>61</v>
      </c>
      <c r="F48" s="307" t="s">
        <v>502</v>
      </c>
      <c r="G48" s="308">
        <v>0</v>
      </c>
      <c r="H48" s="308"/>
      <c r="I48" s="308">
        <v>0</v>
      </c>
      <c r="J48" s="308"/>
      <c r="K48" s="308">
        <v>7955920</v>
      </c>
      <c r="L48" s="308"/>
      <c r="M48" s="308">
        <f t="shared" si="1"/>
        <v>7955920</v>
      </c>
      <c r="N48" s="411"/>
      <c r="O48" s="109"/>
      <c r="P48" s="109"/>
      <c r="Q48" s="109"/>
      <c r="R48" s="109"/>
      <c r="S48" s="89">
        <f t="shared" si="2"/>
        <v>0</v>
      </c>
      <c r="T48" s="116"/>
      <c r="U48" s="116"/>
      <c r="V48" s="116"/>
      <c r="W48" s="116"/>
      <c r="X48" s="116"/>
      <c r="Y48" s="116"/>
    </row>
    <row r="49" spans="1:25" ht="99.75" x14ac:dyDescent="0.3">
      <c r="A49" s="329"/>
      <c r="B49" s="329"/>
      <c r="C49" s="329"/>
      <c r="D49" s="329"/>
      <c r="E49" s="306" t="s">
        <v>61</v>
      </c>
      <c r="F49" s="307" t="s">
        <v>503</v>
      </c>
      <c r="G49" s="308">
        <v>0</v>
      </c>
      <c r="H49" s="308"/>
      <c r="I49" s="308">
        <v>0</v>
      </c>
      <c r="J49" s="308"/>
      <c r="K49" s="308">
        <v>664000</v>
      </c>
      <c r="L49" s="308"/>
      <c r="M49" s="308">
        <f t="shared" si="1"/>
        <v>664000</v>
      </c>
      <c r="N49" s="411"/>
      <c r="O49" s="109"/>
      <c r="P49" s="109"/>
      <c r="Q49" s="109"/>
      <c r="R49" s="109"/>
      <c r="S49" s="89">
        <f t="shared" si="2"/>
        <v>0</v>
      </c>
      <c r="T49" s="116"/>
      <c r="U49" s="116"/>
      <c r="V49" s="116"/>
      <c r="W49" s="116"/>
      <c r="X49" s="116"/>
      <c r="Y49" s="116"/>
    </row>
    <row r="50" spans="1:25" ht="99.75" x14ac:dyDescent="0.3">
      <c r="A50" s="329"/>
      <c r="B50" s="329"/>
      <c r="C50" s="329"/>
      <c r="D50" s="329"/>
      <c r="E50" s="306" t="s">
        <v>61</v>
      </c>
      <c r="F50" s="307" t="s">
        <v>504</v>
      </c>
      <c r="G50" s="308">
        <v>0</v>
      </c>
      <c r="H50" s="308"/>
      <c r="I50" s="308">
        <v>0</v>
      </c>
      <c r="J50" s="308"/>
      <c r="K50" s="308">
        <v>22623038</v>
      </c>
      <c r="L50" s="308"/>
      <c r="M50" s="308">
        <f t="shared" si="1"/>
        <v>22623038</v>
      </c>
      <c r="N50" s="411"/>
      <c r="O50" s="109"/>
      <c r="P50" s="109"/>
      <c r="Q50" s="109"/>
      <c r="R50" s="109"/>
      <c r="S50" s="89">
        <f t="shared" si="2"/>
        <v>0</v>
      </c>
      <c r="T50" s="116"/>
      <c r="U50" s="116"/>
      <c r="V50" s="116"/>
      <c r="W50" s="116"/>
      <c r="X50" s="116"/>
      <c r="Y50" s="116"/>
    </row>
    <row r="51" spans="1:25" ht="99.75" x14ac:dyDescent="0.3">
      <c r="A51" s="329"/>
      <c r="B51" s="329"/>
      <c r="C51" s="329"/>
      <c r="D51" s="329"/>
      <c r="E51" s="306" t="s">
        <v>61</v>
      </c>
      <c r="F51" s="307" t="s">
        <v>505</v>
      </c>
      <c r="G51" s="308">
        <v>0</v>
      </c>
      <c r="H51" s="308"/>
      <c r="I51" s="308">
        <v>0</v>
      </c>
      <c r="J51" s="308"/>
      <c r="K51" s="308">
        <v>140000</v>
      </c>
      <c r="L51" s="308"/>
      <c r="M51" s="308">
        <f t="shared" si="1"/>
        <v>140000</v>
      </c>
      <c r="N51" s="411"/>
      <c r="O51" s="109"/>
      <c r="P51" s="109"/>
      <c r="Q51" s="109"/>
      <c r="R51" s="109"/>
      <c r="S51" s="89">
        <f t="shared" si="2"/>
        <v>0</v>
      </c>
      <c r="T51" s="116"/>
      <c r="U51" s="116"/>
      <c r="V51" s="116"/>
      <c r="W51" s="116"/>
      <c r="X51" s="116"/>
      <c r="Y51" s="116"/>
    </row>
    <row r="52" spans="1:25" ht="114" x14ac:dyDescent="0.3">
      <c r="A52" s="329"/>
      <c r="B52" s="329"/>
      <c r="C52" s="329"/>
      <c r="D52" s="329"/>
      <c r="E52" s="306" t="s">
        <v>61</v>
      </c>
      <c r="F52" s="307" t="s">
        <v>506</v>
      </c>
      <c r="G52" s="308">
        <v>0</v>
      </c>
      <c r="H52" s="308"/>
      <c r="I52" s="308">
        <v>0</v>
      </c>
      <c r="J52" s="308"/>
      <c r="K52" s="308">
        <v>9758352</v>
      </c>
      <c r="L52" s="308"/>
      <c r="M52" s="308">
        <f t="shared" si="1"/>
        <v>9758352</v>
      </c>
      <c r="N52" s="411"/>
      <c r="O52" s="109"/>
      <c r="P52" s="109"/>
      <c r="Q52" s="109"/>
      <c r="R52" s="109"/>
      <c r="S52" s="89">
        <f t="shared" si="2"/>
        <v>0</v>
      </c>
      <c r="T52" s="116"/>
      <c r="U52" s="116"/>
      <c r="V52" s="116"/>
      <c r="W52" s="116"/>
      <c r="X52" s="116"/>
      <c r="Y52" s="116"/>
    </row>
    <row r="53" spans="1:25" ht="85.5" x14ac:dyDescent="0.3">
      <c r="A53" s="329"/>
      <c r="B53" s="329"/>
      <c r="C53" s="329"/>
      <c r="D53" s="329"/>
      <c r="E53" s="306" t="s">
        <v>61</v>
      </c>
      <c r="F53" s="307" t="s">
        <v>507</v>
      </c>
      <c r="G53" s="308">
        <v>0</v>
      </c>
      <c r="H53" s="308"/>
      <c r="I53" s="308">
        <v>0</v>
      </c>
      <c r="J53" s="308"/>
      <c r="K53" s="308">
        <v>22374800</v>
      </c>
      <c r="L53" s="308"/>
      <c r="M53" s="308">
        <f t="shared" si="1"/>
        <v>22374800</v>
      </c>
      <c r="N53" s="411"/>
      <c r="O53" s="109"/>
      <c r="P53" s="109"/>
      <c r="Q53" s="109"/>
      <c r="R53" s="109"/>
      <c r="S53" s="89">
        <f t="shared" si="2"/>
        <v>0</v>
      </c>
      <c r="T53" s="116"/>
      <c r="U53" s="116"/>
      <c r="V53" s="116"/>
      <c r="W53" s="116"/>
      <c r="X53" s="116"/>
      <c r="Y53" s="116"/>
    </row>
    <row r="54" spans="1:25" ht="171" x14ac:dyDescent="0.3">
      <c r="A54" s="329"/>
      <c r="B54" s="329"/>
      <c r="C54" s="329"/>
      <c r="D54" s="329"/>
      <c r="E54" s="306" t="s">
        <v>61</v>
      </c>
      <c r="F54" s="307" t="s">
        <v>508</v>
      </c>
      <c r="G54" s="308">
        <v>0</v>
      </c>
      <c r="H54" s="308"/>
      <c r="I54" s="308">
        <v>0</v>
      </c>
      <c r="J54" s="308"/>
      <c r="K54" s="308">
        <v>27830358</v>
      </c>
      <c r="L54" s="308"/>
      <c r="M54" s="308">
        <f t="shared" si="1"/>
        <v>27830358</v>
      </c>
      <c r="N54" s="411"/>
      <c r="O54" s="109"/>
      <c r="P54" s="109"/>
      <c r="Q54" s="109"/>
      <c r="R54" s="109"/>
      <c r="S54" s="89">
        <f t="shared" si="2"/>
        <v>0</v>
      </c>
      <c r="T54" s="116"/>
      <c r="U54" s="116"/>
      <c r="V54" s="116"/>
      <c r="W54" s="116"/>
      <c r="X54" s="116"/>
      <c r="Y54" s="116"/>
    </row>
    <row r="55" spans="1:25" ht="114" x14ac:dyDescent="0.3">
      <c r="A55" s="329"/>
      <c r="B55" s="329"/>
      <c r="C55" s="329"/>
      <c r="D55" s="329"/>
      <c r="E55" s="306" t="s">
        <v>61</v>
      </c>
      <c r="F55" s="307" t="s">
        <v>509</v>
      </c>
      <c r="G55" s="308">
        <v>0</v>
      </c>
      <c r="H55" s="308"/>
      <c r="I55" s="308">
        <v>0</v>
      </c>
      <c r="J55" s="308"/>
      <c r="K55" s="308">
        <v>2203500</v>
      </c>
      <c r="L55" s="308"/>
      <c r="M55" s="308">
        <f t="shared" si="1"/>
        <v>2203500</v>
      </c>
      <c r="N55" s="411"/>
      <c r="O55" s="109"/>
      <c r="P55" s="109"/>
      <c r="Q55" s="109"/>
      <c r="R55" s="109"/>
      <c r="S55" s="89">
        <f t="shared" si="2"/>
        <v>0</v>
      </c>
      <c r="T55" s="116"/>
      <c r="U55" s="116"/>
      <c r="V55" s="116"/>
      <c r="W55" s="116"/>
      <c r="X55" s="116"/>
      <c r="Y55" s="116"/>
    </row>
    <row r="56" spans="1:25" ht="114" x14ac:dyDescent="0.3">
      <c r="A56" s="329"/>
      <c r="B56" s="329"/>
      <c r="C56" s="329"/>
      <c r="D56" s="329"/>
      <c r="E56" s="306" t="s">
        <v>61</v>
      </c>
      <c r="F56" s="307" t="s">
        <v>510</v>
      </c>
      <c r="G56" s="308">
        <v>0</v>
      </c>
      <c r="H56" s="308"/>
      <c r="I56" s="308">
        <v>0</v>
      </c>
      <c r="J56" s="308"/>
      <c r="K56" s="308">
        <v>35500</v>
      </c>
      <c r="L56" s="308"/>
      <c r="M56" s="308">
        <f t="shared" si="1"/>
        <v>35500</v>
      </c>
      <c r="N56" s="411"/>
      <c r="O56" s="109"/>
      <c r="P56" s="109"/>
      <c r="Q56" s="109"/>
      <c r="R56" s="109"/>
      <c r="S56" s="89">
        <f t="shared" si="2"/>
        <v>0</v>
      </c>
      <c r="T56" s="116"/>
      <c r="U56" s="116"/>
      <c r="V56" s="116"/>
      <c r="W56" s="116"/>
      <c r="X56" s="116"/>
      <c r="Y56" s="116"/>
    </row>
    <row r="57" spans="1:25" ht="99.75" x14ac:dyDescent="0.3">
      <c r="A57" s="329"/>
      <c r="B57" s="329"/>
      <c r="C57" s="329"/>
      <c r="D57" s="329"/>
      <c r="E57" s="306" t="s">
        <v>61</v>
      </c>
      <c r="F57" s="307" t="s">
        <v>511</v>
      </c>
      <c r="G57" s="308">
        <v>0</v>
      </c>
      <c r="H57" s="308"/>
      <c r="I57" s="308">
        <v>0</v>
      </c>
      <c r="J57" s="308"/>
      <c r="K57" s="308">
        <v>600000</v>
      </c>
      <c r="L57" s="308"/>
      <c r="M57" s="308">
        <f t="shared" si="1"/>
        <v>600000</v>
      </c>
      <c r="N57" s="411"/>
      <c r="O57" s="109"/>
      <c r="P57" s="109"/>
      <c r="Q57" s="109"/>
      <c r="R57" s="109"/>
      <c r="S57" s="89">
        <f t="shared" si="2"/>
        <v>0</v>
      </c>
      <c r="T57" s="116"/>
      <c r="U57" s="116"/>
      <c r="V57" s="116"/>
      <c r="W57" s="116"/>
      <c r="X57" s="116"/>
      <c r="Y57" s="116"/>
    </row>
    <row r="58" spans="1:25" ht="85.5" x14ac:dyDescent="0.3">
      <c r="A58" s="329"/>
      <c r="B58" s="329"/>
      <c r="C58" s="329"/>
      <c r="D58" s="329"/>
      <c r="E58" s="306" t="s">
        <v>61</v>
      </c>
      <c r="F58" s="307" t="s">
        <v>512</v>
      </c>
      <c r="G58" s="308">
        <v>0</v>
      </c>
      <c r="H58" s="308"/>
      <c r="I58" s="308">
        <v>0</v>
      </c>
      <c r="J58" s="308"/>
      <c r="K58" s="308">
        <v>5857500</v>
      </c>
      <c r="L58" s="308"/>
      <c r="M58" s="308">
        <f t="shared" si="1"/>
        <v>5857500</v>
      </c>
      <c r="N58" s="411"/>
      <c r="O58" s="109"/>
      <c r="P58" s="109"/>
      <c r="Q58" s="109"/>
      <c r="R58" s="109"/>
      <c r="S58" s="89">
        <f t="shared" si="2"/>
        <v>0</v>
      </c>
      <c r="T58" s="116"/>
      <c r="U58" s="116"/>
      <c r="V58" s="116"/>
      <c r="W58" s="116"/>
      <c r="X58" s="116"/>
      <c r="Y58" s="116"/>
    </row>
    <row r="59" spans="1:25" ht="99.75" x14ac:dyDescent="0.3">
      <c r="A59" s="329"/>
      <c r="B59" s="329"/>
      <c r="C59" s="329"/>
      <c r="D59" s="329"/>
      <c r="E59" s="306" t="s">
        <v>61</v>
      </c>
      <c r="F59" s="307" t="s">
        <v>513</v>
      </c>
      <c r="G59" s="308">
        <v>0</v>
      </c>
      <c r="H59" s="308"/>
      <c r="I59" s="308">
        <v>0</v>
      </c>
      <c r="J59" s="308"/>
      <c r="K59" s="308">
        <v>60219277</v>
      </c>
      <c r="L59" s="308"/>
      <c r="M59" s="308">
        <f t="shared" si="1"/>
        <v>60219277</v>
      </c>
      <c r="N59" s="411"/>
      <c r="O59" s="109"/>
      <c r="P59" s="109"/>
      <c r="Q59" s="109"/>
      <c r="R59" s="109"/>
      <c r="S59" s="89">
        <f t="shared" si="2"/>
        <v>0</v>
      </c>
      <c r="T59" s="116"/>
      <c r="U59" s="116"/>
      <c r="V59" s="116"/>
      <c r="W59" s="116"/>
      <c r="X59" s="116"/>
      <c r="Y59" s="116"/>
    </row>
    <row r="60" spans="1:25" ht="114" x14ac:dyDescent="0.3">
      <c r="A60" s="329"/>
      <c r="B60" s="329"/>
      <c r="C60" s="329"/>
      <c r="D60" s="329"/>
      <c r="E60" s="306" t="s">
        <v>61</v>
      </c>
      <c r="F60" s="307" t="s">
        <v>514</v>
      </c>
      <c r="G60" s="308">
        <v>0</v>
      </c>
      <c r="H60" s="308"/>
      <c r="I60" s="308">
        <v>0</v>
      </c>
      <c r="J60" s="308"/>
      <c r="K60" s="308">
        <v>900000</v>
      </c>
      <c r="L60" s="308"/>
      <c r="M60" s="308">
        <f t="shared" si="1"/>
        <v>900000</v>
      </c>
      <c r="N60" s="411"/>
      <c r="O60" s="109"/>
      <c r="P60" s="109"/>
      <c r="Q60" s="109"/>
      <c r="R60" s="109"/>
      <c r="S60" s="89">
        <f t="shared" si="2"/>
        <v>0</v>
      </c>
      <c r="T60" s="116"/>
      <c r="U60" s="116"/>
      <c r="V60" s="116"/>
      <c r="W60" s="116"/>
      <c r="X60" s="116"/>
      <c r="Y60" s="116"/>
    </row>
    <row r="61" spans="1:25" ht="114" x14ac:dyDescent="0.3">
      <c r="A61" s="329"/>
      <c r="B61" s="329"/>
      <c r="C61" s="329"/>
      <c r="D61" s="329"/>
      <c r="E61" s="306" t="s">
        <v>61</v>
      </c>
      <c r="F61" s="307" t="s">
        <v>515</v>
      </c>
      <c r="G61" s="308">
        <v>0</v>
      </c>
      <c r="H61" s="308"/>
      <c r="I61" s="308">
        <v>0</v>
      </c>
      <c r="J61" s="308"/>
      <c r="K61" s="308">
        <v>323212400</v>
      </c>
      <c r="L61" s="308"/>
      <c r="M61" s="308">
        <f t="shared" si="1"/>
        <v>323212400</v>
      </c>
      <c r="N61" s="411"/>
      <c r="O61" s="109"/>
      <c r="P61" s="109"/>
      <c r="Q61" s="109"/>
      <c r="R61" s="109"/>
      <c r="S61" s="89">
        <f t="shared" si="2"/>
        <v>0</v>
      </c>
      <c r="T61" s="116"/>
      <c r="U61" s="116"/>
      <c r="V61" s="116"/>
      <c r="W61" s="116"/>
      <c r="X61" s="116"/>
      <c r="Y61" s="116"/>
    </row>
    <row r="62" spans="1:25" ht="114" x14ac:dyDescent="0.3">
      <c r="A62" s="329"/>
      <c r="B62" s="329"/>
      <c r="C62" s="329"/>
      <c r="D62" s="329"/>
      <c r="E62" s="306" t="s">
        <v>61</v>
      </c>
      <c r="F62" s="307" t="s">
        <v>516</v>
      </c>
      <c r="G62" s="308">
        <v>0</v>
      </c>
      <c r="H62" s="308"/>
      <c r="I62" s="308">
        <v>0</v>
      </c>
      <c r="J62" s="308"/>
      <c r="K62" s="308">
        <v>23200000</v>
      </c>
      <c r="L62" s="308"/>
      <c r="M62" s="308">
        <f t="shared" si="1"/>
        <v>23200000</v>
      </c>
      <c r="N62" s="411"/>
      <c r="O62" s="109"/>
      <c r="P62" s="109"/>
      <c r="Q62" s="109"/>
      <c r="R62" s="109"/>
      <c r="S62" s="89">
        <f t="shared" si="2"/>
        <v>0</v>
      </c>
      <c r="T62" s="116"/>
      <c r="U62" s="116"/>
      <c r="V62" s="116"/>
      <c r="W62" s="116"/>
      <c r="X62" s="116"/>
      <c r="Y62" s="116"/>
    </row>
    <row r="63" spans="1:25" ht="114" x14ac:dyDescent="0.3">
      <c r="A63" s="329"/>
      <c r="B63" s="329"/>
      <c r="C63" s="329"/>
      <c r="D63" s="329"/>
      <c r="E63" s="306" t="s">
        <v>61</v>
      </c>
      <c r="F63" s="307" t="s">
        <v>517</v>
      </c>
      <c r="G63" s="308">
        <v>0</v>
      </c>
      <c r="H63" s="308"/>
      <c r="I63" s="308">
        <v>0</v>
      </c>
      <c r="J63" s="308"/>
      <c r="K63" s="308">
        <v>7000000</v>
      </c>
      <c r="L63" s="308"/>
      <c r="M63" s="308">
        <f t="shared" si="1"/>
        <v>7000000</v>
      </c>
      <c r="N63" s="411"/>
      <c r="O63" s="109"/>
      <c r="P63" s="109"/>
      <c r="Q63" s="109"/>
      <c r="R63" s="109"/>
      <c r="S63" s="89">
        <f t="shared" si="2"/>
        <v>0</v>
      </c>
      <c r="T63" s="116"/>
      <c r="U63" s="116"/>
      <c r="V63" s="116"/>
      <c r="W63" s="116"/>
      <c r="X63" s="116"/>
      <c r="Y63" s="116"/>
    </row>
    <row r="64" spans="1:25" ht="16.5" x14ac:dyDescent="0.25">
      <c r="A64" s="329"/>
      <c r="B64" s="329"/>
      <c r="C64" s="329"/>
      <c r="D64" s="329"/>
      <c r="E64" s="402" t="s">
        <v>61</v>
      </c>
      <c r="F64" s="402" t="s">
        <v>518</v>
      </c>
      <c r="G64" s="402">
        <v>0</v>
      </c>
      <c r="H64" s="402"/>
      <c r="I64" s="402">
        <v>0</v>
      </c>
      <c r="J64" s="402"/>
      <c r="K64" s="402">
        <v>229785122</v>
      </c>
      <c r="L64" s="402"/>
      <c r="M64" s="402">
        <f t="shared" si="1"/>
        <v>229785122</v>
      </c>
      <c r="N64" s="411"/>
      <c r="O64" s="279" t="s">
        <v>759</v>
      </c>
      <c r="P64" s="280" t="s">
        <v>143</v>
      </c>
      <c r="Q64" s="309" t="s">
        <v>760</v>
      </c>
      <c r="R64" s="310">
        <v>41996667</v>
      </c>
      <c r="S64" s="401">
        <f>R73/M64</f>
        <v>0.52138005262150955</v>
      </c>
      <c r="T64" s="116">
        <v>374</v>
      </c>
      <c r="U64" s="116" t="s">
        <v>1562</v>
      </c>
      <c r="V64" s="117">
        <v>41996667</v>
      </c>
      <c r="W64" s="116">
        <v>1402</v>
      </c>
      <c r="X64" s="116" t="s">
        <v>1572</v>
      </c>
      <c r="Y64" s="117">
        <v>41423333</v>
      </c>
    </row>
    <row r="65" spans="1:25" ht="16.5" x14ac:dyDescent="0.25">
      <c r="A65" s="329"/>
      <c r="B65" s="329"/>
      <c r="C65" s="329"/>
      <c r="D65" s="329"/>
      <c r="E65" s="402"/>
      <c r="F65" s="402"/>
      <c r="G65" s="402"/>
      <c r="H65" s="402"/>
      <c r="I65" s="402"/>
      <c r="J65" s="402"/>
      <c r="K65" s="402"/>
      <c r="L65" s="402"/>
      <c r="M65" s="402"/>
      <c r="N65" s="411"/>
      <c r="O65" s="279" t="s">
        <v>761</v>
      </c>
      <c r="P65" s="280" t="s">
        <v>762</v>
      </c>
      <c r="Q65" s="309" t="s">
        <v>763</v>
      </c>
      <c r="R65" s="310">
        <v>14776345</v>
      </c>
      <c r="S65" s="401"/>
      <c r="T65" s="122">
        <v>455</v>
      </c>
      <c r="U65" s="116" t="s">
        <v>1564</v>
      </c>
      <c r="V65" s="117">
        <v>14776345</v>
      </c>
      <c r="W65" s="116">
        <v>1985</v>
      </c>
      <c r="X65" s="116" t="s">
        <v>1675</v>
      </c>
      <c r="Y65" s="117">
        <v>10348800</v>
      </c>
    </row>
    <row r="66" spans="1:25" ht="16.5" x14ac:dyDescent="0.25">
      <c r="A66" s="329"/>
      <c r="B66" s="329"/>
      <c r="C66" s="329"/>
      <c r="D66" s="329"/>
      <c r="E66" s="402"/>
      <c r="F66" s="402"/>
      <c r="G66" s="402"/>
      <c r="H66" s="402"/>
      <c r="I66" s="402"/>
      <c r="J66" s="402"/>
      <c r="K66" s="402"/>
      <c r="L66" s="402"/>
      <c r="M66" s="402"/>
      <c r="N66" s="411"/>
      <c r="O66" s="279" t="s">
        <v>764</v>
      </c>
      <c r="P66" s="280" t="s">
        <v>599</v>
      </c>
      <c r="Q66" s="309" t="s">
        <v>765</v>
      </c>
      <c r="R66" s="310">
        <v>2186667</v>
      </c>
      <c r="S66" s="401"/>
      <c r="T66" s="122">
        <v>465</v>
      </c>
      <c r="U66" s="116" t="s">
        <v>1636</v>
      </c>
      <c r="V66" s="117">
        <v>2186667</v>
      </c>
      <c r="W66" s="116">
        <v>1965</v>
      </c>
      <c r="X66" s="116" t="s">
        <v>1656</v>
      </c>
      <c r="Y66" s="117">
        <v>2186667</v>
      </c>
    </row>
    <row r="67" spans="1:25" ht="16.5" x14ac:dyDescent="0.25">
      <c r="A67" s="329"/>
      <c r="B67" s="329"/>
      <c r="C67" s="329"/>
      <c r="D67" s="329"/>
      <c r="E67" s="402"/>
      <c r="F67" s="402"/>
      <c r="G67" s="402"/>
      <c r="H67" s="402"/>
      <c r="I67" s="402"/>
      <c r="J67" s="402"/>
      <c r="K67" s="402"/>
      <c r="L67" s="402"/>
      <c r="M67" s="402"/>
      <c r="N67" s="411"/>
      <c r="O67" s="279" t="s">
        <v>766</v>
      </c>
      <c r="P67" s="280" t="s">
        <v>155</v>
      </c>
      <c r="Q67" s="309" t="s">
        <v>767</v>
      </c>
      <c r="R67" s="310">
        <v>2596666</v>
      </c>
      <c r="S67" s="401"/>
      <c r="T67" s="122">
        <v>445</v>
      </c>
      <c r="U67" s="116" t="s">
        <v>1634</v>
      </c>
      <c r="V67" s="117">
        <v>2596666</v>
      </c>
      <c r="W67" s="116">
        <v>1978</v>
      </c>
      <c r="X67" s="116" t="s">
        <v>1656</v>
      </c>
      <c r="Y67" s="117">
        <v>2596666</v>
      </c>
    </row>
    <row r="68" spans="1:25" ht="16.5" x14ac:dyDescent="0.25">
      <c r="A68" s="329"/>
      <c r="B68" s="329"/>
      <c r="C68" s="329"/>
      <c r="D68" s="329"/>
      <c r="E68" s="402"/>
      <c r="F68" s="402"/>
      <c r="G68" s="402"/>
      <c r="H68" s="402"/>
      <c r="I68" s="402"/>
      <c r="J68" s="402"/>
      <c r="K68" s="402"/>
      <c r="L68" s="402"/>
      <c r="M68" s="402"/>
      <c r="N68" s="411"/>
      <c r="O68" s="279" t="s">
        <v>768</v>
      </c>
      <c r="P68" s="280" t="s">
        <v>769</v>
      </c>
      <c r="Q68" s="309" t="s">
        <v>770</v>
      </c>
      <c r="R68" s="310">
        <v>4088367</v>
      </c>
      <c r="S68" s="401"/>
      <c r="T68" s="116">
        <v>708</v>
      </c>
      <c r="U68" s="116" t="s">
        <v>1565</v>
      </c>
      <c r="V68" s="117">
        <v>4088367</v>
      </c>
      <c r="W68" s="116" t="s">
        <v>1580</v>
      </c>
      <c r="X68" s="116" t="s">
        <v>1580</v>
      </c>
      <c r="Y68" s="116" t="s">
        <v>1580</v>
      </c>
    </row>
    <row r="69" spans="1:25" ht="16.5" x14ac:dyDescent="0.25">
      <c r="A69" s="329"/>
      <c r="B69" s="329"/>
      <c r="C69" s="329"/>
      <c r="D69" s="329"/>
      <c r="E69" s="402"/>
      <c r="F69" s="402"/>
      <c r="G69" s="402"/>
      <c r="H69" s="402"/>
      <c r="I69" s="402"/>
      <c r="J69" s="402"/>
      <c r="K69" s="402"/>
      <c r="L69" s="402"/>
      <c r="M69" s="402"/>
      <c r="N69" s="411"/>
      <c r="O69" s="279" t="s">
        <v>771</v>
      </c>
      <c r="P69" s="280" t="s">
        <v>772</v>
      </c>
      <c r="Q69" s="309" t="s">
        <v>773</v>
      </c>
      <c r="R69" s="310">
        <v>26760000</v>
      </c>
      <c r="S69" s="401"/>
      <c r="T69" s="116">
        <v>647</v>
      </c>
      <c r="U69" s="116" t="s">
        <v>1581</v>
      </c>
      <c r="V69" s="117">
        <v>26760000</v>
      </c>
      <c r="W69" s="116">
        <v>2463</v>
      </c>
      <c r="X69" s="116" t="s">
        <v>1676</v>
      </c>
      <c r="Y69" s="117">
        <v>23837000</v>
      </c>
    </row>
    <row r="70" spans="1:25" ht="16.5" x14ac:dyDescent="0.25">
      <c r="A70" s="329"/>
      <c r="B70" s="329"/>
      <c r="C70" s="329"/>
      <c r="D70" s="329"/>
      <c r="E70" s="402"/>
      <c r="F70" s="402"/>
      <c r="G70" s="402"/>
      <c r="H70" s="402"/>
      <c r="I70" s="402"/>
      <c r="J70" s="402"/>
      <c r="K70" s="402"/>
      <c r="L70" s="402"/>
      <c r="M70" s="402"/>
      <c r="N70" s="411"/>
      <c r="O70" s="279" t="s">
        <v>774</v>
      </c>
      <c r="P70" s="280" t="s">
        <v>775</v>
      </c>
      <c r="Q70" s="309" t="s">
        <v>776</v>
      </c>
      <c r="R70" s="310">
        <v>18872120</v>
      </c>
      <c r="S70" s="401"/>
      <c r="T70" s="116">
        <v>867</v>
      </c>
      <c r="U70" s="116" t="s">
        <v>1570</v>
      </c>
      <c r="V70" s="117">
        <v>18872120</v>
      </c>
      <c r="W70" s="116">
        <v>2962</v>
      </c>
      <c r="X70" s="116" t="s">
        <v>1588</v>
      </c>
      <c r="Y70" s="117">
        <v>18872120</v>
      </c>
    </row>
    <row r="71" spans="1:25" ht="16.5" x14ac:dyDescent="0.25">
      <c r="A71" s="329"/>
      <c r="B71" s="329"/>
      <c r="C71" s="329"/>
      <c r="D71" s="329"/>
      <c r="E71" s="402"/>
      <c r="F71" s="402"/>
      <c r="G71" s="402"/>
      <c r="H71" s="402"/>
      <c r="I71" s="402"/>
      <c r="J71" s="402"/>
      <c r="K71" s="402"/>
      <c r="L71" s="402"/>
      <c r="M71" s="402"/>
      <c r="N71" s="411"/>
      <c r="O71" s="279" t="s">
        <v>777</v>
      </c>
      <c r="P71" s="280" t="s">
        <v>778</v>
      </c>
      <c r="Q71" s="309" t="s">
        <v>779</v>
      </c>
      <c r="R71" s="310">
        <v>25262607</v>
      </c>
      <c r="S71" s="401"/>
      <c r="T71" s="116"/>
      <c r="U71" s="116"/>
      <c r="V71" s="116"/>
      <c r="W71" s="116"/>
      <c r="X71" s="116"/>
      <c r="Y71" s="116"/>
    </row>
    <row r="72" spans="1:25" ht="16.5" x14ac:dyDescent="0.25">
      <c r="A72" s="329"/>
      <c r="B72" s="329"/>
      <c r="C72" s="329"/>
      <c r="D72" s="329"/>
      <c r="E72" s="402"/>
      <c r="F72" s="402"/>
      <c r="G72" s="402"/>
      <c r="H72" s="402"/>
      <c r="I72" s="402"/>
      <c r="J72" s="402"/>
      <c r="K72" s="402"/>
      <c r="L72" s="402"/>
      <c r="M72" s="402"/>
      <c r="N72" s="411"/>
      <c r="O72" s="279" t="s">
        <v>777</v>
      </c>
      <c r="P72" s="280" t="s">
        <v>780</v>
      </c>
      <c r="Q72" s="309" t="s">
        <v>781</v>
      </c>
      <c r="R72" s="310">
        <v>25262607</v>
      </c>
      <c r="S72" s="401"/>
      <c r="T72" s="116">
        <v>917</v>
      </c>
      <c r="U72" s="116" t="s">
        <v>1575</v>
      </c>
      <c r="V72" s="117">
        <v>25262607</v>
      </c>
      <c r="W72" s="116">
        <v>3257</v>
      </c>
      <c r="X72" s="116" t="s">
        <v>1654</v>
      </c>
      <c r="Y72" s="117">
        <v>25262607</v>
      </c>
    </row>
    <row r="73" spans="1:25" ht="16.5" x14ac:dyDescent="0.25">
      <c r="A73" s="329"/>
      <c r="B73" s="329"/>
      <c r="C73" s="329"/>
      <c r="D73" s="329"/>
      <c r="E73" s="402"/>
      <c r="F73" s="402"/>
      <c r="G73" s="402"/>
      <c r="H73" s="402"/>
      <c r="I73" s="402"/>
      <c r="J73" s="402"/>
      <c r="K73" s="402"/>
      <c r="L73" s="402"/>
      <c r="M73" s="402"/>
      <c r="N73" s="411"/>
      <c r="O73" s="311" t="s">
        <v>637</v>
      </c>
      <c r="P73" s="312"/>
      <c r="Q73" s="313"/>
      <c r="R73" s="314">
        <f>SUM(R65:R72)</f>
        <v>119805379</v>
      </c>
      <c r="S73" s="401"/>
      <c r="T73" s="116"/>
      <c r="U73" s="116"/>
      <c r="V73" s="116"/>
      <c r="W73" s="116"/>
      <c r="X73" s="116"/>
      <c r="Y73" s="116"/>
    </row>
    <row r="74" spans="1:25" ht="99.75" x14ac:dyDescent="0.3">
      <c r="A74" s="329"/>
      <c r="B74" s="329"/>
      <c r="C74" s="329"/>
      <c r="D74" s="329"/>
      <c r="E74" s="306" t="s">
        <v>61</v>
      </c>
      <c r="F74" s="307" t="s">
        <v>519</v>
      </c>
      <c r="G74" s="308">
        <v>0</v>
      </c>
      <c r="H74" s="308"/>
      <c r="I74" s="308">
        <v>0</v>
      </c>
      <c r="J74" s="308"/>
      <c r="K74" s="308">
        <v>342500</v>
      </c>
      <c r="L74" s="308"/>
      <c r="M74" s="308">
        <f t="shared" si="1"/>
        <v>342500</v>
      </c>
      <c r="N74" s="411"/>
      <c r="O74" s="109"/>
      <c r="P74" s="109"/>
      <c r="Q74" s="109"/>
      <c r="R74" s="109"/>
      <c r="S74" s="89">
        <f>R74/M74</f>
        <v>0</v>
      </c>
      <c r="T74" s="116"/>
      <c r="U74" s="116"/>
      <c r="V74" s="116"/>
      <c r="W74" s="116"/>
      <c r="X74" s="116"/>
      <c r="Y74" s="116"/>
    </row>
    <row r="75" spans="1:25" ht="114" x14ac:dyDescent="0.3">
      <c r="A75" s="329"/>
      <c r="B75" s="329"/>
      <c r="C75" s="329"/>
      <c r="D75" s="329"/>
      <c r="E75" s="306" t="s">
        <v>61</v>
      </c>
      <c r="F75" s="307" t="s">
        <v>520</v>
      </c>
      <c r="G75" s="308">
        <v>0</v>
      </c>
      <c r="H75" s="308"/>
      <c r="I75" s="308">
        <v>0</v>
      </c>
      <c r="J75" s="308"/>
      <c r="K75" s="308">
        <v>3000000</v>
      </c>
      <c r="L75" s="308"/>
      <c r="M75" s="308">
        <f t="shared" si="1"/>
        <v>3000000</v>
      </c>
      <c r="N75" s="411"/>
      <c r="O75" s="109"/>
      <c r="P75" s="109"/>
      <c r="Q75" s="109"/>
      <c r="R75" s="109"/>
      <c r="S75" s="89">
        <f t="shared" ref="S75:S133" si="3">R75/M75</f>
        <v>0</v>
      </c>
      <c r="T75" s="116"/>
      <c r="U75" s="116"/>
      <c r="V75" s="116"/>
      <c r="W75" s="116"/>
      <c r="X75" s="116"/>
      <c r="Y75" s="116"/>
    </row>
    <row r="76" spans="1:25" ht="99.75" x14ac:dyDescent="0.3">
      <c r="A76" s="329"/>
      <c r="B76" s="329"/>
      <c r="C76" s="329"/>
      <c r="D76" s="329"/>
      <c r="E76" s="306" t="s">
        <v>61</v>
      </c>
      <c r="F76" s="307" t="s">
        <v>521</v>
      </c>
      <c r="G76" s="308">
        <v>0</v>
      </c>
      <c r="H76" s="308"/>
      <c r="I76" s="308">
        <v>0</v>
      </c>
      <c r="J76" s="308"/>
      <c r="K76" s="308">
        <v>1630000</v>
      </c>
      <c r="L76" s="308"/>
      <c r="M76" s="308">
        <f t="shared" si="1"/>
        <v>1630000</v>
      </c>
      <c r="N76" s="411"/>
      <c r="O76" s="109"/>
      <c r="P76" s="109"/>
      <c r="Q76" s="109"/>
      <c r="R76" s="109"/>
      <c r="S76" s="89">
        <f t="shared" si="3"/>
        <v>0</v>
      </c>
      <c r="T76" s="116"/>
      <c r="U76" s="116"/>
      <c r="V76" s="116"/>
      <c r="W76" s="116"/>
      <c r="X76" s="116"/>
      <c r="Y76" s="116"/>
    </row>
    <row r="77" spans="1:25" ht="99.75" x14ac:dyDescent="0.3">
      <c r="A77" s="329"/>
      <c r="B77" s="329"/>
      <c r="C77" s="329"/>
      <c r="D77" s="329"/>
      <c r="E77" s="306" t="s">
        <v>61</v>
      </c>
      <c r="F77" s="307" t="s">
        <v>522</v>
      </c>
      <c r="G77" s="308">
        <v>0</v>
      </c>
      <c r="H77" s="308"/>
      <c r="I77" s="308">
        <v>0</v>
      </c>
      <c r="J77" s="308"/>
      <c r="K77" s="308">
        <v>1355000</v>
      </c>
      <c r="L77" s="308"/>
      <c r="M77" s="308">
        <f t="shared" si="1"/>
        <v>1355000</v>
      </c>
      <c r="N77" s="411"/>
      <c r="O77" s="109"/>
      <c r="P77" s="109"/>
      <c r="Q77" s="109"/>
      <c r="R77" s="109"/>
      <c r="S77" s="89">
        <f t="shared" si="3"/>
        <v>0</v>
      </c>
      <c r="T77" s="116"/>
      <c r="U77" s="116"/>
      <c r="V77" s="116"/>
      <c r="W77" s="116"/>
      <c r="X77" s="116"/>
      <c r="Y77" s="116"/>
    </row>
    <row r="78" spans="1:25" ht="114" x14ac:dyDescent="0.3">
      <c r="A78" s="329"/>
      <c r="B78" s="329"/>
      <c r="C78" s="329"/>
      <c r="D78" s="329"/>
      <c r="E78" s="306" t="s">
        <v>61</v>
      </c>
      <c r="F78" s="307" t="s">
        <v>523</v>
      </c>
      <c r="G78" s="308">
        <v>0</v>
      </c>
      <c r="H78" s="308"/>
      <c r="I78" s="308">
        <v>0</v>
      </c>
      <c r="J78" s="308"/>
      <c r="K78" s="308">
        <v>5042000</v>
      </c>
      <c r="L78" s="308"/>
      <c r="M78" s="308">
        <f t="shared" si="1"/>
        <v>5042000</v>
      </c>
      <c r="N78" s="411"/>
      <c r="O78" s="109"/>
      <c r="P78" s="109"/>
      <c r="Q78" s="109"/>
      <c r="R78" s="109"/>
      <c r="S78" s="89">
        <f t="shared" si="3"/>
        <v>0</v>
      </c>
      <c r="T78" s="116"/>
      <c r="U78" s="116"/>
      <c r="V78" s="116"/>
      <c r="W78" s="116"/>
      <c r="X78" s="116"/>
      <c r="Y78" s="116"/>
    </row>
    <row r="79" spans="1:25" ht="85.5" x14ac:dyDescent="0.3">
      <c r="A79" s="329"/>
      <c r="B79" s="329"/>
      <c r="C79" s="329"/>
      <c r="D79" s="329"/>
      <c r="E79" s="306" t="s">
        <v>61</v>
      </c>
      <c r="F79" s="307" t="s">
        <v>524</v>
      </c>
      <c r="G79" s="308">
        <v>0</v>
      </c>
      <c r="H79" s="308"/>
      <c r="I79" s="308">
        <v>0</v>
      </c>
      <c r="J79" s="308"/>
      <c r="K79" s="308">
        <v>305000</v>
      </c>
      <c r="L79" s="308"/>
      <c r="M79" s="308">
        <f t="shared" si="1"/>
        <v>305000</v>
      </c>
      <c r="N79" s="411"/>
      <c r="O79" s="109"/>
      <c r="P79" s="109"/>
      <c r="Q79" s="109"/>
      <c r="R79" s="109"/>
      <c r="S79" s="89">
        <f t="shared" si="3"/>
        <v>0</v>
      </c>
      <c r="T79" s="116"/>
      <c r="U79" s="116"/>
      <c r="V79" s="116"/>
      <c r="W79" s="116"/>
      <c r="X79" s="116"/>
      <c r="Y79" s="116"/>
    </row>
    <row r="80" spans="1:25" ht="99.75" x14ac:dyDescent="0.3">
      <c r="A80" s="329"/>
      <c r="B80" s="329"/>
      <c r="C80" s="329"/>
      <c r="D80" s="329"/>
      <c r="E80" s="306" t="s">
        <v>61</v>
      </c>
      <c r="F80" s="307" t="s">
        <v>525</v>
      </c>
      <c r="G80" s="308">
        <v>0</v>
      </c>
      <c r="H80" s="308"/>
      <c r="I80" s="308">
        <v>0</v>
      </c>
      <c r="J80" s="308"/>
      <c r="K80" s="308">
        <v>8610000</v>
      </c>
      <c r="L80" s="308"/>
      <c r="M80" s="308">
        <f t="shared" si="1"/>
        <v>8610000</v>
      </c>
      <c r="N80" s="411"/>
      <c r="O80" s="109"/>
      <c r="P80" s="109"/>
      <c r="Q80" s="109"/>
      <c r="R80" s="109"/>
      <c r="S80" s="89">
        <f t="shared" si="3"/>
        <v>0</v>
      </c>
      <c r="T80" s="116"/>
      <c r="U80" s="116"/>
      <c r="V80" s="116"/>
      <c r="W80" s="116"/>
      <c r="X80" s="116"/>
      <c r="Y80" s="116"/>
    </row>
    <row r="81" spans="1:25" ht="85.5" x14ac:dyDescent="0.3">
      <c r="A81" s="329"/>
      <c r="B81" s="329"/>
      <c r="C81" s="329"/>
      <c r="D81" s="329"/>
      <c r="E81" s="306" t="s">
        <v>61</v>
      </c>
      <c r="F81" s="307" t="s">
        <v>526</v>
      </c>
      <c r="G81" s="308">
        <v>0</v>
      </c>
      <c r="H81" s="308"/>
      <c r="I81" s="308">
        <v>0</v>
      </c>
      <c r="J81" s="308"/>
      <c r="K81" s="308">
        <v>2400000</v>
      </c>
      <c r="L81" s="308"/>
      <c r="M81" s="308">
        <f t="shared" si="1"/>
        <v>2400000</v>
      </c>
      <c r="N81" s="411"/>
      <c r="O81" s="109"/>
      <c r="P81" s="109"/>
      <c r="Q81" s="109"/>
      <c r="R81" s="109"/>
      <c r="S81" s="89">
        <f t="shared" si="3"/>
        <v>0</v>
      </c>
      <c r="T81" s="116"/>
      <c r="U81" s="116"/>
      <c r="V81" s="116"/>
      <c r="W81" s="116"/>
      <c r="X81" s="116"/>
      <c r="Y81" s="116"/>
    </row>
    <row r="82" spans="1:25" ht="99.75" x14ac:dyDescent="0.3">
      <c r="A82" s="329"/>
      <c r="B82" s="329"/>
      <c r="C82" s="329"/>
      <c r="D82" s="329"/>
      <c r="E82" s="306" t="s">
        <v>61</v>
      </c>
      <c r="F82" s="307" t="s">
        <v>527</v>
      </c>
      <c r="G82" s="308">
        <v>0</v>
      </c>
      <c r="H82" s="308"/>
      <c r="I82" s="308">
        <v>0</v>
      </c>
      <c r="J82" s="308"/>
      <c r="K82" s="308">
        <v>15043360</v>
      </c>
      <c r="L82" s="308"/>
      <c r="M82" s="308">
        <f t="shared" si="1"/>
        <v>15043360</v>
      </c>
      <c r="N82" s="411"/>
      <c r="O82" s="109"/>
      <c r="P82" s="109"/>
      <c r="Q82" s="109"/>
      <c r="R82" s="109"/>
      <c r="S82" s="89">
        <f t="shared" si="3"/>
        <v>0</v>
      </c>
      <c r="T82" s="116"/>
      <c r="U82" s="116"/>
      <c r="V82" s="116"/>
      <c r="W82" s="116"/>
      <c r="X82" s="116"/>
      <c r="Y82" s="116"/>
    </row>
    <row r="83" spans="1:25" ht="85.5" x14ac:dyDescent="0.3">
      <c r="A83" s="271" t="s">
        <v>220</v>
      </c>
      <c r="B83" s="271" t="s">
        <v>221</v>
      </c>
      <c r="C83" s="271" t="s">
        <v>222</v>
      </c>
      <c r="D83" s="271" t="s">
        <v>212</v>
      </c>
      <c r="E83" s="306" t="s">
        <v>223</v>
      </c>
      <c r="F83" s="307" t="s">
        <v>224</v>
      </c>
      <c r="G83" s="308">
        <v>200000000</v>
      </c>
      <c r="H83" s="308"/>
      <c r="I83" s="308"/>
      <c r="J83" s="308"/>
      <c r="K83" s="308">
        <v>66000000</v>
      </c>
      <c r="L83" s="308"/>
      <c r="M83" s="308">
        <f t="shared" si="1"/>
        <v>266000000</v>
      </c>
      <c r="N83" s="319">
        <f>+M83</f>
        <v>266000000</v>
      </c>
      <c r="O83" s="109"/>
      <c r="P83" s="109"/>
      <c r="Q83" s="315"/>
      <c r="R83" s="109"/>
      <c r="S83" s="89">
        <f t="shared" si="3"/>
        <v>0</v>
      </c>
      <c r="T83" s="116"/>
      <c r="U83" s="116"/>
      <c r="V83" s="116"/>
      <c r="W83" s="116"/>
      <c r="X83" s="116"/>
      <c r="Y83" s="116"/>
    </row>
    <row r="84" spans="1:25" ht="72" customHeight="1" x14ac:dyDescent="0.25">
      <c r="A84" s="329" t="s">
        <v>225</v>
      </c>
      <c r="B84" s="329" t="s">
        <v>226</v>
      </c>
      <c r="C84" s="329" t="s">
        <v>227</v>
      </c>
      <c r="D84" s="329" t="s">
        <v>212</v>
      </c>
      <c r="E84" s="306" t="s">
        <v>228</v>
      </c>
      <c r="F84" s="306" t="s">
        <v>229</v>
      </c>
      <c r="G84" s="316">
        <v>120000000</v>
      </c>
      <c r="H84" s="316"/>
      <c r="I84" s="316"/>
      <c r="J84" s="316"/>
      <c r="K84" s="316"/>
      <c r="L84" s="316"/>
      <c r="M84" s="308">
        <f t="shared" si="1"/>
        <v>120000000</v>
      </c>
      <c r="N84" s="411">
        <f>SUM(M84:M93)</f>
        <v>255206565</v>
      </c>
      <c r="O84" s="279" t="s">
        <v>1479</v>
      </c>
      <c r="P84" s="280" t="s">
        <v>1480</v>
      </c>
      <c r="Q84" s="309" t="s">
        <v>1481</v>
      </c>
      <c r="R84" s="310">
        <v>3024000</v>
      </c>
      <c r="S84" s="89">
        <f t="shared" si="3"/>
        <v>2.52E-2</v>
      </c>
      <c r="T84" s="116">
        <v>555</v>
      </c>
      <c r="U84" s="116" t="s">
        <v>1677</v>
      </c>
      <c r="V84" s="117">
        <v>3024000</v>
      </c>
      <c r="W84" s="116">
        <v>101</v>
      </c>
      <c r="X84" s="116" t="s">
        <v>1593</v>
      </c>
      <c r="Y84" s="117">
        <v>1960800</v>
      </c>
    </row>
    <row r="85" spans="1:25" ht="72" customHeight="1" x14ac:dyDescent="0.25">
      <c r="A85" s="329"/>
      <c r="B85" s="329"/>
      <c r="C85" s="329"/>
      <c r="D85" s="329"/>
      <c r="E85" s="306"/>
      <c r="F85" s="306"/>
      <c r="G85" s="316"/>
      <c r="H85" s="316"/>
      <c r="I85" s="316"/>
      <c r="J85" s="316"/>
      <c r="K85" s="316"/>
      <c r="L85" s="316"/>
      <c r="M85" s="308"/>
      <c r="N85" s="411"/>
      <c r="O85" s="279" t="s">
        <v>1482</v>
      </c>
      <c r="P85" s="280" t="s">
        <v>1483</v>
      </c>
      <c r="Q85" s="309" t="s">
        <v>1484</v>
      </c>
      <c r="R85" s="310">
        <v>205695</v>
      </c>
      <c r="S85" s="403">
        <f>R91/M86</f>
        <v>0.62649061329993472</v>
      </c>
      <c r="T85" s="116">
        <v>707</v>
      </c>
      <c r="U85" s="116" t="s">
        <v>1678</v>
      </c>
      <c r="V85" s="117">
        <v>205695</v>
      </c>
      <c r="W85" s="116">
        <v>2509</v>
      </c>
      <c r="X85" s="116" t="s">
        <v>1585</v>
      </c>
      <c r="Y85" s="117">
        <v>205695</v>
      </c>
    </row>
    <row r="86" spans="1:25" ht="84.75" customHeight="1" x14ac:dyDescent="0.25">
      <c r="A86" s="329"/>
      <c r="B86" s="329"/>
      <c r="C86" s="329"/>
      <c r="D86" s="329"/>
      <c r="E86" s="402" t="s">
        <v>528</v>
      </c>
      <c r="F86" s="402" t="s">
        <v>529</v>
      </c>
      <c r="G86" s="402">
        <v>75053000</v>
      </c>
      <c r="H86" s="402"/>
      <c r="I86" s="402"/>
      <c r="J86" s="402"/>
      <c r="K86" s="402"/>
      <c r="L86" s="402"/>
      <c r="M86" s="402">
        <f t="shared" si="1"/>
        <v>75053000</v>
      </c>
      <c r="N86" s="411"/>
      <c r="O86" s="439" t="s">
        <v>1442</v>
      </c>
      <c r="P86" s="280" t="s">
        <v>1443</v>
      </c>
      <c r="Q86" s="309" t="s">
        <v>1444</v>
      </c>
      <c r="R86" s="310">
        <v>1320000</v>
      </c>
      <c r="S86" s="403"/>
      <c r="T86" s="116">
        <v>379</v>
      </c>
      <c r="U86" s="116" t="s">
        <v>1572</v>
      </c>
      <c r="V86" s="117">
        <v>1320000</v>
      </c>
      <c r="W86" s="116">
        <v>1940</v>
      </c>
      <c r="X86" s="116" t="s">
        <v>1679</v>
      </c>
      <c r="Y86" s="117">
        <v>1200000</v>
      </c>
    </row>
    <row r="87" spans="1:25" ht="165" x14ac:dyDescent="0.25">
      <c r="A87" s="329"/>
      <c r="B87" s="329"/>
      <c r="C87" s="329"/>
      <c r="D87" s="329"/>
      <c r="E87" s="402"/>
      <c r="F87" s="402"/>
      <c r="G87" s="402"/>
      <c r="H87" s="402"/>
      <c r="I87" s="402"/>
      <c r="J87" s="402"/>
      <c r="K87" s="402"/>
      <c r="L87" s="402"/>
      <c r="M87" s="402"/>
      <c r="N87" s="411"/>
      <c r="O87" s="439" t="s">
        <v>1445</v>
      </c>
      <c r="P87" s="280" t="s">
        <v>1446</v>
      </c>
      <c r="Q87" s="309" t="s">
        <v>1447</v>
      </c>
      <c r="R87" s="310">
        <v>40000000</v>
      </c>
      <c r="S87" s="403"/>
      <c r="T87" s="116">
        <v>607</v>
      </c>
      <c r="U87" s="116" t="s">
        <v>1680</v>
      </c>
      <c r="V87" s="117">
        <v>40000000</v>
      </c>
      <c r="W87" s="116">
        <v>2273</v>
      </c>
      <c r="X87" s="116" t="s">
        <v>1681</v>
      </c>
      <c r="Y87" s="117">
        <v>39987570</v>
      </c>
    </row>
    <row r="88" spans="1:25" ht="99" x14ac:dyDescent="0.25">
      <c r="A88" s="329"/>
      <c r="B88" s="329"/>
      <c r="C88" s="329"/>
      <c r="D88" s="329"/>
      <c r="E88" s="402"/>
      <c r="F88" s="402"/>
      <c r="G88" s="402"/>
      <c r="H88" s="402"/>
      <c r="I88" s="402"/>
      <c r="J88" s="402"/>
      <c r="K88" s="402"/>
      <c r="L88" s="402"/>
      <c r="M88" s="402"/>
      <c r="N88" s="411"/>
      <c r="O88" s="439" t="s">
        <v>1448</v>
      </c>
      <c r="P88" s="280" t="s">
        <v>1449</v>
      </c>
      <c r="Q88" s="309" t="s">
        <v>1450</v>
      </c>
      <c r="R88" s="310">
        <v>600000</v>
      </c>
      <c r="S88" s="403"/>
      <c r="T88" s="116">
        <v>628</v>
      </c>
      <c r="U88" s="116" t="s">
        <v>1593</v>
      </c>
      <c r="V88" s="117">
        <v>600000</v>
      </c>
      <c r="W88" s="116" t="s">
        <v>1580</v>
      </c>
      <c r="X88" s="116" t="s">
        <v>1580</v>
      </c>
      <c r="Y88" s="116" t="s">
        <v>1580</v>
      </c>
    </row>
    <row r="89" spans="1:25" ht="99" x14ac:dyDescent="0.25">
      <c r="A89" s="329"/>
      <c r="B89" s="329"/>
      <c r="C89" s="329"/>
      <c r="D89" s="329"/>
      <c r="E89" s="402"/>
      <c r="F89" s="402"/>
      <c r="G89" s="402"/>
      <c r="H89" s="402"/>
      <c r="I89" s="402"/>
      <c r="J89" s="402"/>
      <c r="K89" s="402"/>
      <c r="L89" s="402"/>
      <c r="M89" s="402"/>
      <c r="N89" s="411"/>
      <c r="O89" s="439" t="s">
        <v>1451</v>
      </c>
      <c r="P89" s="280" t="s">
        <v>1452</v>
      </c>
      <c r="Q89" s="309" t="s">
        <v>1453</v>
      </c>
      <c r="R89" s="310">
        <v>3500000</v>
      </c>
      <c r="S89" s="403"/>
      <c r="T89" s="116">
        <v>627</v>
      </c>
      <c r="U89" s="116" t="s">
        <v>1593</v>
      </c>
      <c r="V89" s="117">
        <v>3500000</v>
      </c>
      <c r="W89" s="116" t="s">
        <v>1580</v>
      </c>
      <c r="X89" s="116" t="s">
        <v>1580</v>
      </c>
      <c r="Y89" s="116" t="s">
        <v>1580</v>
      </c>
    </row>
    <row r="90" spans="1:25" ht="66" x14ac:dyDescent="0.25">
      <c r="A90" s="329"/>
      <c r="B90" s="329"/>
      <c r="C90" s="329"/>
      <c r="D90" s="329"/>
      <c r="E90" s="402"/>
      <c r="F90" s="402"/>
      <c r="G90" s="402"/>
      <c r="H90" s="402"/>
      <c r="I90" s="402"/>
      <c r="J90" s="402"/>
      <c r="K90" s="402"/>
      <c r="L90" s="402"/>
      <c r="M90" s="402"/>
      <c r="N90" s="411"/>
      <c r="O90" s="439" t="s">
        <v>1454</v>
      </c>
      <c r="P90" s="280" t="s">
        <v>1455</v>
      </c>
      <c r="Q90" s="309" t="s">
        <v>1456</v>
      </c>
      <c r="R90" s="310">
        <v>1600000</v>
      </c>
      <c r="S90" s="403"/>
      <c r="T90" s="116">
        <v>632</v>
      </c>
      <c r="U90" s="116" t="s">
        <v>1681</v>
      </c>
      <c r="V90" s="117">
        <v>1600000</v>
      </c>
      <c r="W90" s="116" t="s">
        <v>1580</v>
      </c>
      <c r="X90" s="116" t="s">
        <v>1580</v>
      </c>
      <c r="Y90" s="116" t="s">
        <v>1580</v>
      </c>
    </row>
    <row r="91" spans="1:25" ht="16.5" x14ac:dyDescent="0.3">
      <c r="A91" s="329"/>
      <c r="B91" s="329"/>
      <c r="C91" s="329"/>
      <c r="D91" s="329"/>
      <c r="E91" s="402"/>
      <c r="F91" s="402"/>
      <c r="G91" s="402"/>
      <c r="H91" s="402"/>
      <c r="I91" s="402"/>
      <c r="J91" s="402"/>
      <c r="K91" s="402"/>
      <c r="L91" s="402"/>
      <c r="M91" s="402"/>
      <c r="N91" s="411"/>
      <c r="O91" s="311" t="s">
        <v>637</v>
      </c>
      <c r="P91" s="317"/>
      <c r="Q91" s="317"/>
      <c r="R91" s="318">
        <f>SUM(R86:R90)</f>
        <v>47020000</v>
      </c>
      <c r="S91" s="403"/>
      <c r="T91" s="116"/>
      <c r="U91" s="116"/>
      <c r="V91" s="116"/>
      <c r="W91" s="116"/>
      <c r="X91" s="116"/>
      <c r="Y91" s="116"/>
    </row>
    <row r="92" spans="1:25" ht="71.25" x14ac:dyDescent="0.25">
      <c r="A92" s="329"/>
      <c r="B92" s="329"/>
      <c r="C92" s="329"/>
      <c r="D92" s="329"/>
      <c r="E92" s="306" t="s">
        <v>530</v>
      </c>
      <c r="F92" s="306" t="s">
        <v>531</v>
      </c>
      <c r="G92" s="308">
        <v>965583</v>
      </c>
      <c r="H92" s="308"/>
      <c r="I92" s="308"/>
      <c r="J92" s="308"/>
      <c r="K92" s="308"/>
      <c r="L92" s="308"/>
      <c r="M92" s="308">
        <f t="shared" si="1"/>
        <v>965583</v>
      </c>
      <c r="N92" s="411"/>
      <c r="O92" s="279" t="s">
        <v>741</v>
      </c>
      <c r="P92" s="280" t="s">
        <v>597</v>
      </c>
      <c r="Q92" s="309" t="s">
        <v>742</v>
      </c>
      <c r="R92" s="310">
        <v>877803</v>
      </c>
      <c r="S92" s="89">
        <f t="shared" si="3"/>
        <v>0.90909119153920481</v>
      </c>
      <c r="T92" s="116"/>
      <c r="U92" s="116"/>
      <c r="V92" s="116"/>
      <c r="W92" s="116"/>
      <c r="X92" s="116"/>
      <c r="Y92" s="116"/>
    </row>
    <row r="93" spans="1:25" ht="156.75" x14ac:dyDescent="0.3">
      <c r="A93" s="329"/>
      <c r="B93" s="329"/>
      <c r="C93" s="329"/>
      <c r="D93" s="329"/>
      <c r="E93" s="306" t="s">
        <v>532</v>
      </c>
      <c r="F93" s="306" t="s">
        <v>533</v>
      </c>
      <c r="G93" s="308">
        <v>59187982</v>
      </c>
      <c r="H93" s="308"/>
      <c r="I93" s="308"/>
      <c r="J93" s="308"/>
      <c r="K93" s="308"/>
      <c r="L93" s="308"/>
      <c r="M93" s="308">
        <f t="shared" si="1"/>
        <v>59187982</v>
      </c>
      <c r="N93" s="411"/>
      <c r="O93" s="109"/>
      <c r="P93" s="109"/>
      <c r="Q93" s="109"/>
      <c r="R93" s="109"/>
      <c r="S93" s="89">
        <f t="shared" si="3"/>
        <v>0</v>
      </c>
      <c r="T93" s="116"/>
      <c r="U93" s="116"/>
      <c r="V93" s="116"/>
      <c r="W93" s="116"/>
      <c r="X93" s="116"/>
      <c r="Y93" s="116"/>
    </row>
    <row r="94" spans="1:25" ht="33.6" customHeight="1" x14ac:dyDescent="0.3">
      <c r="A94" s="271" t="s">
        <v>1716</v>
      </c>
      <c r="B94" s="271" t="s">
        <v>1717</v>
      </c>
      <c r="C94" s="271" t="s">
        <v>1718</v>
      </c>
      <c r="D94" s="271" t="s">
        <v>212</v>
      </c>
      <c r="E94" s="306" t="s">
        <v>61</v>
      </c>
      <c r="F94" s="306" t="s">
        <v>1719</v>
      </c>
      <c r="G94" s="308"/>
      <c r="H94" s="308"/>
      <c r="I94" s="308"/>
      <c r="J94" s="308"/>
      <c r="K94" s="308"/>
      <c r="L94" s="308">
        <v>75000</v>
      </c>
      <c r="M94" s="308">
        <v>75000</v>
      </c>
      <c r="N94" s="319"/>
      <c r="O94" s="109"/>
      <c r="P94" s="109"/>
      <c r="Q94" s="109"/>
      <c r="R94" s="109"/>
      <c r="S94" s="89"/>
      <c r="T94" s="116"/>
      <c r="U94" s="116"/>
      <c r="V94" s="116"/>
      <c r="W94" s="116"/>
      <c r="X94" s="116"/>
      <c r="Y94" s="116"/>
    </row>
    <row r="95" spans="1:25" ht="33.6" customHeight="1" x14ac:dyDescent="0.3">
      <c r="A95" s="271"/>
      <c r="B95" s="271"/>
      <c r="C95" s="271"/>
      <c r="D95" s="271"/>
      <c r="E95" s="306"/>
      <c r="F95" s="306" t="s">
        <v>1720</v>
      </c>
      <c r="G95" s="308"/>
      <c r="H95" s="308"/>
      <c r="I95" s="308"/>
      <c r="J95" s="308"/>
      <c r="K95" s="308"/>
      <c r="L95" s="308">
        <v>7650360</v>
      </c>
      <c r="M95" s="308">
        <v>7650360</v>
      </c>
      <c r="N95" s="319"/>
      <c r="O95" s="109"/>
      <c r="P95" s="109"/>
      <c r="Q95" s="109"/>
      <c r="R95" s="109"/>
      <c r="S95" s="89"/>
      <c r="T95" s="116"/>
      <c r="U95" s="116"/>
      <c r="V95" s="116"/>
      <c r="W95" s="116"/>
      <c r="X95" s="116"/>
      <c r="Y95" s="116"/>
    </row>
    <row r="96" spans="1:25" ht="33.6" customHeight="1" x14ac:dyDescent="0.3">
      <c r="A96" s="271"/>
      <c r="B96" s="271"/>
      <c r="C96" s="271"/>
      <c r="D96" s="271"/>
      <c r="E96" s="306"/>
      <c r="F96" s="306" t="s">
        <v>1721</v>
      </c>
      <c r="G96" s="308"/>
      <c r="H96" s="308"/>
      <c r="I96" s="308"/>
      <c r="J96" s="308"/>
      <c r="K96" s="308"/>
      <c r="L96" s="308">
        <v>7000</v>
      </c>
      <c r="M96" s="308">
        <v>7000</v>
      </c>
      <c r="N96" s="319"/>
      <c r="O96" s="109"/>
      <c r="P96" s="109"/>
      <c r="Q96" s="109"/>
      <c r="R96" s="109"/>
      <c r="S96" s="89"/>
      <c r="T96" s="116"/>
      <c r="U96" s="116"/>
      <c r="V96" s="116"/>
      <c r="W96" s="116"/>
      <c r="X96" s="116"/>
      <c r="Y96" s="116"/>
    </row>
    <row r="97" spans="1:25" ht="33.6" customHeight="1" x14ac:dyDescent="0.3">
      <c r="A97" s="271"/>
      <c r="B97" s="271"/>
      <c r="C97" s="271"/>
      <c r="D97" s="271"/>
      <c r="E97" s="306"/>
      <c r="F97" s="306" t="s">
        <v>1722</v>
      </c>
      <c r="G97" s="308"/>
      <c r="H97" s="308"/>
      <c r="I97" s="308"/>
      <c r="J97" s="308"/>
      <c r="K97" s="308"/>
      <c r="L97" s="308">
        <v>50000</v>
      </c>
      <c r="M97" s="308">
        <v>50000</v>
      </c>
      <c r="N97" s="319"/>
      <c r="O97" s="109"/>
      <c r="P97" s="109"/>
      <c r="Q97" s="109"/>
      <c r="R97" s="109"/>
      <c r="S97" s="89"/>
      <c r="T97" s="116"/>
      <c r="U97" s="116"/>
      <c r="V97" s="116"/>
      <c r="W97" s="116"/>
      <c r="X97" s="116"/>
      <c r="Y97" s="116"/>
    </row>
    <row r="98" spans="1:25" ht="33.6" customHeight="1" x14ac:dyDescent="0.3">
      <c r="A98" s="271"/>
      <c r="B98" s="271"/>
      <c r="C98" s="271"/>
      <c r="D98" s="271"/>
      <c r="E98" s="306"/>
      <c r="F98" s="306" t="s">
        <v>1723</v>
      </c>
      <c r="G98" s="308"/>
      <c r="H98" s="308"/>
      <c r="I98" s="308"/>
      <c r="J98" s="308"/>
      <c r="K98" s="308"/>
      <c r="L98" s="308">
        <v>134000</v>
      </c>
      <c r="M98" s="308">
        <v>134000</v>
      </c>
      <c r="N98" s="319"/>
      <c r="O98" s="109"/>
      <c r="P98" s="109"/>
      <c r="Q98" s="109"/>
      <c r="R98" s="109"/>
      <c r="S98" s="89"/>
      <c r="T98" s="116"/>
      <c r="U98" s="116"/>
      <c r="V98" s="116"/>
      <c r="W98" s="116"/>
      <c r="X98" s="116"/>
      <c r="Y98" s="116"/>
    </row>
    <row r="99" spans="1:25" ht="33.6" customHeight="1" x14ac:dyDescent="0.3">
      <c r="A99" s="271"/>
      <c r="B99" s="271"/>
      <c r="C99" s="271"/>
      <c r="D99" s="271"/>
      <c r="E99" s="306"/>
      <c r="F99" s="306" t="s">
        <v>1724</v>
      </c>
      <c r="G99" s="308"/>
      <c r="H99" s="308"/>
      <c r="I99" s="308"/>
      <c r="J99" s="308"/>
      <c r="K99" s="308"/>
      <c r="L99" s="308">
        <v>500000</v>
      </c>
      <c r="M99" s="308">
        <v>500000</v>
      </c>
      <c r="N99" s="319"/>
      <c r="O99" s="109"/>
      <c r="P99" s="109"/>
      <c r="Q99" s="109"/>
      <c r="R99" s="109"/>
      <c r="S99" s="89"/>
      <c r="T99" s="116"/>
      <c r="U99" s="116"/>
      <c r="V99" s="116"/>
      <c r="W99" s="116"/>
      <c r="X99" s="116"/>
      <c r="Y99" s="116"/>
    </row>
    <row r="100" spans="1:25" ht="33.6" customHeight="1" x14ac:dyDescent="0.3">
      <c r="A100" s="271"/>
      <c r="B100" s="271"/>
      <c r="C100" s="271"/>
      <c r="D100" s="271"/>
      <c r="E100" s="306"/>
      <c r="F100" s="306" t="s">
        <v>1725</v>
      </c>
      <c r="G100" s="308"/>
      <c r="H100" s="308"/>
      <c r="I100" s="308"/>
      <c r="J100" s="308"/>
      <c r="K100" s="308"/>
      <c r="L100" s="308">
        <v>78400</v>
      </c>
      <c r="M100" s="308">
        <v>78400</v>
      </c>
      <c r="N100" s="319"/>
      <c r="O100" s="109"/>
      <c r="P100" s="109"/>
      <c r="Q100" s="109"/>
      <c r="R100" s="109"/>
      <c r="S100" s="89"/>
      <c r="T100" s="116"/>
      <c r="U100" s="116"/>
      <c r="V100" s="116"/>
      <c r="W100" s="116"/>
      <c r="X100" s="116"/>
      <c r="Y100" s="116"/>
    </row>
    <row r="101" spans="1:25" ht="33.6" customHeight="1" x14ac:dyDescent="0.3">
      <c r="A101" s="271"/>
      <c r="B101" s="271"/>
      <c r="C101" s="271"/>
      <c r="D101" s="271"/>
      <c r="E101" s="306"/>
      <c r="F101" s="306" t="s">
        <v>1726</v>
      </c>
      <c r="G101" s="308"/>
      <c r="H101" s="308"/>
      <c r="I101" s="308"/>
      <c r="J101" s="308"/>
      <c r="K101" s="308"/>
      <c r="L101" s="308">
        <v>1200</v>
      </c>
      <c r="M101" s="308">
        <v>1200</v>
      </c>
      <c r="N101" s="319"/>
      <c r="O101" s="109"/>
      <c r="P101" s="109"/>
      <c r="Q101" s="109"/>
      <c r="R101" s="109"/>
      <c r="S101" s="89"/>
      <c r="T101" s="116"/>
      <c r="U101" s="116"/>
      <c r="V101" s="116"/>
      <c r="W101" s="116"/>
      <c r="X101" s="116"/>
      <c r="Y101" s="116"/>
    </row>
    <row r="102" spans="1:25" ht="57" x14ac:dyDescent="0.3">
      <c r="A102" s="271"/>
      <c r="B102" s="271"/>
      <c r="C102" s="271"/>
      <c r="D102" s="271"/>
      <c r="E102" s="306"/>
      <c r="F102" s="306" t="s">
        <v>1727</v>
      </c>
      <c r="G102" s="308"/>
      <c r="H102" s="308"/>
      <c r="I102" s="308"/>
      <c r="J102" s="308"/>
      <c r="K102" s="308"/>
      <c r="L102" s="308">
        <v>110000</v>
      </c>
      <c r="M102" s="308">
        <v>110000</v>
      </c>
      <c r="N102" s="319"/>
      <c r="O102" s="109"/>
      <c r="P102" s="109"/>
      <c r="Q102" s="109"/>
      <c r="R102" s="109"/>
      <c r="S102" s="89"/>
      <c r="T102" s="116"/>
      <c r="U102" s="116"/>
      <c r="V102" s="116"/>
      <c r="W102" s="116"/>
      <c r="X102" s="116"/>
      <c r="Y102" s="116"/>
    </row>
    <row r="103" spans="1:25" ht="57" x14ac:dyDescent="0.3">
      <c r="A103" s="271"/>
      <c r="B103" s="271"/>
      <c r="C103" s="271"/>
      <c r="D103" s="271"/>
      <c r="E103" s="306"/>
      <c r="F103" s="306" t="s">
        <v>1728</v>
      </c>
      <c r="G103" s="308"/>
      <c r="H103" s="308"/>
      <c r="I103" s="308"/>
      <c r="J103" s="308"/>
      <c r="K103" s="308"/>
      <c r="L103" s="308">
        <v>12971000</v>
      </c>
      <c r="M103" s="308">
        <v>12971000</v>
      </c>
      <c r="N103" s="319"/>
      <c r="O103" s="109"/>
      <c r="P103" s="109"/>
      <c r="Q103" s="109"/>
      <c r="R103" s="109"/>
      <c r="S103" s="89"/>
      <c r="T103" s="116"/>
      <c r="U103" s="116"/>
      <c r="V103" s="116"/>
      <c r="W103" s="116"/>
      <c r="X103" s="116"/>
      <c r="Y103" s="116"/>
    </row>
    <row r="104" spans="1:25" ht="99.75" x14ac:dyDescent="0.3">
      <c r="A104" s="271"/>
      <c r="B104" s="271"/>
      <c r="C104" s="271"/>
      <c r="D104" s="271"/>
      <c r="E104" s="306"/>
      <c r="F104" s="306" t="s">
        <v>1729</v>
      </c>
      <c r="G104" s="308"/>
      <c r="H104" s="308"/>
      <c r="I104" s="308"/>
      <c r="J104" s="308"/>
      <c r="K104" s="308"/>
      <c r="L104" s="308">
        <v>700</v>
      </c>
      <c r="M104" s="308">
        <v>700</v>
      </c>
      <c r="N104" s="319"/>
      <c r="O104" s="109"/>
      <c r="P104" s="109"/>
      <c r="Q104" s="109"/>
      <c r="R104" s="109"/>
      <c r="S104" s="89"/>
      <c r="T104" s="116"/>
      <c r="U104" s="116"/>
      <c r="V104" s="116"/>
      <c r="W104" s="116"/>
      <c r="X104" s="116"/>
      <c r="Y104" s="116"/>
    </row>
    <row r="105" spans="1:25" ht="57" x14ac:dyDescent="0.3">
      <c r="A105" s="271"/>
      <c r="B105" s="271"/>
      <c r="C105" s="271"/>
      <c r="D105" s="271"/>
      <c r="E105" s="306"/>
      <c r="F105" s="306" t="s">
        <v>1730</v>
      </c>
      <c r="G105" s="308"/>
      <c r="H105" s="308"/>
      <c r="I105" s="308"/>
      <c r="J105" s="308"/>
      <c r="K105" s="308"/>
      <c r="L105" s="308">
        <v>1790250</v>
      </c>
      <c r="M105" s="308">
        <v>1790250</v>
      </c>
      <c r="N105" s="319"/>
      <c r="O105" s="109"/>
      <c r="P105" s="109"/>
      <c r="Q105" s="109"/>
      <c r="R105" s="109"/>
      <c r="S105" s="89"/>
      <c r="T105" s="116"/>
      <c r="U105" s="116"/>
      <c r="V105" s="116"/>
      <c r="W105" s="116"/>
      <c r="X105" s="116"/>
      <c r="Y105" s="116"/>
    </row>
    <row r="106" spans="1:25" ht="42.75" x14ac:dyDescent="0.3">
      <c r="A106" s="271"/>
      <c r="B106" s="271"/>
      <c r="C106" s="271"/>
      <c r="D106" s="271"/>
      <c r="E106" s="306"/>
      <c r="F106" s="306" t="s">
        <v>1731</v>
      </c>
      <c r="G106" s="308"/>
      <c r="H106" s="308"/>
      <c r="I106" s="308"/>
      <c r="J106" s="308"/>
      <c r="K106" s="308"/>
      <c r="L106" s="308">
        <v>20364840</v>
      </c>
      <c r="M106" s="308">
        <v>20364840</v>
      </c>
      <c r="N106" s="319"/>
      <c r="O106" s="109"/>
      <c r="P106" s="109"/>
      <c r="Q106" s="109"/>
      <c r="R106" s="109"/>
      <c r="S106" s="89"/>
      <c r="T106" s="116"/>
      <c r="U106" s="116"/>
      <c r="V106" s="116"/>
      <c r="W106" s="116"/>
      <c r="X106" s="116"/>
      <c r="Y106" s="116"/>
    </row>
    <row r="107" spans="1:25" ht="128.25" x14ac:dyDescent="0.3">
      <c r="A107" s="271"/>
      <c r="B107" s="271"/>
      <c r="C107" s="271"/>
      <c r="D107" s="271"/>
      <c r="E107" s="306"/>
      <c r="F107" s="306" t="s">
        <v>1732</v>
      </c>
      <c r="G107" s="308"/>
      <c r="H107" s="308"/>
      <c r="I107" s="308"/>
      <c r="J107" s="308"/>
      <c r="K107" s="308"/>
      <c r="L107" s="308">
        <v>16037258</v>
      </c>
      <c r="M107" s="308">
        <v>16037258</v>
      </c>
      <c r="N107" s="319"/>
      <c r="O107" s="109"/>
      <c r="P107" s="109"/>
      <c r="Q107" s="109"/>
      <c r="R107" s="109"/>
      <c r="S107" s="89"/>
      <c r="T107" s="116"/>
      <c r="U107" s="116"/>
      <c r="V107" s="116"/>
      <c r="W107" s="116"/>
      <c r="X107" s="116"/>
      <c r="Y107" s="116"/>
    </row>
    <row r="108" spans="1:25" ht="99.75" x14ac:dyDescent="0.3">
      <c r="A108" s="271"/>
      <c r="B108" s="271"/>
      <c r="C108" s="271"/>
      <c r="D108" s="271"/>
      <c r="E108" s="306"/>
      <c r="F108" s="306" t="s">
        <v>1733</v>
      </c>
      <c r="G108" s="308"/>
      <c r="H108" s="308"/>
      <c r="I108" s="308"/>
      <c r="J108" s="308"/>
      <c r="K108" s="308"/>
      <c r="L108" s="308">
        <v>97800</v>
      </c>
      <c r="M108" s="308">
        <v>97800</v>
      </c>
      <c r="N108" s="319"/>
      <c r="O108" s="109"/>
      <c r="P108" s="109"/>
      <c r="Q108" s="109"/>
      <c r="R108" s="109"/>
      <c r="S108" s="89"/>
      <c r="T108" s="116"/>
      <c r="U108" s="116"/>
      <c r="V108" s="116"/>
      <c r="W108" s="116"/>
      <c r="X108" s="116"/>
      <c r="Y108" s="116"/>
    </row>
    <row r="109" spans="1:25" ht="71.25" x14ac:dyDescent="0.3">
      <c r="A109" s="271"/>
      <c r="B109" s="271"/>
      <c r="C109" s="271"/>
      <c r="D109" s="271"/>
      <c r="E109" s="306"/>
      <c r="F109" s="306" t="s">
        <v>1734</v>
      </c>
      <c r="G109" s="308"/>
      <c r="H109" s="308"/>
      <c r="I109" s="308"/>
      <c r="J109" s="308"/>
      <c r="K109" s="308"/>
      <c r="L109" s="308">
        <v>28000</v>
      </c>
      <c r="M109" s="308">
        <v>28000</v>
      </c>
      <c r="N109" s="319"/>
      <c r="O109" s="109"/>
      <c r="P109" s="109"/>
      <c r="Q109" s="109"/>
      <c r="R109" s="109"/>
      <c r="S109" s="89"/>
      <c r="T109" s="116"/>
      <c r="U109" s="116"/>
      <c r="V109" s="116"/>
      <c r="W109" s="116"/>
      <c r="X109" s="116"/>
      <c r="Y109" s="116"/>
    </row>
    <row r="110" spans="1:25" ht="57" x14ac:dyDescent="0.3">
      <c r="A110" s="271"/>
      <c r="B110" s="271"/>
      <c r="C110" s="271"/>
      <c r="D110" s="271"/>
      <c r="E110" s="306"/>
      <c r="F110" s="306" t="s">
        <v>1735</v>
      </c>
      <c r="G110" s="308"/>
      <c r="H110" s="308"/>
      <c r="I110" s="308"/>
      <c r="J110" s="308"/>
      <c r="K110" s="308"/>
      <c r="L110" s="308">
        <v>100000000</v>
      </c>
      <c r="M110" s="308">
        <v>100000000</v>
      </c>
      <c r="N110" s="319"/>
      <c r="O110" s="109"/>
      <c r="P110" s="109"/>
      <c r="Q110" s="109"/>
      <c r="R110" s="109"/>
      <c r="S110" s="89"/>
      <c r="T110" s="116"/>
      <c r="U110" s="116"/>
      <c r="V110" s="116"/>
      <c r="W110" s="116"/>
      <c r="X110" s="116"/>
      <c r="Y110" s="116"/>
    </row>
    <row r="111" spans="1:25" ht="57" x14ac:dyDescent="0.3">
      <c r="A111" s="271"/>
      <c r="B111" s="271"/>
      <c r="C111" s="271"/>
      <c r="D111" s="271"/>
      <c r="E111" s="306"/>
      <c r="F111" s="306" t="s">
        <v>1736</v>
      </c>
      <c r="G111" s="308"/>
      <c r="H111" s="308"/>
      <c r="I111" s="308"/>
      <c r="J111" s="308"/>
      <c r="K111" s="308"/>
      <c r="L111" s="308">
        <v>77266740</v>
      </c>
      <c r="M111" s="308">
        <v>77266740</v>
      </c>
      <c r="N111" s="319"/>
      <c r="O111" s="109"/>
      <c r="P111" s="109"/>
      <c r="Q111" s="109"/>
      <c r="R111" s="109"/>
      <c r="S111" s="89"/>
      <c r="T111" s="116"/>
      <c r="U111" s="116"/>
      <c r="V111" s="116"/>
      <c r="W111" s="116"/>
      <c r="X111" s="116"/>
      <c r="Y111" s="116"/>
    </row>
    <row r="112" spans="1:25" ht="57" x14ac:dyDescent="0.3">
      <c r="A112" s="271"/>
      <c r="B112" s="271"/>
      <c r="C112" s="271"/>
      <c r="D112" s="271"/>
      <c r="E112" s="306"/>
      <c r="F112" s="306" t="s">
        <v>1737</v>
      </c>
      <c r="G112" s="308"/>
      <c r="H112" s="308"/>
      <c r="I112" s="308"/>
      <c r="J112" s="308"/>
      <c r="K112" s="308"/>
      <c r="L112" s="308">
        <v>29000235</v>
      </c>
      <c r="M112" s="308">
        <v>29000235</v>
      </c>
      <c r="N112" s="319"/>
      <c r="O112" s="109"/>
      <c r="P112" s="109"/>
      <c r="Q112" s="109"/>
      <c r="R112" s="109"/>
      <c r="S112" s="89"/>
      <c r="T112" s="116"/>
      <c r="U112" s="116"/>
      <c r="V112" s="116"/>
      <c r="W112" s="116"/>
      <c r="X112" s="116"/>
      <c r="Y112" s="116"/>
    </row>
    <row r="113" spans="1:25" ht="57" x14ac:dyDescent="0.3">
      <c r="A113" s="271"/>
      <c r="B113" s="271"/>
      <c r="C113" s="271"/>
      <c r="D113" s="271"/>
      <c r="E113" s="306"/>
      <c r="F113" s="306" t="s">
        <v>1738</v>
      </c>
      <c r="G113" s="308"/>
      <c r="H113" s="308"/>
      <c r="I113" s="308"/>
      <c r="J113" s="308"/>
      <c r="K113" s="308"/>
      <c r="L113" s="308">
        <v>245000</v>
      </c>
      <c r="M113" s="308">
        <v>245000</v>
      </c>
      <c r="N113" s="319"/>
      <c r="O113" s="109"/>
      <c r="P113" s="109"/>
      <c r="Q113" s="109"/>
      <c r="R113" s="109"/>
      <c r="S113" s="89"/>
      <c r="T113" s="116"/>
      <c r="U113" s="116"/>
      <c r="V113" s="116"/>
      <c r="W113" s="116"/>
      <c r="X113" s="116"/>
      <c r="Y113" s="116"/>
    </row>
    <row r="114" spans="1:25" ht="57" x14ac:dyDescent="0.3">
      <c r="A114" s="271"/>
      <c r="B114" s="271"/>
      <c r="C114" s="271"/>
      <c r="D114" s="271"/>
      <c r="E114" s="306"/>
      <c r="F114" s="306" t="s">
        <v>1739</v>
      </c>
      <c r="G114" s="308"/>
      <c r="H114" s="308"/>
      <c r="I114" s="308"/>
      <c r="J114" s="308"/>
      <c r="K114" s="308"/>
      <c r="L114" s="308">
        <v>6250000</v>
      </c>
      <c r="M114" s="308">
        <v>6250000</v>
      </c>
      <c r="N114" s="319"/>
      <c r="O114" s="109"/>
      <c r="P114" s="109"/>
      <c r="Q114" s="109"/>
      <c r="R114" s="109"/>
      <c r="S114" s="89"/>
      <c r="T114" s="116"/>
      <c r="U114" s="116"/>
      <c r="V114" s="116"/>
      <c r="W114" s="116"/>
      <c r="X114" s="116"/>
      <c r="Y114" s="116"/>
    </row>
    <row r="115" spans="1:25" ht="57" x14ac:dyDescent="0.3">
      <c r="A115" s="271"/>
      <c r="B115" s="271"/>
      <c r="C115" s="271"/>
      <c r="D115" s="271"/>
      <c r="E115" s="306"/>
      <c r="F115" s="306" t="s">
        <v>1740</v>
      </c>
      <c r="G115" s="308"/>
      <c r="H115" s="308"/>
      <c r="I115" s="308"/>
      <c r="J115" s="308"/>
      <c r="K115" s="308"/>
      <c r="L115" s="308">
        <v>3793000</v>
      </c>
      <c r="M115" s="308">
        <v>3793000</v>
      </c>
      <c r="N115" s="319"/>
      <c r="O115" s="109"/>
      <c r="P115" s="109"/>
      <c r="Q115" s="109"/>
      <c r="R115" s="109"/>
      <c r="S115" s="89"/>
      <c r="T115" s="116"/>
      <c r="U115" s="116"/>
      <c r="V115" s="116"/>
      <c r="W115" s="116"/>
      <c r="X115" s="116"/>
      <c r="Y115" s="116"/>
    </row>
    <row r="116" spans="1:25" ht="57" x14ac:dyDescent="0.3">
      <c r="A116" s="271"/>
      <c r="B116" s="271"/>
      <c r="C116" s="271"/>
      <c r="D116" s="271"/>
      <c r="E116" s="306"/>
      <c r="F116" s="306" t="s">
        <v>1741</v>
      </c>
      <c r="G116" s="308"/>
      <c r="H116" s="308"/>
      <c r="I116" s="308"/>
      <c r="J116" s="308"/>
      <c r="K116" s="308"/>
      <c r="L116" s="308">
        <v>936912</v>
      </c>
      <c r="M116" s="308">
        <v>936912</v>
      </c>
      <c r="N116" s="319"/>
      <c r="O116" s="109"/>
      <c r="P116" s="109"/>
      <c r="Q116" s="109"/>
      <c r="R116" s="109"/>
      <c r="S116" s="89"/>
      <c r="T116" s="116"/>
      <c r="U116" s="116"/>
      <c r="V116" s="116"/>
      <c r="W116" s="116"/>
      <c r="X116" s="116"/>
      <c r="Y116" s="116"/>
    </row>
    <row r="117" spans="1:25" ht="57" x14ac:dyDescent="0.3">
      <c r="A117" s="271"/>
      <c r="B117" s="271"/>
      <c r="C117" s="271"/>
      <c r="D117" s="271"/>
      <c r="E117" s="306"/>
      <c r="F117" s="306" t="s">
        <v>1742</v>
      </c>
      <c r="G117" s="308"/>
      <c r="H117" s="308"/>
      <c r="I117" s="308"/>
      <c r="J117" s="308"/>
      <c r="K117" s="308"/>
      <c r="L117" s="308">
        <v>172819332</v>
      </c>
      <c r="M117" s="308">
        <v>172819332</v>
      </c>
      <c r="N117" s="319"/>
      <c r="O117" s="109"/>
      <c r="P117" s="109"/>
      <c r="Q117" s="109"/>
      <c r="R117" s="109"/>
      <c r="S117" s="89"/>
      <c r="T117" s="116"/>
      <c r="U117" s="116"/>
      <c r="V117" s="116"/>
      <c r="W117" s="116"/>
      <c r="X117" s="116"/>
      <c r="Y117" s="116"/>
    </row>
    <row r="118" spans="1:25" ht="57.75" thickBot="1" x14ac:dyDescent="0.35">
      <c r="A118" s="271"/>
      <c r="B118" s="271"/>
      <c r="C118" s="271"/>
      <c r="D118" s="271"/>
      <c r="E118" s="306"/>
      <c r="F118" s="306" t="s">
        <v>1743</v>
      </c>
      <c r="G118" s="308"/>
      <c r="H118" s="308"/>
      <c r="I118" s="308"/>
      <c r="J118" s="308"/>
      <c r="K118" s="308"/>
      <c r="L118" s="308">
        <v>19000000</v>
      </c>
      <c r="M118" s="308">
        <v>19000000</v>
      </c>
      <c r="N118" s="319"/>
      <c r="O118" s="109"/>
      <c r="P118" s="109"/>
      <c r="Q118" s="109"/>
      <c r="R118" s="109"/>
      <c r="S118" s="89"/>
      <c r="T118" s="116"/>
      <c r="U118" s="116"/>
      <c r="V118" s="116"/>
      <c r="W118" s="116"/>
      <c r="X118" s="116"/>
      <c r="Y118" s="116"/>
    </row>
    <row r="119" spans="1:25" hidden="1" x14ac:dyDescent="0.25">
      <c r="A119" s="301"/>
      <c r="B119" s="301"/>
      <c r="C119" s="301"/>
      <c r="D119" s="301"/>
      <c r="E119" s="302"/>
      <c r="F119" s="302"/>
      <c r="G119" s="303"/>
      <c r="H119" s="303"/>
      <c r="I119" s="303"/>
      <c r="J119" s="303"/>
      <c r="K119" s="303"/>
      <c r="L119" s="303"/>
      <c r="M119" s="303"/>
      <c r="N119" s="304"/>
      <c r="O119" s="41"/>
      <c r="P119" s="41"/>
      <c r="Q119" s="41"/>
      <c r="R119" s="41"/>
      <c r="S119" s="305"/>
      <c r="T119" s="284"/>
      <c r="U119" s="284"/>
      <c r="V119" s="284"/>
      <c r="W119" s="284"/>
      <c r="X119" s="284"/>
      <c r="Y119" s="284"/>
    </row>
    <row r="120" spans="1:25" hidden="1" x14ac:dyDescent="0.25">
      <c r="A120" s="301"/>
      <c r="B120" s="301"/>
      <c r="C120" s="301"/>
      <c r="D120" s="301"/>
      <c r="E120" s="302"/>
      <c r="F120" s="302"/>
      <c r="G120" s="303"/>
      <c r="H120" s="303"/>
      <c r="I120" s="303"/>
      <c r="J120" s="303"/>
      <c r="K120" s="303"/>
      <c r="L120" s="303"/>
      <c r="M120" s="303"/>
      <c r="N120" s="304"/>
      <c r="O120" s="41"/>
      <c r="P120" s="41"/>
      <c r="Q120" s="41"/>
      <c r="R120" s="41"/>
      <c r="S120" s="305"/>
      <c r="T120" s="284"/>
      <c r="U120" s="284"/>
      <c r="V120" s="284"/>
      <c r="W120" s="284"/>
      <c r="X120" s="284"/>
      <c r="Y120" s="284"/>
    </row>
    <row r="121" spans="1:25" hidden="1" x14ac:dyDescent="0.25">
      <c r="A121" s="301"/>
      <c r="B121" s="301"/>
      <c r="C121" s="301"/>
      <c r="D121" s="301"/>
      <c r="E121" s="302"/>
      <c r="F121" s="302"/>
      <c r="G121" s="303"/>
      <c r="H121" s="303"/>
      <c r="I121" s="303"/>
      <c r="J121" s="303"/>
      <c r="K121" s="303"/>
      <c r="L121" s="303"/>
      <c r="M121" s="303"/>
      <c r="N121" s="304"/>
      <c r="O121" s="41"/>
      <c r="P121" s="41"/>
      <c r="Q121" s="41"/>
      <c r="R121" s="41"/>
      <c r="S121" s="305"/>
      <c r="T121" s="284"/>
      <c r="U121" s="284"/>
      <c r="V121" s="284"/>
      <c r="W121" s="284"/>
      <c r="X121" s="284"/>
      <c r="Y121" s="284"/>
    </row>
    <row r="122" spans="1:25" hidden="1" x14ac:dyDescent="0.25">
      <c r="A122" s="301"/>
      <c r="B122" s="301"/>
      <c r="C122" s="301"/>
      <c r="D122" s="301"/>
      <c r="E122" s="302"/>
      <c r="F122" s="302"/>
      <c r="G122" s="303"/>
      <c r="H122" s="303"/>
      <c r="I122" s="303"/>
      <c r="J122" s="303"/>
      <c r="K122" s="303"/>
      <c r="L122" s="303"/>
      <c r="M122" s="303"/>
      <c r="N122" s="304"/>
      <c r="O122" s="41"/>
      <c r="P122" s="41"/>
      <c r="Q122" s="41"/>
      <c r="R122" s="41"/>
      <c r="S122" s="305"/>
      <c r="T122" s="284"/>
      <c r="U122" s="284"/>
      <c r="V122" s="284"/>
      <c r="W122" s="284"/>
      <c r="X122" s="284"/>
      <c r="Y122" s="284"/>
    </row>
    <row r="123" spans="1:25" hidden="1" x14ac:dyDescent="0.25">
      <c r="A123" s="301"/>
      <c r="B123" s="301"/>
      <c r="C123" s="301"/>
      <c r="D123" s="301"/>
      <c r="E123" s="302"/>
      <c r="F123" s="302"/>
      <c r="G123" s="303"/>
      <c r="H123" s="303"/>
      <c r="I123" s="303"/>
      <c r="J123" s="303"/>
      <c r="K123" s="303"/>
      <c r="L123" s="303"/>
      <c r="M123" s="303"/>
      <c r="N123" s="304"/>
      <c r="O123" s="41"/>
      <c r="P123" s="41"/>
      <c r="Q123" s="41"/>
      <c r="R123" s="41"/>
      <c r="S123" s="305"/>
      <c r="T123" s="284"/>
      <c r="U123" s="284"/>
      <c r="V123" s="284"/>
      <c r="W123" s="284"/>
      <c r="X123" s="284"/>
      <c r="Y123" s="284"/>
    </row>
    <row r="124" spans="1:25" hidden="1" x14ac:dyDescent="0.25">
      <c r="A124" s="301"/>
      <c r="B124" s="301"/>
      <c r="C124" s="301"/>
      <c r="D124" s="301"/>
      <c r="E124" s="302"/>
      <c r="F124" s="302"/>
      <c r="G124" s="303"/>
      <c r="H124" s="303"/>
      <c r="I124" s="303"/>
      <c r="J124" s="303"/>
      <c r="K124" s="303"/>
      <c r="L124" s="303"/>
      <c r="M124" s="303"/>
      <c r="N124" s="304"/>
      <c r="O124" s="41"/>
      <c r="P124" s="41"/>
      <c r="Q124" s="41"/>
      <c r="R124" s="41"/>
      <c r="S124" s="305"/>
      <c r="T124" s="284"/>
      <c r="U124" s="284"/>
      <c r="V124" s="284"/>
      <c r="W124" s="284"/>
      <c r="X124" s="284"/>
      <c r="Y124" s="284"/>
    </row>
    <row r="125" spans="1:25" hidden="1" x14ac:dyDescent="0.25">
      <c r="A125" s="301"/>
      <c r="B125" s="301"/>
      <c r="C125" s="301"/>
      <c r="D125" s="301"/>
      <c r="E125" s="302"/>
      <c r="F125" s="302"/>
      <c r="G125" s="303"/>
      <c r="H125" s="303"/>
      <c r="I125" s="303"/>
      <c r="J125" s="303"/>
      <c r="K125" s="303"/>
      <c r="L125" s="303"/>
      <c r="M125" s="303"/>
      <c r="N125" s="304"/>
      <c r="O125" s="41"/>
      <c r="P125" s="41"/>
      <c r="Q125" s="41"/>
      <c r="R125" s="41"/>
      <c r="S125" s="305"/>
      <c r="T125" s="284"/>
      <c r="U125" s="284"/>
      <c r="V125" s="284"/>
      <c r="W125" s="284"/>
      <c r="X125" s="284"/>
      <c r="Y125" s="284"/>
    </row>
    <row r="126" spans="1:25" hidden="1" x14ac:dyDescent="0.25">
      <c r="A126" s="301"/>
      <c r="B126" s="301"/>
      <c r="C126" s="301"/>
      <c r="D126" s="301"/>
      <c r="E126" s="302"/>
      <c r="F126" s="302"/>
      <c r="G126" s="303"/>
      <c r="H126" s="303"/>
      <c r="I126" s="303"/>
      <c r="J126" s="303"/>
      <c r="K126" s="303"/>
      <c r="L126" s="303"/>
      <c r="M126" s="303"/>
      <c r="N126" s="304"/>
      <c r="O126" s="41"/>
      <c r="P126" s="41"/>
      <c r="Q126" s="41"/>
      <c r="R126" s="41"/>
      <c r="S126" s="305"/>
      <c r="T126" s="284"/>
      <c r="U126" s="284"/>
      <c r="V126" s="284"/>
      <c r="W126" s="284"/>
      <c r="X126" s="284"/>
      <c r="Y126" s="284"/>
    </row>
    <row r="127" spans="1:25" hidden="1" x14ac:dyDescent="0.25">
      <c r="A127" s="301"/>
      <c r="B127" s="301"/>
      <c r="C127" s="301"/>
      <c r="D127" s="301"/>
      <c r="E127" s="302"/>
      <c r="F127" s="302"/>
      <c r="G127" s="303"/>
      <c r="H127" s="303"/>
      <c r="I127" s="303"/>
      <c r="J127" s="303"/>
      <c r="K127" s="303"/>
      <c r="L127" s="303"/>
      <c r="M127" s="303"/>
      <c r="N127" s="304"/>
      <c r="O127" s="41"/>
      <c r="P127" s="41"/>
      <c r="Q127" s="41"/>
      <c r="R127" s="41"/>
      <c r="S127" s="305"/>
      <c r="T127" s="284"/>
      <c r="U127" s="284"/>
      <c r="V127" s="284"/>
      <c r="W127" s="284"/>
      <c r="X127" s="284"/>
      <c r="Y127" s="284"/>
    </row>
    <row r="128" spans="1:25" hidden="1" x14ac:dyDescent="0.25">
      <c r="A128" s="301"/>
      <c r="B128" s="301"/>
      <c r="C128" s="301"/>
      <c r="D128" s="301"/>
      <c r="E128" s="302"/>
      <c r="F128" s="302"/>
      <c r="G128" s="303"/>
      <c r="H128" s="303"/>
      <c r="I128" s="303"/>
      <c r="J128" s="303"/>
      <c r="K128" s="303"/>
      <c r="L128" s="303"/>
      <c r="M128" s="303"/>
      <c r="N128" s="304"/>
      <c r="O128" s="41"/>
      <c r="P128" s="41"/>
      <c r="Q128" s="41"/>
      <c r="R128" s="41"/>
      <c r="S128" s="305"/>
      <c r="T128" s="284"/>
      <c r="U128" s="284"/>
      <c r="V128" s="284"/>
      <c r="W128" s="284"/>
      <c r="X128" s="284"/>
      <c r="Y128" s="284"/>
    </row>
    <row r="129" spans="1:25" hidden="1" x14ac:dyDescent="0.25">
      <c r="A129" s="301"/>
      <c r="B129" s="301"/>
      <c r="C129" s="301"/>
      <c r="D129" s="301"/>
      <c r="E129" s="302"/>
      <c r="F129" s="302"/>
      <c r="G129" s="303"/>
      <c r="H129" s="303"/>
      <c r="I129" s="303"/>
      <c r="J129" s="303"/>
      <c r="K129" s="303"/>
      <c r="L129" s="303"/>
      <c r="M129" s="303"/>
      <c r="N129" s="304"/>
      <c r="O129" s="41"/>
      <c r="P129" s="41"/>
      <c r="Q129" s="41"/>
      <c r="R129" s="41"/>
      <c r="S129" s="305"/>
      <c r="T129" s="284"/>
      <c r="U129" s="284"/>
      <c r="V129" s="284"/>
      <c r="W129" s="284"/>
      <c r="X129" s="284"/>
      <c r="Y129" s="284"/>
    </row>
    <row r="130" spans="1:25" hidden="1" x14ac:dyDescent="0.25">
      <c r="A130" s="301"/>
      <c r="B130" s="301"/>
      <c r="C130" s="301"/>
      <c r="D130" s="301"/>
      <c r="E130" s="302"/>
      <c r="F130" s="302"/>
      <c r="G130" s="303"/>
      <c r="H130" s="303"/>
      <c r="I130" s="303"/>
      <c r="J130" s="303"/>
      <c r="K130" s="303"/>
      <c r="L130" s="303"/>
      <c r="M130" s="303"/>
      <c r="N130" s="304"/>
      <c r="O130" s="41"/>
      <c r="P130" s="41"/>
      <c r="Q130" s="41"/>
      <c r="R130" s="41"/>
      <c r="S130" s="305"/>
      <c r="T130" s="284"/>
      <c r="U130" s="284"/>
      <c r="V130" s="284"/>
      <c r="W130" s="284"/>
      <c r="X130" s="284"/>
      <c r="Y130" s="284"/>
    </row>
    <row r="131" spans="1:25" hidden="1" x14ac:dyDescent="0.25">
      <c r="A131" s="301"/>
      <c r="B131" s="301"/>
      <c r="C131" s="301"/>
      <c r="D131" s="301"/>
      <c r="E131" s="302"/>
      <c r="F131" s="302"/>
      <c r="G131" s="303"/>
      <c r="H131" s="303"/>
      <c r="I131" s="303"/>
      <c r="J131" s="303"/>
      <c r="K131" s="303"/>
      <c r="L131" s="303"/>
      <c r="M131" s="303"/>
      <c r="N131" s="304"/>
      <c r="O131" s="41"/>
      <c r="P131" s="41"/>
      <c r="Q131" s="41"/>
      <c r="R131" s="41"/>
      <c r="S131" s="305"/>
      <c r="T131" s="284"/>
      <c r="U131" s="284"/>
      <c r="V131" s="284"/>
      <c r="W131" s="284"/>
      <c r="X131" s="284"/>
      <c r="Y131" s="284"/>
    </row>
    <row r="132" spans="1:25" ht="15.75" hidden="1" thickBot="1" x14ac:dyDescent="0.3">
      <c r="A132" s="301"/>
      <c r="B132" s="301"/>
      <c r="C132" s="301"/>
      <c r="D132" s="301"/>
      <c r="E132" s="302"/>
      <c r="F132" s="302"/>
      <c r="G132" s="303"/>
      <c r="H132" s="303"/>
      <c r="I132" s="303"/>
      <c r="J132" s="303"/>
      <c r="K132" s="303"/>
      <c r="L132" s="303"/>
      <c r="M132" s="303"/>
      <c r="N132" s="304"/>
      <c r="O132" s="41"/>
      <c r="P132" s="41"/>
      <c r="Q132" s="41"/>
      <c r="R132" s="41"/>
      <c r="S132" s="305"/>
      <c r="T132" s="284"/>
      <c r="U132" s="284"/>
      <c r="V132" s="284"/>
      <c r="W132" s="284"/>
      <c r="X132" s="284"/>
      <c r="Y132" s="284"/>
    </row>
    <row r="133" spans="1:25" ht="19.5" thickBot="1" x14ac:dyDescent="0.35">
      <c r="L133" s="48" t="s">
        <v>637</v>
      </c>
      <c r="M133" s="49">
        <f>SUM(M2:M118)</f>
        <v>2543327725</v>
      </c>
      <c r="N133" s="50"/>
      <c r="O133" s="50"/>
      <c r="P133" s="50"/>
      <c r="Q133" s="50"/>
      <c r="R133" s="51">
        <f>R93+R92+R91+R83+R82+R81+R80+R79+R78+R77+R76+R75+R74+R73+R63+R62+R61+R60+R59+R58+R57+R56+R55+R54+R53+R52+R51+R50+R49+R48+R47+R46+R45+R44+R43+R42+R41+R40+R39+R38+R37+R36+R35+R34+R33+R32+R31+R30+R29+R28+R27+R26+R25+R24+R23+R22+R21+R20+R19</f>
        <v>395760340</v>
      </c>
      <c r="S133" s="92">
        <f t="shared" si="3"/>
        <v>0.15560729201739032</v>
      </c>
      <c r="T133" s="234"/>
      <c r="U133" s="235"/>
      <c r="V133" s="236">
        <f>SUM(V2:V93)</f>
        <v>414846292</v>
      </c>
      <c r="W133" s="235"/>
      <c r="X133" s="235"/>
      <c r="Y133" s="237">
        <f>SUM(Y2:Y93)</f>
        <v>382768928</v>
      </c>
    </row>
  </sheetData>
  <sheetProtection algorithmName="SHA-512" hashValue="gfmUegoRuth4ZyVn1QAD5HlDQtod2y+4S8br72M5B+pJNQmbMS2gUL1ZCIijR/wBO3A4P01rdhcN4QrWPLd8sw==" saltValue="3GDfGhW9gOebVrW7c0Vk/A==" spinCount="100000" sheet="1" objects="1" scenarios="1" formatCells="0" formatColumns="0" formatRows="0"/>
  <mergeCells count="45">
    <mergeCell ref="E64:E73"/>
    <mergeCell ref="D20:D82"/>
    <mergeCell ref="C20:C82"/>
    <mergeCell ref="B20:B82"/>
    <mergeCell ref="N84:N93"/>
    <mergeCell ref="M64:M73"/>
    <mergeCell ref="H64:H73"/>
    <mergeCell ref="G64:G73"/>
    <mergeCell ref="F64:F73"/>
    <mergeCell ref="D2:D19"/>
    <mergeCell ref="C2:C19"/>
    <mergeCell ref="B2:B19"/>
    <mergeCell ref="A2:A19"/>
    <mergeCell ref="I2:I19"/>
    <mergeCell ref="H2:H19"/>
    <mergeCell ref="G2:G19"/>
    <mergeCell ref="F2:F19"/>
    <mergeCell ref="E2:E19"/>
    <mergeCell ref="S2:S19"/>
    <mergeCell ref="L64:L73"/>
    <mergeCell ref="K64:K73"/>
    <mergeCell ref="J64:J73"/>
    <mergeCell ref="I64:I73"/>
    <mergeCell ref="N2:N19"/>
    <mergeCell ref="M2:M19"/>
    <mergeCell ref="L2:L19"/>
    <mergeCell ref="K2:K19"/>
    <mergeCell ref="J2:J19"/>
    <mergeCell ref="N20:N82"/>
    <mergeCell ref="A20:A82"/>
    <mergeCell ref="S64:S73"/>
    <mergeCell ref="M86:M91"/>
    <mergeCell ref="L86:L91"/>
    <mergeCell ref="K86:K91"/>
    <mergeCell ref="J86:J91"/>
    <mergeCell ref="I86:I91"/>
    <mergeCell ref="H86:H91"/>
    <mergeCell ref="G86:G91"/>
    <mergeCell ref="F86:F91"/>
    <mergeCell ref="E86:E91"/>
    <mergeCell ref="S85:S91"/>
    <mergeCell ref="A84:A93"/>
    <mergeCell ref="B84:B93"/>
    <mergeCell ref="C84:C93"/>
    <mergeCell ref="D84:D93"/>
  </mergeCells>
  <conditionalFormatting sqref="S1:S2 S20:S64 S92:S1048576 S74:S85">
    <cfRule type="cellIs" dxfId="23" priority="1" operator="between">
      <formula>0.51</formula>
      <formula>0.69</formula>
    </cfRule>
    <cfRule type="cellIs" dxfId="22" priority="2" operator="lessThan">
      <formula>0.5</formula>
    </cfRule>
    <cfRule type="cellIs" dxfId="21" priority="3" operator="greaterThan">
      <formula>0.7</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DZ37"/>
  <sheetViews>
    <sheetView zoomScale="60" zoomScaleNormal="60" workbookViewId="0">
      <pane ySplit="1" topLeftCell="A2" activePane="bottomLeft" state="frozen"/>
      <selection activeCell="G1" sqref="G1"/>
      <selection pane="bottomLeft" activeCell="I2" sqref="I2:I13"/>
    </sheetView>
  </sheetViews>
  <sheetFormatPr baseColWidth="10" defaultColWidth="0" defaultRowHeight="15" zeroHeight="1" x14ac:dyDescent="0.25"/>
  <cols>
    <col min="1" max="1" width="8.85546875" customWidth="1"/>
    <col min="2" max="2" width="15.85546875" customWidth="1"/>
    <col min="3" max="3" width="27.42578125" customWidth="1"/>
    <col min="4" max="5" width="11.42578125" customWidth="1"/>
    <col min="6" max="6" width="31.85546875" customWidth="1"/>
    <col min="7" max="7" width="18" style="2" bestFit="1" customWidth="1"/>
    <col min="8" max="8" width="11.42578125" customWidth="1"/>
    <col min="9" max="9" width="15.28515625" bestFit="1" customWidth="1"/>
    <col min="10" max="10" width="11.5703125" bestFit="1" customWidth="1"/>
    <col min="11" max="11" width="11.42578125" customWidth="1"/>
    <col min="12" max="12" width="11.5703125" bestFit="1" customWidth="1"/>
    <col min="13" max="13" width="23.85546875" bestFit="1" customWidth="1"/>
    <col min="14" max="14" width="15.5703125" bestFit="1" customWidth="1"/>
    <col min="15" max="15" width="29" customWidth="1"/>
    <col min="16" max="16" width="11.42578125" customWidth="1"/>
    <col min="17" max="17" width="18.28515625" customWidth="1"/>
    <col min="18" max="18" width="15.85546875" bestFit="1" customWidth="1"/>
    <col min="19" max="19" width="12.7109375" style="39" customWidth="1"/>
    <col min="20" max="21" width="11.42578125" customWidth="1"/>
    <col min="22" max="22" width="18.28515625" bestFit="1" customWidth="1"/>
    <col min="23" max="23" width="11.7109375" customWidth="1"/>
    <col min="24" max="24" width="11.42578125" customWidth="1"/>
    <col min="25" max="25" width="19" bestFit="1" customWidth="1"/>
    <col min="26" max="130" width="11.5703125" style="41" hidden="1"/>
    <col min="131" max="16384" width="11.42578125" hidden="1"/>
  </cols>
  <sheetData>
    <row r="1" spans="1:130" ht="89.25" x14ac:dyDescent="0.25">
      <c r="A1" s="107" t="s">
        <v>0</v>
      </c>
      <c r="B1" s="107" t="s">
        <v>1</v>
      </c>
      <c r="C1" s="107" t="s">
        <v>2</v>
      </c>
      <c r="D1" s="107" t="s">
        <v>3</v>
      </c>
      <c r="E1" s="107" t="s">
        <v>4</v>
      </c>
      <c r="F1" s="107" t="s">
        <v>638</v>
      </c>
      <c r="G1" s="107" t="s">
        <v>6</v>
      </c>
      <c r="H1" s="107" t="s">
        <v>7</v>
      </c>
      <c r="I1" s="107" t="s">
        <v>8</v>
      </c>
      <c r="J1" s="107" t="s">
        <v>9</v>
      </c>
      <c r="K1" s="107" t="s">
        <v>10</v>
      </c>
      <c r="L1" s="107" t="s">
        <v>11</v>
      </c>
      <c r="M1" s="107" t="s">
        <v>12</v>
      </c>
      <c r="N1" s="107" t="s">
        <v>13</v>
      </c>
      <c r="O1" s="107" t="s">
        <v>636</v>
      </c>
      <c r="P1" s="107" t="s">
        <v>628</v>
      </c>
      <c r="Q1" s="107" t="s">
        <v>1554</v>
      </c>
      <c r="R1" s="107" t="s">
        <v>651</v>
      </c>
      <c r="S1" s="108" t="s">
        <v>1535</v>
      </c>
      <c r="T1" s="107" t="s">
        <v>630</v>
      </c>
      <c r="U1" s="107" t="s">
        <v>631</v>
      </c>
      <c r="V1" s="107" t="s">
        <v>632</v>
      </c>
      <c r="W1" s="107" t="s">
        <v>633</v>
      </c>
      <c r="X1" s="107" t="s">
        <v>634</v>
      </c>
      <c r="Y1" s="107" t="s">
        <v>635</v>
      </c>
    </row>
    <row r="2" spans="1:130" s="15" customFormat="1" ht="138" customHeight="1" x14ac:dyDescent="0.25">
      <c r="A2" s="329" t="s">
        <v>181</v>
      </c>
      <c r="B2" s="329" t="s">
        <v>182</v>
      </c>
      <c r="C2" s="329" t="s">
        <v>183</v>
      </c>
      <c r="D2" s="323" t="s">
        <v>184</v>
      </c>
      <c r="E2" s="327" t="s">
        <v>185</v>
      </c>
      <c r="F2" s="327" t="s">
        <v>186</v>
      </c>
      <c r="G2" s="327">
        <v>150000000</v>
      </c>
      <c r="H2" s="327"/>
      <c r="I2" s="327"/>
      <c r="J2" s="327"/>
      <c r="K2" s="327"/>
      <c r="L2" s="327">
        <v>0</v>
      </c>
      <c r="M2" s="327">
        <f t="shared" ref="M2:M26" si="0">SUM(G2:L2)</f>
        <v>150000000</v>
      </c>
      <c r="N2" s="328">
        <f>SUM(M2:M16)</f>
        <v>201086150</v>
      </c>
      <c r="O2" s="123" t="s">
        <v>639</v>
      </c>
      <c r="P2" s="123" t="s">
        <v>652</v>
      </c>
      <c r="Q2" s="159" t="s">
        <v>664</v>
      </c>
      <c r="R2" s="113">
        <v>9424800</v>
      </c>
      <c r="S2" s="322">
        <f>(1*R13)/M2</f>
        <v>0.93636354666666666</v>
      </c>
      <c r="T2" s="114">
        <v>21</v>
      </c>
      <c r="U2" s="114" t="s">
        <v>1555</v>
      </c>
      <c r="V2" s="115">
        <v>9424800</v>
      </c>
      <c r="W2" s="114">
        <v>142</v>
      </c>
      <c r="X2" s="114" t="s">
        <v>1556</v>
      </c>
      <c r="Y2" s="115">
        <v>9241200</v>
      </c>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row>
    <row r="3" spans="1:130" s="15" customFormat="1" ht="153" customHeight="1" x14ac:dyDescent="0.25">
      <c r="A3" s="329"/>
      <c r="B3" s="329"/>
      <c r="C3" s="329"/>
      <c r="D3" s="323"/>
      <c r="E3" s="327"/>
      <c r="F3" s="327"/>
      <c r="G3" s="327"/>
      <c r="H3" s="327"/>
      <c r="I3" s="327"/>
      <c r="J3" s="327"/>
      <c r="K3" s="327"/>
      <c r="L3" s="327"/>
      <c r="M3" s="327"/>
      <c r="N3" s="328"/>
      <c r="O3" s="123" t="s">
        <v>1766</v>
      </c>
      <c r="P3" s="123" t="s">
        <v>653</v>
      </c>
      <c r="Q3" s="159" t="s">
        <v>665</v>
      </c>
      <c r="R3" s="113">
        <v>13170429</v>
      </c>
      <c r="S3" s="322"/>
      <c r="T3" s="114">
        <v>22</v>
      </c>
      <c r="U3" s="114" t="s">
        <v>1560</v>
      </c>
      <c r="V3" s="115">
        <v>13170429</v>
      </c>
      <c r="W3" s="114">
        <v>18</v>
      </c>
      <c r="X3" s="114" t="s">
        <v>1557</v>
      </c>
      <c r="Y3" s="115">
        <v>13170429</v>
      </c>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row>
    <row r="4" spans="1:130" s="15" customFormat="1" ht="163.5" customHeight="1" x14ac:dyDescent="0.25">
      <c r="A4" s="329"/>
      <c r="B4" s="329"/>
      <c r="C4" s="329"/>
      <c r="D4" s="323"/>
      <c r="E4" s="327"/>
      <c r="F4" s="327"/>
      <c r="G4" s="327"/>
      <c r="H4" s="327"/>
      <c r="I4" s="327"/>
      <c r="J4" s="327"/>
      <c r="K4" s="327"/>
      <c r="L4" s="327"/>
      <c r="M4" s="327"/>
      <c r="N4" s="328"/>
      <c r="O4" s="123" t="s">
        <v>640</v>
      </c>
      <c r="P4" s="123" t="s">
        <v>654</v>
      </c>
      <c r="Q4" s="159" t="s">
        <v>666</v>
      </c>
      <c r="R4" s="113">
        <v>8751600</v>
      </c>
      <c r="S4" s="322"/>
      <c r="T4" s="114">
        <v>23</v>
      </c>
      <c r="U4" s="114" t="s">
        <v>1560</v>
      </c>
      <c r="V4" s="115">
        <v>8751600</v>
      </c>
      <c r="W4" s="114">
        <v>146</v>
      </c>
      <c r="X4" s="114" t="s">
        <v>1558</v>
      </c>
      <c r="Y4" s="115">
        <v>8751600</v>
      </c>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row>
    <row r="5" spans="1:130" s="15" customFormat="1" ht="100.5" customHeight="1" x14ac:dyDescent="0.25">
      <c r="A5" s="329"/>
      <c r="B5" s="329"/>
      <c r="C5" s="329"/>
      <c r="D5" s="323"/>
      <c r="E5" s="327"/>
      <c r="F5" s="327"/>
      <c r="G5" s="327"/>
      <c r="H5" s="327"/>
      <c r="I5" s="327"/>
      <c r="J5" s="327"/>
      <c r="K5" s="327"/>
      <c r="L5" s="327"/>
      <c r="M5" s="327"/>
      <c r="N5" s="328"/>
      <c r="O5" s="123" t="s">
        <v>641</v>
      </c>
      <c r="P5" s="123" t="s">
        <v>655</v>
      </c>
      <c r="Q5" s="159" t="s">
        <v>667</v>
      </c>
      <c r="R5" s="113">
        <v>23000000</v>
      </c>
      <c r="S5" s="322"/>
      <c r="T5" s="114">
        <v>146</v>
      </c>
      <c r="U5" s="114" t="s">
        <v>1561</v>
      </c>
      <c r="V5" s="115">
        <v>23000000</v>
      </c>
      <c r="W5" s="114">
        <v>503</v>
      </c>
      <c r="X5" s="114" t="s">
        <v>1559</v>
      </c>
      <c r="Y5" s="115">
        <v>23000000</v>
      </c>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row>
    <row r="6" spans="1:130" s="15" customFormat="1" ht="144" customHeight="1" x14ac:dyDescent="0.25">
      <c r="A6" s="329"/>
      <c r="B6" s="329"/>
      <c r="C6" s="329"/>
      <c r="D6" s="323"/>
      <c r="E6" s="327"/>
      <c r="F6" s="327"/>
      <c r="G6" s="327"/>
      <c r="H6" s="327"/>
      <c r="I6" s="327"/>
      <c r="J6" s="327"/>
      <c r="K6" s="327"/>
      <c r="L6" s="327"/>
      <c r="M6" s="327"/>
      <c r="N6" s="328"/>
      <c r="O6" s="123" t="s">
        <v>642</v>
      </c>
      <c r="P6" s="123" t="s">
        <v>268</v>
      </c>
      <c r="Q6" s="159" t="s">
        <v>668</v>
      </c>
      <c r="R6" s="113">
        <v>5653333</v>
      </c>
      <c r="S6" s="322"/>
      <c r="T6" s="114">
        <v>373</v>
      </c>
      <c r="U6" s="114" t="s">
        <v>1562</v>
      </c>
      <c r="V6" s="115">
        <v>5653333</v>
      </c>
      <c r="W6" s="114">
        <v>1393</v>
      </c>
      <c r="X6" s="114" t="s">
        <v>1563</v>
      </c>
      <c r="Y6" s="115">
        <v>5653333</v>
      </c>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row>
    <row r="7" spans="1:130" s="16" customFormat="1" ht="144.75" customHeight="1" x14ac:dyDescent="0.25">
      <c r="A7" s="329"/>
      <c r="B7" s="329"/>
      <c r="C7" s="329"/>
      <c r="D7" s="323"/>
      <c r="E7" s="327"/>
      <c r="F7" s="327"/>
      <c r="G7" s="327"/>
      <c r="H7" s="327"/>
      <c r="I7" s="327"/>
      <c r="J7" s="327"/>
      <c r="K7" s="327"/>
      <c r="L7" s="327"/>
      <c r="M7" s="327"/>
      <c r="N7" s="328"/>
      <c r="O7" s="123" t="s">
        <v>645</v>
      </c>
      <c r="P7" s="123" t="s">
        <v>658</v>
      </c>
      <c r="Q7" s="159" t="s">
        <v>671</v>
      </c>
      <c r="R7" s="113">
        <v>1454370</v>
      </c>
      <c r="S7" s="322"/>
      <c r="T7" s="114">
        <v>508</v>
      </c>
      <c r="U7" s="114" t="s">
        <v>1568</v>
      </c>
      <c r="V7" s="115">
        <v>1454370</v>
      </c>
      <c r="W7" s="114">
        <v>1905</v>
      </c>
      <c r="X7" s="114" t="s">
        <v>1569</v>
      </c>
      <c r="Y7" s="115">
        <v>1454370</v>
      </c>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row>
    <row r="8" spans="1:130" s="16" customFormat="1" ht="145.5" customHeight="1" x14ac:dyDescent="0.25">
      <c r="A8" s="329"/>
      <c r="B8" s="329"/>
      <c r="C8" s="329"/>
      <c r="D8" s="323"/>
      <c r="E8" s="327"/>
      <c r="F8" s="327"/>
      <c r="G8" s="327"/>
      <c r="H8" s="327"/>
      <c r="I8" s="327"/>
      <c r="J8" s="327"/>
      <c r="K8" s="327"/>
      <c r="L8" s="327"/>
      <c r="M8" s="327"/>
      <c r="N8" s="328"/>
      <c r="O8" s="123" t="s">
        <v>646</v>
      </c>
      <c r="P8" s="123" t="s">
        <v>659</v>
      </c>
      <c r="Q8" s="159" t="s">
        <v>672</v>
      </c>
      <c r="R8" s="113">
        <v>11000000</v>
      </c>
      <c r="S8" s="322"/>
      <c r="T8" s="114">
        <v>833</v>
      </c>
      <c r="U8" s="114" t="s">
        <v>1570</v>
      </c>
      <c r="V8" s="115">
        <v>11000000</v>
      </c>
      <c r="W8" s="116">
        <v>2907</v>
      </c>
      <c r="X8" s="116" t="s">
        <v>1571</v>
      </c>
      <c r="Y8" s="117">
        <v>11000000</v>
      </c>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row>
    <row r="9" spans="1:130" s="16" customFormat="1" ht="136.5" customHeight="1" x14ac:dyDescent="0.25">
      <c r="A9" s="329"/>
      <c r="B9" s="329"/>
      <c r="C9" s="329"/>
      <c r="D9" s="323"/>
      <c r="E9" s="327"/>
      <c r="F9" s="327"/>
      <c r="G9" s="327"/>
      <c r="H9" s="327"/>
      <c r="I9" s="327"/>
      <c r="J9" s="327"/>
      <c r="K9" s="327"/>
      <c r="L9" s="327"/>
      <c r="M9" s="327"/>
      <c r="N9" s="328"/>
      <c r="O9" s="123" t="s">
        <v>647</v>
      </c>
      <c r="P9" s="123" t="s">
        <v>660</v>
      </c>
      <c r="Q9" s="159" t="s">
        <v>673</v>
      </c>
      <c r="R9" s="113">
        <v>17000000</v>
      </c>
      <c r="S9" s="322"/>
      <c r="T9" s="114">
        <v>835</v>
      </c>
      <c r="U9" s="114" t="s">
        <v>1570</v>
      </c>
      <c r="V9" s="115">
        <v>17000000</v>
      </c>
      <c r="W9" s="116">
        <v>2904</v>
      </c>
      <c r="X9" s="116" t="s">
        <v>1571</v>
      </c>
      <c r="Y9" s="117">
        <v>17000000</v>
      </c>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row>
    <row r="10" spans="1:130" s="16" customFormat="1" ht="113.25" customHeight="1" x14ac:dyDescent="0.25">
      <c r="A10" s="329"/>
      <c r="B10" s="329"/>
      <c r="C10" s="329"/>
      <c r="D10" s="323"/>
      <c r="E10" s="327"/>
      <c r="F10" s="327"/>
      <c r="G10" s="327"/>
      <c r="H10" s="327"/>
      <c r="I10" s="327"/>
      <c r="J10" s="327"/>
      <c r="K10" s="327"/>
      <c r="L10" s="327"/>
      <c r="M10" s="327"/>
      <c r="N10" s="328"/>
      <c r="O10" s="123" t="s">
        <v>648</v>
      </c>
      <c r="P10" s="123" t="s">
        <v>661</v>
      </c>
      <c r="Q10" s="159" t="s">
        <v>674</v>
      </c>
      <c r="R10" s="113">
        <v>29000000</v>
      </c>
      <c r="S10" s="322"/>
      <c r="T10" s="114">
        <v>831</v>
      </c>
      <c r="U10" s="114" t="s">
        <v>1570</v>
      </c>
      <c r="V10" s="115">
        <v>29000000</v>
      </c>
      <c r="W10" s="116">
        <v>2905</v>
      </c>
      <c r="X10" s="116" t="s">
        <v>1571</v>
      </c>
      <c r="Y10" s="117">
        <v>29000000</v>
      </c>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row>
    <row r="11" spans="1:130" s="16" customFormat="1" ht="148.5" customHeight="1" x14ac:dyDescent="0.25">
      <c r="A11" s="329"/>
      <c r="B11" s="329"/>
      <c r="C11" s="329"/>
      <c r="D11" s="323"/>
      <c r="E11" s="327"/>
      <c r="F11" s="327"/>
      <c r="G11" s="327"/>
      <c r="H11" s="327"/>
      <c r="I11" s="327"/>
      <c r="J11" s="327"/>
      <c r="K11" s="327"/>
      <c r="L11" s="327"/>
      <c r="M11" s="327"/>
      <c r="N11" s="328"/>
      <c r="O11" s="123" t="s">
        <v>649</v>
      </c>
      <c r="P11" s="123" t="s">
        <v>662</v>
      </c>
      <c r="Q11" s="159" t="s">
        <v>675</v>
      </c>
      <c r="R11" s="113">
        <v>11000000</v>
      </c>
      <c r="S11" s="322"/>
      <c r="T11" s="114">
        <v>834</v>
      </c>
      <c r="U11" s="114" t="s">
        <v>1570</v>
      </c>
      <c r="V11" s="115">
        <v>11000000</v>
      </c>
      <c r="W11" s="116">
        <v>2912</v>
      </c>
      <c r="X11" s="116" t="s">
        <v>1571</v>
      </c>
      <c r="Y11" s="117">
        <v>11000000</v>
      </c>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row>
    <row r="12" spans="1:130" s="16" customFormat="1" ht="137.25" customHeight="1" x14ac:dyDescent="0.25">
      <c r="A12" s="329"/>
      <c r="B12" s="329"/>
      <c r="C12" s="329"/>
      <c r="D12" s="323"/>
      <c r="E12" s="327"/>
      <c r="F12" s="327"/>
      <c r="G12" s="327"/>
      <c r="H12" s="327"/>
      <c r="I12" s="327"/>
      <c r="J12" s="327"/>
      <c r="K12" s="327"/>
      <c r="L12" s="327"/>
      <c r="M12" s="327"/>
      <c r="N12" s="328"/>
      <c r="O12" s="123" t="s">
        <v>650</v>
      </c>
      <c r="P12" s="123" t="s">
        <v>663</v>
      </c>
      <c r="Q12" s="159" t="s">
        <v>676</v>
      </c>
      <c r="R12" s="113">
        <v>11000000</v>
      </c>
      <c r="S12" s="322"/>
      <c r="T12" s="114">
        <v>832</v>
      </c>
      <c r="U12" s="114" t="s">
        <v>1570</v>
      </c>
      <c r="V12" s="115">
        <v>11000000</v>
      </c>
      <c r="W12" s="116">
        <v>2906</v>
      </c>
      <c r="X12" s="116" t="s">
        <v>1571</v>
      </c>
      <c r="Y12" s="117">
        <v>11000000</v>
      </c>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row>
    <row r="13" spans="1:130" s="16" customFormat="1" ht="45.75" customHeight="1" x14ac:dyDescent="0.25">
      <c r="A13" s="329"/>
      <c r="B13" s="329"/>
      <c r="C13" s="329"/>
      <c r="D13" s="323"/>
      <c r="E13" s="327"/>
      <c r="F13" s="327"/>
      <c r="G13" s="327"/>
      <c r="H13" s="327"/>
      <c r="I13" s="327"/>
      <c r="J13" s="327"/>
      <c r="K13" s="327"/>
      <c r="L13" s="327"/>
      <c r="M13" s="327"/>
      <c r="N13" s="328"/>
      <c r="O13" s="124" t="s">
        <v>637</v>
      </c>
      <c r="P13" s="124"/>
      <c r="Q13" s="160"/>
      <c r="R13" s="128">
        <f>SUM(R2:R12)</f>
        <v>140454532</v>
      </c>
      <c r="S13" s="322"/>
      <c r="T13" s="114"/>
      <c r="U13" s="114"/>
      <c r="V13" s="114"/>
      <c r="W13" s="114"/>
      <c r="X13" s="114"/>
      <c r="Y13" s="114"/>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row>
    <row r="14" spans="1:130" s="15" customFormat="1" ht="207" customHeight="1" x14ac:dyDescent="0.25">
      <c r="A14" s="329"/>
      <c r="B14" s="329"/>
      <c r="C14" s="329"/>
      <c r="D14" s="323"/>
      <c r="E14" s="118" t="s">
        <v>355</v>
      </c>
      <c r="F14" s="118" t="s">
        <v>356</v>
      </c>
      <c r="G14" s="119">
        <v>35086150</v>
      </c>
      <c r="H14" s="119"/>
      <c r="I14" s="119"/>
      <c r="J14" s="119"/>
      <c r="K14" s="119"/>
      <c r="L14" s="120">
        <v>0</v>
      </c>
      <c r="M14" s="120">
        <f t="shared" si="0"/>
        <v>35086150</v>
      </c>
      <c r="N14" s="328"/>
      <c r="O14" s="123" t="s">
        <v>643</v>
      </c>
      <c r="P14" s="123" t="s">
        <v>656</v>
      </c>
      <c r="Q14" s="159" t="s">
        <v>669</v>
      </c>
      <c r="R14" s="113">
        <v>23656000</v>
      </c>
      <c r="S14" s="121">
        <f>(R14*1)/M14</f>
        <v>0.67422615476477188</v>
      </c>
      <c r="T14" s="122">
        <v>446</v>
      </c>
      <c r="U14" s="114" t="s">
        <v>1564</v>
      </c>
      <c r="V14" s="115">
        <v>23656000</v>
      </c>
      <c r="W14" s="114">
        <v>2483</v>
      </c>
      <c r="X14" s="114" t="s">
        <v>1565</v>
      </c>
      <c r="Y14" s="115">
        <v>612424</v>
      </c>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row>
    <row r="15" spans="1:130" s="15" customFormat="1" ht="121.5" x14ac:dyDescent="0.25">
      <c r="A15" s="329"/>
      <c r="B15" s="329"/>
      <c r="C15" s="329"/>
      <c r="D15" s="323"/>
      <c r="E15" s="118" t="s">
        <v>357</v>
      </c>
      <c r="F15" s="118" t="s">
        <v>358</v>
      </c>
      <c r="G15" s="119">
        <v>12000000</v>
      </c>
      <c r="H15" s="119"/>
      <c r="I15" s="119"/>
      <c r="J15" s="119"/>
      <c r="K15" s="119"/>
      <c r="L15" s="120">
        <v>0</v>
      </c>
      <c r="M15" s="120">
        <f t="shared" si="0"/>
        <v>12000000</v>
      </c>
      <c r="N15" s="328"/>
      <c r="O15" s="123" t="s">
        <v>644</v>
      </c>
      <c r="P15" s="123" t="s">
        <v>657</v>
      </c>
      <c r="Q15" s="159" t="s">
        <v>670</v>
      </c>
      <c r="R15" s="113">
        <v>5000000</v>
      </c>
      <c r="S15" s="121">
        <f t="shared" ref="S15:S27" si="1">(R15*1)/M15</f>
        <v>0.41666666666666669</v>
      </c>
      <c r="T15" s="114">
        <v>471</v>
      </c>
      <c r="U15" s="114" t="s">
        <v>1566</v>
      </c>
      <c r="V15" s="115">
        <v>5000000</v>
      </c>
      <c r="W15" s="114">
        <v>2458</v>
      </c>
      <c r="X15" s="114" t="s">
        <v>1567</v>
      </c>
      <c r="Y15" s="115">
        <v>5000000</v>
      </c>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row>
    <row r="16" spans="1:130" s="15" customFormat="1" ht="148.5" x14ac:dyDescent="0.25">
      <c r="A16" s="329"/>
      <c r="B16" s="329"/>
      <c r="C16" s="329"/>
      <c r="D16" s="323"/>
      <c r="E16" s="118" t="s">
        <v>359</v>
      </c>
      <c r="F16" s="118" t="s">
        <v>360</v>
      </c>
      <c r="G16" s="119">
        <v>4000000</v>
      </c>
      <c r="H16" s="119"/>
      <c r="I16" s="119"/>
      <c r="J16" s="119"/>
      <c r="K16" s="119"/>
      <c r="L16" s="120">
        <v>0</v>
      </c>
      <c r="M16" s="120">
        <f t="shared" si="0"/>
        <v>4000000</v>
      </c>
      <c r="N16" s="328"/>
      <c r="O16" s="114"/>
      <c r="P16" s="114"/>
      <c r="Q16" s="161"/>
      <c r="R16" s="114"/>
      <c r="S16" s="121">
        <f t="shared" si="1"/>
        <v>0</v>
      </c>
      <c r="T16" s="114"/>
      <c r="U16" s="114"/>
      <c r="V16" s="114"/>
      <c r="W16" s="114"/>
      <c r="X16" s="114"/>
      <c r="Y16" s="114"/>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row>
    <row r="17" spans="1:130" s="15" customFormat="1" ht="36" customHeight="1" x14ac:dyDescent="0.25">
      <c r="A17" s="329" t="s">
        <v>14</v>
      </c>
      <c r="B17" s="329" t="s">
        <v>15</v>
      </c>
      <c r="C17" s="329" t="s">
        <v>16</v>
      </c>
      <c r="D17" s="323" t="s">
        <v>17</v>
      </c>
      <c r="E17" s="118" t="s">
        <v>18</v>
      </c>
      <c r="F17" s="118" t="s">
        <v>19</v>
      </c>
      <c r="G17" s="120">
        <v>0</v>
      </c>
      <c r="H17" s="120"/>
      <c r="I17" s="119">
        <v>6869275</v>
      </c>
      <c r="J17" s="120">
        <v>0</v>
      </c>
      <c r="K17" s="119"/>
      <c r="L17" s="119"/>
      <c r="M17" s="120">
        <f t="shared" si="0"/>
        <v>6869275</v>
      </c>
      <c r="N17" s="328">
        <f>SUM(M17:M26)</f>
        <v>720000000</v>
      </c>
      <c r="O17" s="114"/>
      <c r="P17" s="114"/>
      <c r="Q17" s="161"/>
      <c r="R17" s="323"/>
      <c r="S17" s="325">
        <f t="shared" si="1"/>
        <v>0</v>
      </c>
      <c r="T17" s="114"/>
      <c r="U17" s="114"/>
      <c r="V17" s="114"/>
      <c r="W17" s="114"/>
      <c r="X17" s="114"/>
      <c r="Y17" s="114"/>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row>
    <row r="18" spans="1:130" s="15" customFormat="1" ht="40.5" x14ac:dyDescent="0.25">
      <c r="A18" s="329"/>
      <c r="B18" s="329"/>
      <c r="C18" s="329"/>
      <c r="D18" s="323"/>
      <c r="E18" s="118" t="s">
        <v>544</v>
      </c>
      <c r="F18" s="118" t="s">
        <v>246</v>
      </c>
      <c r="G18" s="120">
        <v>0</v>
      </c>
      <c r="H18" s="120"/>
      <c r="I18" s="119">
        <v>14542881</v>
      </c>
      <c r="J18" s="120">
        <v>0</v>
      </c>
      <c r="K18" s="119"/>
      <c r="L18" s="119"/>
      <c r="M18" s="120">
        <f t="shared" si="0"/>
        <v>14542881</v>
      </c>
      <c r="N18" s="328"/>
      <c r="O18" s="114"/>
      <c r="P18" s="114"/>
      <c r="Q18" s="161"/>
      <c r="R18" s="323"/>
      <c r="S18" s="325"/>
      <c r="T18" s="114"/>
      <c r="U18" s="114"/>
      <c r="V18" s="114"/>
      <c r="W18" s="114"/>
      <c r="X18" s="114"/>
      <c r="Y18" s="114"/>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row>
    <row r="19" spans="1:130" s="15" customFormat="1" ht="27" x14ac:dyDescent="0.25">
      <c r="A19" s="329"/>
      <c r="B19" s="329"/>
      <c r="C19" s="329"/>
      <c r="D19" s="323"/>
      <c r="E19" s="118" t="s">
        <v>545</v>
      </c>
      <c r="F19" s="118" t="s">
        <v>546</v>
      </c>
      <c r="G19" s="120">
        <v>0</v>
      </c>
      <c r="H19" s="120"/>
      <c r="I19" s="119">
        <v>64000000</v>
      </c>
      <c r="J19" s="120">
        <v>0</v>
      </c>
      <c r="K19" s="119"/>
      <c r="L19" s="119"/>
      <c r="M19" s="120">
        <f t="shared" si="0"/>
        <v>64000000</v>
      </c>
      <c r="N19" s="328"/>
      <c r="O19" s="114"/>
      <c r="P19" s="114"/>
      <c r="Q19" s="161"/>
      <c r="R19" s="323"/>
      <c r="S19" s="325"/>
      <c r="T19" s="114"/>
      <c r="U19" s="114"/>
      <c r="V19" s="114"/>
      <c r="W19" s="114"/>
      <c r="X19" s="114"/>
      <c r="Y19" s="114"/>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row>
    <row r="20" spans="1:130" s="15" customFormat="1" ht="54" x14ac:dyDescent="0.25">
      <c r="A20" s="329"/>
      <c r="B20" s="329"/>
      <c r="C20" s="329"/>
      <c r="D20" s="323"/>
      <c r="E20" s="118" t="s">
        <v>547</v>
      </c>
      <c r="F20" s="118" t="s">
        <v>548</v>
      </c>
      <c r="G20" s="120">
        <v>0</v>
      </c>
      <c r="H20" s="120"/>
      <c r="I20" s="119">
        <v>17826700</v>
      </c>
      <c r="J20" s="120">
        <v>0</v>
      </c>
      <c r="K20" s="119"/>
      <c r="L20" s="119"/>
      <c r="M20" s="120">
        <f t="shared" si="0"/>
        <v>17826700</v>
      </c>
      <c r="N20" s="328"/>
      <c r="O20" s="114"/>
      <c r="P20" s="114"/>
      <c r="Q20" s="161"/>
      <c r="R20" s="323"/>
      <c r="S20" s="325"/>
      <c r="T20" s="114"/>
      <c r="U20" s="114"/>
      <c r="V20" s="114"/>
      <c r="W20" s="114"/>
      <c r="X20" s="114"/>
      <c r="Y20" s="114"/>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row>
    <row r="21" spans="1:130" s="15" customFormat="1" x14ac:dyDescent="0.25">
      <c r="A21" s="329"/>
      <c r="B21" s="329"/>
      <c r="C21" s="329"/>
      <c r="D21" s="323"/>
      <c r="E21" s="118" t="s">
        <v>549</v>
      </c>
      <c r="F21" s="118" t="s">
        <v>550</v>
      </c>
      <c r="G21" s="120">
        <v>0</v>
      </c>
      <c r="H21" s="120"/>
      <c r="I21" s="119">
        <v>31584000</v>
      </c>
      <c r="J21" s="120">
        <v>0</v>
      </c>
      <c r="K21" s="119"/>
      <c r="L21" s="119"/>
      <c r="M21" s="120">
        <f t="shared" si="0"/>
        <v>31584000</v>
      </c>
      <c r="N21" s="328"/>
      <c r="O21" s="114"/>
      <c r="P21" s="114"/>
      <c r="Q21" s="161"/>
      <c r="R21" s="323"/>
      <c r="S21" s="325"/>
      <c r="T21" s="114"/>
      <c r="U21" s="114"/>
      <c r="V21" s="114"/>
      <c r="W21" s="114"/>
      <c r="X21" s="114"/>
      <c r="Y21" s="114"/>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row>
    <row r="22" spans="1:130" s="15" customFormat="1" ht="27" x14ac:dyDescent="0.25">
      <c r="A22" s="329"/>
      <c r="B22" s="329"/>
      <c r="C22" s="329"/>
      <c r="D22" s="323"/>
      <c r="E22" s="118" t="s">
        <v>551</v>
      </c>
      <c r="F22" s="118" t="s">
        <v>552</v>
      </c>
      <c r="G22" s="120">
        <v>0</v>
      </c>
      <c r="H22" s="120"/>
      <c r="I22" s="119">
        <v>480932550</v>
      </c>
      <c r="J22" s="120">
        <v>0</v>
      </c>
      <c r="K22" s="119"/>
      <c r="L22" s="119"/>
      <c r="M22" s="120">
        <f t="shared" si="0"/>
        <v>480932550</v>
      </c>
      <c r="N22" s="328"/>
      <c r="O22" s="114"/>
      <c r="P22" s="114"/>
      <c r="Q22" s="161"/>
      <c r="R22" s="323"/>
      <c r="S22" s="325"/>
      <c r="T22" s="114"/>
      <c r="U22" s="114"/>
      <c r="V22" s="114"/>
      <c r="W22" s="114"/>
      <c r="X22" s="114"/>
      <c r="Y22" s="114"/>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row>
    <row r="23" spans="1:130" s="15" customFormat="1" ht="40.5" x14ac:dyDescent="0.25">
      <c r="A23" s="329"/>
      <c r="B23" s="329"/>
      <c r="C23" s="329"/>
      <c r="D23" s="323"/>
      <c r="E23" s="118" t="s">
        <v>553</v>
      </c>
      <c r="F23" s="118" t="s">
        <v>554</v>
      </c>
      <c r="G23" s="120">
        <v>0</v>
      </c>
      <c r="H23" s="120"/>
      <c r="I23" s="119">
        <v>20750000</v>
      </c>
      <c r="J23" s="120">
        <v>0</v>
      </c>
      <c r="K23" s="119"/>
      <c r="L23" s="119"/>
      <c r="M23" s="120">
        <f t="shared" si="0"/>
        <v>20750000</v>
      </c>
      <c r="N23" s="328"/>
      <c r="O23" s="114"/>
      <c r="P23" s="114"/>
      <c r="Q23" s="161"/>
      <c r="R23" s="323"/>
      <c r="S23" s="325"/>
      <c r="T23" s="114"/>
      <c r="U23" s="114"/>
      <c r="V23" s="114"/>
      <c r="W23" s="114"/>
      <c r="X23" s="114"/>
      <c r="Y23" s="114"/>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row>
    <row r="24" spans="1:130" s="15" customFormat="1" x14ac:dyDescent="0.25">
      <c r="A24" s="329"/>
      <c r="B24" s="329"/>
      <c r="C24" s="329"/>
      <c r="D24" s="323"/>
      <c r="E24" s="118" t="s">
        <v>555</v>
      </c>
      <c r="F24" s="118" t="s">
        <v>556</v>
      </c>
      <c r="G24" s="120">
        <v>0</v>
      </c>
      <c r="H24" s="120"/>
      <c r="I24" s="119">
        <v>79849000</v>
      </c>
      <c r="J24" s="120">
        <v>0</v>
      </c>
      <c r="K24" s="119"/>
      <c r="L24" s="119"/>
      <c r="M24" s="120">
        <f t="shared" si="0"/>
        <v>79849000</v>
      </c>
      <c r="N24" s="328"/>
      <c r="O24" s="114"/>
      <c r="P24" s="114"/>
      <c r="Q24" s="161"/>
      <c r="R24" s="323"/>
      <c r="S24" s="325"/>
      <c r="T24" s="114"/>
      <c r="U24" s="114"/>
      <c r="V24" s="114"/>
      <c r="W24" s="114"/>
      <c r="X24" s="114"/>
      <c r="Y24" s="114"/>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row>
    <row r="25" spans="1:130" s="15" customFormat="1" ht="27" x14ac:dyDescent="0.25">
      <c r="A25" s="329"/>
      <c r="B25" s="329"/>
      <c r="C25" s="329"/>
      <c r="D25" s="323"/>
      <c r="E25" s="118" t="s">
        <v>557</v>
      </c>
      <c r="F25" s="118" t="s">
        <v>558</v>
      </c>
      <c r="G25" s="120">
        <v>0</v>
      </c>
      <c r="H25" s="120"/>
      <c r="I25" s="119">
        <v>1909950</v>
      </c>
      <c r="J25" s="120">
        <v>0</v>
      </c>
      <c r="K25" s="119"/>
      <c r="L25" s="119"/>
      <c r="M25" s="120">
        <f t="shared" si="0"/>
        <v>1909950</v>
      </c>
      <c r="N25" s="328"/>
      <c r="O25" s="114"/>
      <c r="P25" s="114"/>
      <c r="Q25" s="161"/>
      <c r="R25" s="323"/>
      <c r="S25" s="325"/>
      <c r="T25" s="114"/>
      <c r="U25" s="114"/>
      <c r="V25" s="114"/>
      <c r="W25" s="114"/>
      <c r="X25" s="114"/>
      <c r="Y25" s="114"/>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row>
    <row r="26" spans="1:130" s="15" customFormat="1" ht="24" customHeight="1" thickBot="1" x14ac:dyDescent="0.3">
      <c r="A26" s="329"/>
      <c r="B26" s="329"/>
      <c r="C26" s="329"/>
      <c r="D26" s="323"/>
      <c r="E26" s="118" t="s">
        <v>559</v>
      </c>
      <c r="F26" s="118" t="s">
        <v>560</v>
      </c>
      <c r="G26" s="120">
        <v>0</v>
      </c>
      <c r="H26" s="120"/>
      <c r="I26" s="119">
        <v>1735644</v>
      </c>
      <c r="J26" s="120">
        <v>0</v>
      </c>
      <c r="K26" s="119"/>
      <c r="L26" s="207"/>
      <c r="M26" s="136">
        <f t="shared" si="0"/>
        <v>1735644</v>
      </c>
      <c r="N26" s="330"/>
      <c r="O26" s="208"/>
      <c r="P26" s="208"/>
      <c r="Q26" s="225"/>
      <c r="R26" s="324"/>
      <c r="S26" s="326"/>
      <c r="T26" s="208"/>
      <c r="U26" s="208"/>
      <c r="V26" s="208"/>
      <c r="W26" s="208"/>
      <c r="X26" s="208"/>
      <c r="Y26" s="208"/>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row>
    <row r="27" spans="1:130" ht="17.25" thickBot="1" x14ac:dyDescent="0.35">
      <c r="A27" s="109"/>
      <c r="B27" s="109"/>
      <c r="C27" s="109"/>
      <c r="D27" s="116"/>
      <c r="E27" s="116"/>
      <c r="F27" s="116"/>
      <c r="G27" s="129"/>
      <c r="H27" s="116"/>
      <c r="I27" s="116"/>
      <c r="J27" s="116"/>
      <c r="K27" s="224"/>
      <c r="L27" s="226" t="s">
        <v>637</v>
      </c>
      <c r="M27" s="227">
        <f>SUM(M2:M26)</f>
        <v>921086150</v>
      </c>
      <c r="N27" s="228"/>
      <c r="O27" s="228"/>
      <c r="P27" s="228"/>
      <c r="Q27" s="228"/>
      <c r="R27" s="229">
        <f>SUM(R13:R26)</f>
        <v>169110532</v>
      </c>
      <c r="S27" s="230">
        <f t="shared" si="1"/>
        <v>0.18359903902582836</v>
      </c>
      <c r="T27" s="228"/>
      <c r="U27" s="228"/>
      <c r="V27" s="231">
        <f>SUM(V2:V26)</f>
        <v>169110532</v>
      </c>
      <c r="W27" s="228"/>
      <c r="X27" s="228"/>
      <c r="Y27" s="232">
        <f>SUM(Y2:Y26)</f>
        <v>145883356</v>
      </c>
    </row>
    <row r="28" spans="1:130" hidden="1" x14ac:dyDescent="0.25">
      <c r="S28" s="40"/>
    </row>
    <row r="29" spans="1:130" hidden="1" x14ac:dyDescent="0.25">
      <c r="R29" s="41"/>
      <c r="S29" s="42"/>
      <c r="T29" s="41"/>
    </row>
    <row r="30" spans="1:130" hidden="1" x14ac:dyDescent="0.25">
      <c r="R30" s="41"/>
      <c r="S30" s="42"/>
      <c r="T30" s="41"/>
    </row>
    <row r="31" spans="1:130" hidden="1" x14ac:dyDescent="0.25">
      <c r="R31" s="41"/>
      <c r="S31" s="42"/>
      <c r="T31" s="41"/>
    </row>
    <row r="32" spans="1:130" hidden="1" x14ac:dyDescent="0.25">
      <c r="R32" s="41"/>
      <c r="S32" s="42"/>
      <c r="T32" s="41"/>
    </row>
    <row r="33" spans="18:20" hidden="1" x14ac:dyDescent="0.25">
      <c r="R33" s="41"/>
      <c r="S33" s="42"/>
      <c r="T33" s="41"/>
    </row>
    <row r="34" spans="18:20" hidden="1" x14ac:dyDescent="0.25">
      <c r="R34" s="41"/>
      <c r="S34" s="42"/>
      <c r="T34" s="41"/>
    </row>
    <row r="35" spans="18:20" hidden="1" x14ac:dyDescent="0.25">
      <c r="R35" s="41"/>
      <c r="S35" s="42"/>
      <c r="T35" s="41"/>
    </row>
    <row r="36" spans="18:20" hidden="1" x14ac:dyDescent="0.25">
      <c r="R36" s="41"/>
      <c r="S36" s="42"/>
      <c r="T36" s="41"/>
    </row>
    <row r="37" spans="18:20" hidden="1" x14ac:dyDescent="0.25">
      <c r="R37" s="41"/>
      <c r="S37" s="43"/>
      <c r="T37" s="41"/>
    </row>
  </sheetData>
  <sheetProtection algorithmName="SHA-512" hashValue="C8MNL7LzTOy+0CtnWuYpLarZtvvUwevfbJOIWqeJzbuGXoXW2ecE75xAGnKR+6Ca9b/2+cp0UR9JCHmVgvHegQ==" saltValue="J3GPtDyJ1RVWpH264OzpRw==" spinCount="100000" sheet="1" objects="1" scenarios="1" formatCells="0" formatColumns="0" formatRows="0"/>
  <mergeCells count="22">
    <mergeCell ref="A2:A16"/>
    <mergeCell ref="B2:B16"/>
    <mergeCell ref="C2:C16"/>
    <mergeCell ref="D2:D16"/>
    <mergeCell ref="M2:M13"/>
    <mergeCell ref="L2:L13"/>
    <mergeCell ref="F2:F13"/>
    <mergeCell ref="E2:E13"/>
    <mergeCell ref="I2:I13"/>
    <mergeCell ref="H2:H13"/>
    <mergeCell ref="G2:G13"/>
    <mergeCell ref="A17:A26"/>
    <mergeCell ref="B17:B26"/>
    <mergeCell ref="C17:C26"/>
    <mergeCell ref="D17:D26"/>
    <mergeCell ref="N17:N26"/>
    <mergeCell ref="S2:S13"/>
    <mergeCell ref="R17:R26"/>
    <mergeCell ref="S17:S26"/>
    <mergeCell ref="K2:K13"/>
    <mergeCell ref="J2:J13"/>
    <mergeCell ref="N2:N16"/>
  </mergeCells>
  <conditionalFormatting sqref="S14:S17 S1:S2 S37:S1048576 S27">
    <cfRule type="cellIs" dxfId="83" priority="1" operator="between">
      <formula>0.51</formula>
      <formula>0.69</formula>
    </cfRule>
    <cfRule type="cellIs" dxfId="82" priority="2" operator="between">
      <formula>0.51</formula>
      <formula>0.69</formula>
    </cfRule>
    <cfRule type="cellIs" dxfId="81" priority="3" operator="lessThan">
      <formula>0.5</formula>
    </cfRule>
    <cfRule type="cellIs" dxfId="80" priority="4" operator="greaterThan">
      <formula>0.7</formula>
    </cfRule>
    <cfRule type="cellIs" dxfId="79" priority="5" operator="between">
      <formula>0.51</formula>
      <formula>0.69</formula>
    </cfRule>
    <cfRule type="cellIs" dxfId="78" priority="6" operator="lessThan">
      <formula>50</formula>
    </cfRule>
    <cfRule type="cellIs" dxfId="77" priority="7" operator="greaterThan">
      <formula>0.7</formula>
    </cfRule>
    <cfRule type="cellIs" dxfId="76" priority="8" operator="between">
      <formula>0.51</formula>
      <formula>0.69</formula>
    </cfRule>
    <cfRule type="cellIs" dxfId="75" priority="9" operator="lessThan">
      <formula>0.5</formula>
    </cfRule>
    <cfRule type="cellIs" dxfId="74" priority="10" operator="greaterThan">
      <formula>0.7</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39997558519241921"/>
  </sheetPr>
  <dimension ref="A1:Y4"/>
  <sheetViews>
    <sheetView workbookViewId="0">
      <selection activeCell="A5" sqref="A5:XFD1048576"/>
    </sheetView>
  </sheetViews>
  <sheetFormatPr baseColWidth="10" defaultColWidth="0" defaultRowHeight="15" zeroHeight="1" x14ac:dyDescent="0.25"/>
  <cols>
    <col min="1" max="6" width="11.42578125" customWidth="1"/>
    <col min="7" max="7" width="11.7109375" bestFit="1" customWidth="1"/>
    <col min="8" max="8" width="11.42578125" customWidth="1"/>
    <col min="9" max="10" width="11.7109375" bestFit="1" customWidth="1"/>
    <col min="11" max="12" width="11.42578125" customWidth="1"/>
    <col min="13" max="13" width="17.28515625" bestFit="1" customWidth="1"/>
    <col min="14" max="17" width="11.42578125" customWidth="1"/>
    <col min="18" max="18" width="12.140625" bestFit="1" customWidth="1"/>
    <col min="19" max="19" width="11.5703125" style="38" bestFit="1" customWidth="1"/>
    <col min="20" max="20" width="11.7109375" bestFit="1" customWidth="1"/>
    <col min="21" max="21" width="11.42578125" customWidth="1"/>
    <col min="22" max="22" width="22.140625" customWidth="1"/>
    <col min="23" max="25" width="11.42578125" customWidth="1"/>
    <col min="26" max="16384" width="11.42578125" hidden="1"/>
  </cols>
  <sheetData>
    <row r="1" spans="1:25" x14ac:dyDescent="0.25"/>
    <row r="2" spans="1:25" ht="89.25" x14ac:dyDescent="0.25">
      <c r="A2" s="175" t="s">
        <v>0</v>
      </c>
      <c r="B2" s="175" t="s">
        <v>1</v>
      </c>
      <c r="C2" s="175" t="s">
        <v>2</v>
      </c>
      <c r="D2" s="175" t="s">
        <v>3</v>
      </c>
      <c r="E2" s="175" t="s">
        <v>4</v>
      </c>
      <c r="F2" s="175" t="s">
        <v>5</v>
      </c>
      <c r="G2" s="175" t="s">
        <v>6</v>
      </c>
      <c r="H2" s="175" t="s">
        <v>7</v>
      </c>
      <c r="I2" s="175" t="s">
        <v>8</v>
      </c>
      <c r="J2" s="175" t="s">
        <v>9</v>
      </c>
      <c r="K2" s="175" t="s">
        <v>10</v>
      </c>
      <c r="L2" s="175" t="s">
        <v>11</v>
      </c>
      <c r="M2" s="175" t="s">
        <v>12</v>
      </c>
      <c r="N2" s="175" t="s">
        <v>13</v>
      </c>
      <c r="O2" s="177" t="s">
        <v>636</v>
      </c>
      <c r="P2" s="177" t="s">
        <v>628</v>
      </c>
      <c r="Q2" s="177" t="s">
        <v>629</v>
      </c>
      <c r="R2" s="177" t="s">
        <v>722</v>
      </c>
      <c r="S2" s="187" t="s">
        <v>1535</v>
      </c>
      <c r="T2" s="177" t="s">
        <v>630</v>
      </c>
      <c r="U2" s="177" t="s">
        <v>631</v>
      </c>
      <c r="V2" s="177" t="s">
        <v>632</v>
      </c>
      <c r="W2" s="177" t="s">
        <v>633</v>
      </c>
      <c r="X2" s="177" t="s">
        <v>634</v>
      </c>
      <c r="Y2" s="177" t="s">
        <v>635</v>
      </c>
    </row>
    <row r="3" spans="1:25" ht="297.75" thickBot="1" x14ac:dyDescent="0.3">
      <c r="A3" s="251" t="s">
        <v>230</v>
      </c>
      <c r="B3" s="251" t="s">
        <v>231</v>
      </c>
      <c r="C3" s="283" t="s">
        <v>885</v>
      </c>
      <c r="D3" s="251" t="s">
        <v>232</v>
      </c>
      <c r="E3" s="251" t="s">
        <v>233</v>
      </c>
      <c r="F3" s="251" t="s">
        <v>234</v>
      </c>
      <c r="G3" s="251">
        <v>0</v>
      </c>
      <c r="H3" s="251"/>
      <c r="I3" s="251">
        <v>390600000</v>
      </c>
      <c r="J3" s="251">
        <v>0</v>
      </c>
      <c r="K3" s="251"/>
      <c r="L3" s="251"/>
      <c r="M3" s="296">
        <v>390600000</v>
      </c>
      <c r="N3" s="259"/>
      <c r="O3" s="297" t="s">
        <v>886</v>
      </c>
      <c r="P3" s="297" t="s">
        <v>887</v>
      </c>
      <c r="Q3" s="300" t="s">
        <v>888</v>
      </c>
      <c r="R3" s="281">
        <v>100856070</v>
      </c>
      <c r="S3" s="282">
        <f>R3/M3</f>
        <v>0.25820806451612904</v>
      </c>
      <c r="T3" s="259">
        <v>710</v>
      </c>
      <c r="U3" s="259" t="s">
        <v>1682</v>
      </c>
      <c r="V3" s="260">
        <v>100856070</v>
      </c>
      <c r="W3" s="259" t="s">
        <v>1580</v>
      </c>
      <c r="X3" s="259" t="s">
        <v>1580</v>
      </c>
      <c r="Y3" s="259" t="s">
        <v>1580</v>
      </c>
    </row>
    <row r="4" spans="1:25" ht="15.75" thickBot="1" x14ac:dyDescent="0.3">
      <c r="M4" s="298">
        <f>SUM(M3)</f>
        <v>390600000</v>
      </c>
      <c r="N4" s="233"/>
      <c r="O4" s="233"/>
      <c r="P4" s="233"/>
      <c r="Q4" s="233"/>
      <c r="R4" s="255">
        <f>SUM(R3)</f>
        <v>100856070</v>
      </c>
      <c r="S4" s="299"/>
      <c r="T4" s="235"/>
      <c r="U4" s="235"/>
      <c r="V4" s="236">
        <f>SUM(V3)</f>
        <v>100856070</v>
      </c>
      <c r="W4" s="235"/>
      <c r="X4" s="233"/>
      <c r="Y4" s="248"/>
    </row>
  </sheetData>
  <sheetProtection algorithmName="SHA-512" hashValue="sCGb704iCrEQNmW6RssYLV+f2t7/bAjH5N/bURHcNpTjHbqoO5RtyZIMbKusPfNbhpO565EIpdtuA76YJULNdA==" saltValue="uWQaCHi2kaWGWL1HOwxs7A==" spinCount="100000" sheet="1" objects="1" scenarios="1" formatCells="0" formatColumns="0" formatRows="0"/>
  <conditionalFormatting sqref="S1:S1048576">
    <cfRule type="cellIs" dxfId="20" priority="1" operator="between">
      <formula>0.51</formula>
      <formula>0.69</formula>
    </cfRule>
    <cfRule type="cellIs" dxfId="19" priority="2" operator="lessThan">
      <formula>0.5</formula>
    </cfRule>
    <cfRule type="cellIs" dxfId="18" priority="3" operator="greaterThan">
      <formula>0.7</formula>
    </cfRule>
  </conditionalFormatting>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3"/>
  <sheetViews>
    <sheetView zoomScale="80" zoomScaleNormal="80" workbookViewId="0">
      <selection activeCell="A4" sqref="A4:XFD1048576"/>
    </sheetView>
  </sheetViews>
  <sheetFormatPr baseColWidth="10" defaultColWidth="0" defaultRowHeight="15" zeroHeight="1" x14ac:dyDescent="0.25"/>
  <cols>
    <col min="1" max="5" width="11.42578125" customWidth="1"/>
    <col min="6" max="6" width="21.5703125" customWidth="1"/>
    <col min="7" max="7" width="11.5703125" bestFit="1" customWidth="1"/>
    <col min="8" max="8" width="11.42578125" customWidth="1"/>
    <col min="9" max="11" width="11.5703125" bestFit="1" customWidth="1"/>
    <col min="12" max="13" width="11.7109375" bestFit="1" customWidth="1"/>
    <col min="14" max="14" width="12" bestFit="1" customWidth="1"/>
    <col min="15" max="23" width="11.42578125" customWidth="1"/>
    <col min="24" max="16384" width="11.42578125" hidden="1"/>
  </cols>
  <sheetData>
    <row r="1" spans="1:23" x14ac:dyDescent="0.25"/>
    <row r="2" spans="1:23" ht="89.25"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4" t="s">
        <v>636</v>
      </c>
      <c r="P2" s="14" t="s">
        <v>628</v>
      </c>
      <c r="Q2" s="14" t="s">
        <v>629</v>
      </c>
      <c r="R2" s="14" t="s">
        <v>630</v>
      </c>
      <c r="S2" s="14" t="s">
        <v>631</v>
      </c>
      <c r="T2" s="14" t="s">
        <v>632</v>
      </c>
      <c r="U2" s="14" t="s">
        <v>633</v>
      </c>
      <c r="V2" s="14" t="s">
        <v>634</v>
      </c>
      <c r="W2" s="14" t="s">
        <v>635</v>
      </c>
    </row>
    <row r="3" spans="1:23" ht="192" x14ac:dyDescent="0.25">
      <c r="A3" s="7" t="s">
        <v>235</v>
      </c>
      <c r="B3" s="7" t="s">
        <v>236</v>
      </c>
      <c r="C3" s="4" t="s">
        <v>237</v>
      </c>
      <c r="D3" s="4" t="s">
        <v>238</v>
      </c>
      <c r="E3" s="4" t="s">
        <v>239</v>
      </c>
      <c r="F3" s="4" t="s">
        <v>240</v>
      </c>
      <c r="G3" s="5">
        <v>0</v>
      </c>
      <c r="H3" s="5"/>
      <c r="I3" s="5">
        <v>0</v>
      </c>
      <c r="J3" s="5">
        <v>0</v>
      </c>
      <c r="K3" s="5">
        <v>0</v>
      </c>
      <c r="L3" s="6">
        <v>188647915</v>
      </c>
      <c r="M3" s="5">
        <f t="shared" ref="M3" si="0">SUM(G3:L3)</f>
        <v>188647915</v>
      </c>
      <c r="N3" s="8">
        <f>SUM(G3:L3)</f>
        <v>188647915</v>
      </c>
    </row>
  </sheetData>
  <sheetProtection algorithmName="SHA-512" hashValue="uh3QcoLoCXUhwfjKz2eip1fWUolmt5QCLW3s8kd8GDy7SsZywGw9j73nmQWxz4b5QHBDTHjLhXubSt3qAHdlPg==" saltValue="Gsi8fZHvi0bScH8kUtialA==" spinCount="100000" sheet="1" objects="1" scenarios="1" formatCells="0" formatColumns="0" formatRows="0"/>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sheetPr>
  <dimension ref="A1:X22"/>
  <sheetViews>
    <sheetView zoomScale="80" zoomScaleNormal="80" workbookViewId="0">
      <pane ySplit="1" topLeftCell="A7" activePane="bottomLeft" state="frozen"/>
      <selection pane="bottomLeft" activeCell="A23" sqref="A23:XFD1048576"/>
    </sheetView>
  </sheetViews>
  <sheetFormatPr baseColWidth="10" defaultColWidth="0" defaultRowHeight="15" zeroHeight="1" x14ac:dyDescent="0.25"/>
  <cols>
    <col min="1" max="2" width="11.42578125" customWidth="1"/>
    <col min="3" max="3" width="15.140625" customWidth="1"/>
    <col min="4" max="5" width="11.42578125" customWidth="1"/>
    <col min="6" max="6" width="18.28515625" customWidth="1"/>
    <col min="7" max="7" width="11.5703125" bestFit="1" customWidth="1"/>
    <col min="8" max="8" width="11.42578125" customWidth="1"/>
    <col min="9" max="9" width="15.140625" bestFit="1" customWidth="1"/>
    <col min="10" max="10" width="11.5703125" bestFit="1" customWidth="1"/>
    <col min="11" max="12" width="11.42578125" customWidth="1"/>
    <col min="13" max="13" width="19.5703125" bestFit="1" customWidth="1"/>
    <col min="14" max="14" width="17.42578125" bestFit="1" customWidth="1"/>
    <col min="15" max="24" width="11.42578125" customWidth="1"/>
    <col min="25" max="16384" width="11.42578125" hidden="1"/>
  </cols>
  <sheetData>
    <row r="1" spans="1:24" ht="89.25" x14ac:dyDescent="0.25">
      <c r="A1" s="29" t="s">
        <v>0</v>
      </c>
      <c r="B1" s="29" t="s">
        <v>1</v>
      </c>
      <c r="C1" s="29" t="s">
        <v>2</v>
      </c>
      <c r="D1" s="29" t="s">
        <v>3</v>
      </c>
      <c r="E1" s="29" t="s">
        <v>4</v>
      </c>
      <c r="F1" s="29" t="s">
        <v>5</v>
      </c>
      <c r="G1" s="29" t="s">
        <v>6</v>
      </c>
      <c r="H1" s="29" t="s">
        <v>7</v>
      </c>
      <c r="I1" s="29" t="s">
        <v>8</v>
      </c>
      <c r="J1" s="29" t="s">
        <v>9</v>
      </c>
      <c r="K1" s="29" t="s">
        <v>10</v>
      </c>
      <c r="L1" s="29" t="s">
        <v>11</v>
      </c>
      <c r="M1" s="29" t="s">
        <v>12</v>
      </c>
      <c r="N1" s="29" t="s">
        <v>13</v>
      </c>
      <c r="O1" s="14" t="s">
        <v>636</v>
      </c>
      <c r="P1" s="14" t="s">
        <v>628</v>
      </c>
      <c r="Q1" s="14" t="s">
        <v>629</v>
      </c>
      <c r="R1" s="14" t="s">
        <v>630</v>
      </c>
      <c r="S1" s="14" t="s">
        <v>631</v>
      </c>
      <c r="T1" s="14" t="s">
        <v>632</v>
      </c>
      <c r="U1" s="14" t="s">
        <v>1535</v>
      </c>
      <c r="V1" s="14" t="s">
        <v>633</v>
      </c>
      <c r="W1" s="14" t="s">
        <v>634</v>
      </c>
      <c r="X1" s="14" t="s">
        <v>635</v>
      </c>
    </row>
    <row r="2" spans="1:24" ht="60" customHeight="1" x14ac:dyDescent="0.25">
      <c r="A2" s="413" t="s">
        <v>241</v>
      </c>
      <c r="B2" s="413" t="s">
        <v>242</v>
      </c>
      <c r="C2" s="413" t="s">
        <v>243</v>
      </c>
      <c r="D2" s="413" t="s">
        <v>244</v>
      </c>
      <c r="E2" s="26" t="s">
        <v>245</v>
      </c>
      <c r="F2" s="26" t="s">
        <v>246</v>
      </c>
      <c r="G2" s="28">
        <v>0</v>
      </c>
      <c r="H2" s="28"/>
      <c r="I2" s="27">
        <v>2231400</v>
      </c>
      <c r="J2" s="28">
        <v>0</v>
      </c>
      <c r="K2" s="27"/>
      <c r="L2" s="27"/>
      <c r="M2" s="28">
        <f t="shared" ref="M2:M21" si="0">SUM(G2:L2)</f>
        <v>2231400</v>
      </c>
      <c r="N2" s="412">
        <f>SUM(M2:M21)</f>
        <v>1021879532</v>
      </c>
      <c r="O2" s="16"/>
      <c r="P2" s="16"/>
      <c r="Q2" s="16"/>
      <c r="R2" s="16"/>
      <c r="S2" s="16"/>
      <c r="T2" s="16"/>
      <c r="U2" s="16"/>
      <c r="V2" s="16"/>
      <c r="W2" s="16"/>
      <c r="X2" s="16"/>
    </row>
    <row r="3" spans="1:24" ht="48" x14ac:dyDescent="0.25">
      <c r="A3" s="413"/>
      <c r="B3" s="413"/>
      <c r="C3" s="413"/>
      <c r="D3" s="413"/>
      <c r="E3" s="26" t="s">
        <v>561</v>
      </c>
      <c r="F3" s="26" t="s">
        <v>562</v>
      </c>
      <c r="G3" s="28">
        <v>0</v>
      </c>
      <c r="H3" s="28"/>
      <c r="I3" s="27">
        <v>182638105</v>
      </c>
      <c r="J3" s="28">
        <v>0</v>
      </c>
      <c r="K3" s="27"/>
      <c r="L3" s="27"/>
      <c r="M3" s="28">
        <f t="shared" si="0"/>
        <v>182638105</v>
      </c>
      <c r="N3" s="412"/>
      <c r="O3" s="16"/>
      <c r="P3" s="16"/>
      <c r="Q3" s="16"/>
      <c r="R3" s="16"/>
      <c r="S3" s="16"/>
      <c r="T3" s="16"/>
      <c r="U3" s="16"/>
      <c r="V3" s="16"/>
      <c r="W3" s="16"/>
      <c r="X3" s="16"/>
    </row>
    <row r="4" spans="1:24" ht="36" x14ac:dyDescent="0.25">
      <c r="A4" s="413"/>
      <c r="B4" s="413"/>
      <c r="C4" s="413"/>
      <c r="D4" s="413"/>
      <c r="E4" s="26" t="s">
        <v>563</v>
      </c>
      <c r="F4" s="26" t="s">
        <v>564</v>
      </c>
      <c r="G4" s="28">
        <v>0</v>
      </c>
      <c r="H4" s="28"/>
      <c r="I4" s="27">
        <v>24754363</v>
      </c>
      <c r="J4" s="28">
        <v>0</v>
      </c>
      <c r="K4" s="27"/>
      <c r="L4" s="27"/>
      <c r="M4" s="28">
        <f t="shared" si="0"/>
        <v>24754363</v>
      </c>
      <c r="N4" s="412"/>
      <c r="O4" s="16"/>
      <c r="P4" s="16"/>
      <c r="Q4" s="16"/>
      <c r="R4" s="16"/>
      <c r="S4" s="16"/>
      <c r="T4" s="16"/>
      <c r="U4" s="16"/>
      <c r="V4" s="16"/>
      <c r="W4" s="16"/>
      <c r="X4" s="16"/>
    </row>
    <row r="5" spans="1:24" ht="36" x14ac:dyDescent="0.25">
      <c r="A5" s="413"/>
      <c r="B5" s="413"/>
      <c r="C5" s="413"/>
      <c r="D5" s="413"/>
      <c r="E5" s="26" t="s">
        <v>565</v>
      </c>
      <c r="F5" s="26" t="s">
        <v>566</v>
      </c>
      <c r="G5" s="28">
        <v>0</v>
      </c>
      <c r="H5" s="28"/>
      <c r="I5" s="27">
        <v>49192720</v>
      </c>
      <c r="J5" s="28">
        <v>0</v>
      </c>
      <c r="K5" s="27"/>
      <c r="L5" s="27"/>
      <c r="M5" s="28">
        <f t="shared" si="0"/>
        <v>49192720</v>
      </c>
      <c r="N5" s="412"/>
      <c r="O5" s="16"/>
      <c r="P5" s="16"/>
      <c r="Q5" s="16"/>
      <c r="R5" s="16"/>
      <c r="S5" s="16"/>
      <c r="T5" s="16"/>
      <c r="U5" s="16"/>
      <c r="V5" s="16"/>
      <c r="W5" s="16"/>
      <c r="X5" s="16"/>
    </row>
    <row r="6" spans="1:24" ht="36" x14ac:dyDescent="0.25">
      <c r="A6" s="413"/>
      <c r="B6" s="413"/>
      <c r="C6" s="413"/>
      <c r="D6" s="413"/>
      <c r="E6" s="26" t="s">
        <v>567</v>
      </c>
      <c r="F6" s="26" t="s">
        <v>568</v>
      </c>
      <c r="G6" s="28">
        <v>0</v>
      </c>
      <c r="H6" s="28"/>
      <c r="I6" s="27">
        <v>20657900</v>
      </c>
      <c r="J6" s="28">
        <v>0</v>
      </c>
      <c r="K6" s="27"/>
      <c r="L6" s="27"/>
      <c r="M6" s="28">
        <f t="shared" si="0"/>
        <v>20657900</v>
      </c>
      <c r="N6" s="412"/>
      <c r="O6" s="16"/>
      <c r="P6" s="16"/>
      <c r="Q6" s="16"/>
      <c r="R6" s="16"/>
      <c r="S6" s="16"/>
      <c r="T6" s="16"/>
      <c r="U6" s="16"/>
      <c r="V6" s="16"/>
      <c r="W6" s="16"/>
      <c r="X6" s="16"/>
    </row>
    <row r="7" spans="1:24" ht="48" x14ac:dyDescent="0.25">
      <c r="A7" s="413"/>
      <c r="B7" s="413"/>
      <c r="C7" s="413"/>
      <c r="D7" s="413"/>
      <c r="E7" s="26" t="s">
        <v>569</v>
      </c>
      <c r="F7" s="26" t="s">
        <v>594</v>
      </c>
      <c r="G7" s="28">
        <v>0</v>
      </c>
      <c r="H7" s="28"/>
      <c r="I7" s="27">
        <v>488200</v>
      </c>
      <c r="J7" s="28">
        <v>0</v>
      </c>
      <c r="K7" s="27"/>
      <c r="L7" s="27"/>
      <c r="M7" s="28">
        <f t="shared" si="0"/>
        <v>488200</v>
      </c>
      <c r="N7" s="412"/>
      <c r="O7" s="16"/>
      <c r="P7" s="16"/>
      <c r="Q7" s="16"/>
      <c r="R7" s="16"/>
      <c r="S7" s="16"/>
      <c r="T7" s="16"/>
      <c r="U7" s="16"/>
      <c r="V7" s="16"/>
      <c r="W7" s="16"/>
      <c r="X7" s="16"/>
    </row>
    <row r="8" spans="1:24" ht="24" x14ac:dyDescent="0.25">
      <c r="A8" s="413"/>
      <c r="B8" s="413"/>
      <c r="C8" s="413"/>
      <c r="D8" s="413"/>
      <c r="E8" s="26" t="s">
        <v>570</v>
      </c>
      <c r="F8" s="26" t="s">
        <v>571</v>
      </c>
      <c r="G8" s="28">
        <v>0</v>
      </c>
      <c r="H8" s="28"/>
      <c r="I8" s="27">
        <v>38182258</v>
      </c>
      <c r="J8" s="28">
        <v>0</v>
      </c>
      <c r="K8" s="27"/>
      <c r="L8" s="27"/>
      <c r="M8" s="28">
        <f t="shared" si="0"/>
        <v>38182258</v>
      </c>
      <c r="N8" s="412"/>
      <c r="O8" s="16"/>
      <c r="P8" s="16"/>
      <c r="Q8" s="16"/>
      <c r="R8" s="16"/>
      <c r="S8" s="16"/>
      <c r="T8" s="16"/>
      <c r="U8" s="16"/>
      <c r="V8" s="16"/>
      <c r="W8" s="16"/>
      <c r="X8" s="16"/>
    </row>
    <row r="9" spans="1:24" ht="72" x14ac:dyDescent="0.25">
      <c r="A9" s="413"/>
      <c r="B9" s="413"/>
      <c r="C9" s="413"/>
      <c r="D9" s="413"/>
      <c r="E9" s="26" t="s">
        <v>572</v>
      </c>
      <c r="F9" s="26" t="s">
        <v>573</v>
      </c>
      <c r="G9" s="28">
        <v>0</v>
      </c>
      <c r="H9" s="28"/>
      <c r="I9" s="27">
        <v>62030790</v>
      </c>
      <c r="J9" s="28">
        <v>0</v>
      </c>
      <c r="K9" s="27"/>
      <c r="L9" s="27"/>
      <c r="M9" s="28">
        <f t="shared" si="0"/>
        <v>62030790</v>
      </c>
      <c r="N9" s="412"/>
      <c r="O9" s="16"/>
      <c r="P9" s="16"/>
      <c r="Q9" s="16"/>
      <c r="R9" s="16"/>
      <c r="S9" s="16"/>
      <c r="T9" s="16"/>
      <c r="U9" s="16"/>
      <c r="V9" s="16"/>
      <c r="W9" s="16"/>
      <c r="X9" s="16"/>
    </row>
    <row r="10" spans="1:24" ht="36" x14ac:dyDescent="0.25">
      <c r="A10" s="413"/>
      <c r="B10" s="413"/>
      <c r="C10" s="413"/>
      <c r="D10" s="413"/>
      <c r="E10" s="26" t="s">
        <v>574</v>
      </c>
      <c r="F10" s="26" t="s">
        <v>550</v>
      </c>
      <c r="G10" s="28">
        <v>0</v>
      </c>
      <c r="H10" s="28"/>
      <c r="I10" s="27">
        <v>64325000</v>
      </c>
      <c r="J10" s="28">
        <v>0</v>
      </c>
      <c r="K10" s="27"/>
      <c r="L10" s="27"/>
      <c r="M10" s="28">
        <f t="shared" si="0"/>
        <v>64325000</v>
      </c>
      <c r="N10" s="412"/>
      <c r="O10" s="16"/>
      <c r="P10" s="16"/>
      <c r="Q10" s="16"/>
      <c r="R10" s="16"/>
      <c r="S10" s="16"/>
      <c r="T10" s="16"/>
      <c r="U10" s="16"/>
      <c r="V10" s="16"/>
      <c r="W10" s="16"/>
      <c r="X10" s="16"/>
    </row>
    <row r="11" spans="1:24" ht="36" x14ac:dyDescent="0.25">
      <c r="A11" s="413"/>
      <c r="B11" s="413"/>
      <c r="C11" s="413"/>
      <c r="D11" s="413"/>
      <c r="E11" s="26" t="s">
        <v>575</v>
      </c>
      <c r="F11" s="26" t="s">
        <v>576</v>
      </c>
      <c r="G11" s="28">
        <v>0</v>
      </c>
      <c r="H11" s="28"/>
      <c r="I11" s="27">
        <v>14015746</v>
      </c>
      <c r="J11" s="28">
        <v>0</v>
      </c>
      <c r="K11" s="27"/>
      <c r="L11" s="27"/>
      <c r="M11" s="28">
        <f t="shared" si="0"/>
        <v>14015746</v>
      </c>
      <c r="N11" s="412"/>
      <c r="O11" s="16"/>
      <c r="P11" s="16"/>
      <c r="Q11" s="16"/>
      <c r="R11" s="16"/>
      <c r="S11" s="16"/>
      <c r="T11" s="16"/>
      <c r="U11" s="16"/>
      <c r="V11" s="16"/>
      <c r="W11" s="16"/>
      <c r="X11" s="16"/>
    </row>
    <row r="12" spans="1:24" ht="24" x14ac:dyDescent="0.25">
      <c r="A12" s="413"/>
      <c r="B12" s="413"/>
      <c r="C12" s="413"/>
      <c r="D12" s="413"/>
      <c r="E12" s="26" t="s">
        <v>577</v>
      </c>
      <c r="F12" s="26" t="s">
        <v>578</v>
      </c>
      <c r="G12" s="28">
        <v>0</v>
      </c>
      <c r="H12" s="28"/>
      <c r="I12" s="27">
        <v>58426</v>
      </c>
      <c r="J12" s="28">
        <v>0</v>
      </c>
      <c r="K12" s="27"/>
      <c r="L12" s="27"/>
      <c r="M12" s="28">
        <f t="shared" si="0"/>
        <v>58426</v>
      </c>
      <c r="N12" s="412"/>
      <c r="O12" s="16"/>
      <c r="P12" s="16"/>
      <c r="Q12" s="16"/>
      <c r="R12" s="16"/>
      <c r="S12" s="16"/>
      <c r="T12" s="16"/>
      <c r="U12" s="16"/>
      <c r="V12" s="16"/>
      <c r="W12" s="16"/>
      <c r="X12" s="16"/>
    </row>
    <row r="13" spans="1:24" ht="24" x14ac:dyDescent="0.25">
      <c r="A13" s="413"/>
      <c r="B13" s="413"/>
      <c r="C13" s="413"/>
      <c r="D13" s="413"/>
      <c r="E13" s="26" t="s">
        <v>579</v>
      </c>
      <c r="F13" s="26" t="s">
        <v>580</v>
      </c>
      <c r="G13" s="28">
        <v>0</v>
      </c>
      <c r="H13" s="28"/>
      <c r="I13" s="27">
        <v>4500000</v>
      </c>
      <c r="J13" s="28">
        <v>0</v>
      </c>
      <c r="K13" s="27"/>
      <c r="L13" s="27"/>
      <c r="M13" s="28">
        <f t="shared" si="0"/>
        <v>4500000</v>
      </c>
      <c r="N13" s="412"/>
      <c r="O13" s="16"/>
      <c r="P13" s="16"/>
      <c r="Q13" s="16"/>
      <c r="R13" s="16"/>
      <c r="S13" s="16"/>
      <c r="T13" s="16"/>
      <c r="U13" s="16"/>
      <c r="V13" s="16"/>
      <c r="W13" s="16"/>
      <c r="X13" s="16"/>
    </row>
    <row r="14" spans="1:24" ht="36" x14ac:dyDescent="0.25">
      <c r="A14" s="413"/>
      <c r="B14" s="413"/>
      <c r="C14" s="413"/>
      <c r="D14" s="413"/>
      <c r="E14" s="26" t="s">
        <v>581</v>
      </c>
      <c r="F14" s="26" t="s">
        <v>582</v>
      </c>
      <c r="G14" s="28">
        <v>0</v>
      </c>
      <c r="H14" s="28"/>
      <c r="I14" s="27">
        <v>155593823</v>
      </c>
      <c r="J14" s="28">
        <v>0</v>
      </c>
      <c r="K14" s="27"/>
      <c r="L14" s="27"/>
      <c r="M14" s="28">
        <f t="shared" si="0"/>
        <v>155593823</v>
      </c>
      <c r="N14" s="412"/>
      <c r="O14" s="16"/>
      <c r="P14" s="16"/>
      <c r="Q14" s="16"/>
      <c r="R14" s="16"/>
      <c r="S14" s="16"/>
      <c r="T14" s="16"/>
      <c r="U14" s="16"/>
      <c r="V14" s="16"/>
      <c r="W14" s="16"/>
      <c r="X14" s="16"/>
    </row>
    <row r="15" spans="1:24" ht="72" x14ac:dyDescent="0.25">
      <c r="A15" s="413"/>
      <c r="B15" s="413"/>
      <c r="C15" s="413"/>
      <c r="D15" s="413"/>
      <c r="E15" s="26" t="s">
        <v>583</v>
      </c>
      <c r="F15" s="26" t="s">
        <v>554</v>
      </c>
      <c r="G15" s="28">
        <v>0</v>
      </c>
      <c r="H15" s="28"/>
      <c r="I15" s="27">
        <v>22098489</v>
      </c>
      <c r="J15" s="28">
        <v>0</v>
      </c>
      <c r="K15" s="27"/>
      <c r="L15" s="27"/>
      <c r="M15" s="28">
        <f t="shared" si="0"/>
        <v>22098489</v>
      </c>
      <c r="N15" s="412"/>
      <c r="O15" s="16"/>
      <c r="P15" s="16"/>
      <c r="Q15" s="16"/>
      <c r="R15" s="16"/>
      <c r="S15" s="16"/>
      <c r="T15" s="16"/>
      <c r="U15" s="16"/>
      <c r="V15" s="16"/>
      <c r="W15" s="16"/>
      <c r="X15" s="16"/>
    </row>
    <row r="16" spans="1:24" ht="108" x14ac:dyDescent="0.25">
      <c r="A16" s="413"/>
      <c r="B16" s="413"/>
      <c r="C16" s="413"/>
      <c r="D16" s="413"/>
      <c r="E16" s="26" t="s">
        <v>584</v>
      </c>
      <c r="F16" s="26" t="s">
        <v>585</v>
      </c>
      <c r="G16" s="28">
        <v>0</v>
      </c>
      <c r="H16" s="28"/>
      <c r="I16" s="27">
        <v>1095285</v>
      </c>
      <c r="J16" s="28">
        <v>0</v>
      </c>
      <c r="K16" s="27"/>
      <c r="L16" s="27"/>
      <c r="M16" s="28">
        <f t="shared" si="0"/>
        <v>1095285</v>
      </c>
      <c r="N16" s="412"/>
      <c r="O16" s="16"/>
      <c r="P16" s="16"/>
      <c r="Q16" s="16"/>
      <c r="R16" s="16"/>
      <c r="S16" s="16"/>
      <c r="T16" s="16"/>
      <c r="U16" s="16"/>
      <c r="V16" s="16"/>
      <c r="W16" s="16"/>
      <c r="X16" s="16"/>
    </row>
    <row r="17" spans="1:24" ht="192" x14ac:dyDescent="0.25">
      <c r="A17" s="413"/>
      <c r="B17" s="413"/>
      <c r="C17" s="413"/>
      <c r="D17" s="413"/>
      <c r="E17" s="26" t="s">
        <v>586</v>
      </c>
      <c r="F17" s="26" t="s">
        <v>148</v>
      </c>
      <c r="G17" s="28">
        <v>0</v>
      </c>
      <c r="H17" s="28"/>
      <c r="I17" s="27">
        <v>1100000</v>
      </c>
      <c r="J17" s="28">
        <v>0</v>
      </c>
      <c r="K17" s="27"/>
      <c r="L17" s="27"/>
      <c r="M17" s="28">
        <f t="shared" si="0"/>
        <v>1100000</v>
      </c>
      <c r="N17" s="412"/>
      <c r="O17" s="16"/>
      <c r="P17" s="16"/>
      <c r="Q17" s="16"/>
      <c r="R17" s="16"/>
      <c r="S17" s="16"/>
      <c r="T17" s="16"/>
      <c r="U17" s="16"/>
      <c r="V17" s="16"/>
      <c r="W17" s="16"/>
      <c r="X17" s="16"/>
    </row>
    <row r="18" spans="1:24" ht="60" x14ac:dyDescent="0.25">
      <c r="A18" s="413"/>
      <c r="B18" s="413"/>
      <c r="C18" s="413"/>
      <c r="D18" s="413"/>
      <c r="E18" s="26" t="s">
        <v>587</v>
      </c>
      <c r="F18" s="26" t="s">
        <v>588</v>
      </c>
      <c r="G18" s="28">
        <v>0</v>
      </c>
      <c r="H18" s="28"/>
      <c r="I18" s="27">
        <v>36076300</v>
      </c>
      <c r="J18" s="28">
        <v>0</v>
      </c>
      <c r="K18" s="27"/>
      <c r="L18" s="27"/>
      <c r="M18" s="28">
        <f t="shared" si="0"/>
        <v>36076300</v>
      </c>
      <c r="N18" s="412"/>
      <c r="O18" s="16"/>
      <c r="P18" s="16"/>
      <c r="Q18" s="16"/>
      <c r="R18" s="16"/>
      <c r="S18" s="16"/>
      <c r="T18" s="16"/>
      <c r="U18" s="16"/>
      <c r="V18" s="16"/>
      <c r="W18" s="16"/>
      <c r="X18" s="16"/>
    </row>
    <row r="19" spans="1:24" ht="60" x14ac:dyDescent="0.25">
      <c r="A19" s="413"/>
      <c r="B19" s="413"/>
      <c r="C19" s="413"/>
      <c r="D19" s="413"/>
      <c r="E19" s="26" t="s">
        <v>589</v>
      </c>
      <c r="F19" s="26" t="s">
        <v>160</v>
      </c>
      <c r="G19" s="28">
        <v>0</v>
      </c>
      <c r="H19" s="28"/>
      <c r="I19" s="27">
        <v>185751301</v>
      </c>
      <c r="J19" s="28">
        <v>0</v>
      </c>
      <c r="K19" s="27"/>
      <c r="L19" s="27"/>
      <c r="M19" s="28">
        <f t="shared" si="0"/>
        <v>185751301</v>
      </c>
      <c r="N19" s="412"/>
      <c r="O19" s="16"/>
      <c r="P19" s="16"/>
      <c r="Q19" s="16"/>
      <c r="R19" s="16"/>
      <c r="S19" s="16"/>
      <c r="T19" s="16"/>
      <c r="U19" s="16"/>
      <c r="V19" s="16"/>
      <c r="W19" s="16"/>
      <c r="X19" s="16"/>
    </row>
    <row r="20" spans="1:24" ht="72" x14ac:dyDescent="0.25">
      <c r="A20" s="413"/>
      <c r="B20" s="413"/>
      <c r="C20" s="413"/>
      <c r="D20" s="413"/>
      <c r="E20" s="26" t="s">
        <v>590</v>
      </c>
      <c r="F20" s="26" t="s">
        <v>591</v>
      </c>
      <c r="G20" s="28">
        <v>0</v>
      </c>
      <c r="H20" s="28"/>
      <c r="I20" s="27">
        <v>41014960</v>
      </c>
      <c r="J20" s="28">
        <v>0</v>
      </c>
      <c r="K20" s="27"/>
      <c r="L20" s="27"/>
      <c r="M20" s="28">
        <f t="shared" si="0"/>
        <v>41014960</v>
      </c>
      <c r="N20" s="412"/>
      <c r="O20" s="16"/>
      <c r="P20" s="16"/>
      <c r="Q20" s="16"/>
      <c r="R20" s="16"/>
      <c r="S20" s="16"/>
      <c r="T20" s="16"/>
      <c r="U20" s="16"/>
      <c r="V20" s="16"/>
      <c r="W20" s="16"/>
      <c r="X20" s="16"/>
    </row>
    <row r="21" spans="1:24" ht="24.75" thickBot="1" x14ac:dyDescent="0.3">
      <c r="A21" s="413"/>
      <c r="B21" s="413"/>
      <c r="C21" s="413"/>
      <c r="D21" s="413"/>
      <c r="E21" s="26" t="s">
        <v>592</v>
      </c>
      <c r="F21" s="26" t="s">
        <v>593</v>
      </c>
      <c r="G21" s="28">
        <v>0</v>
      </c>
      <c r="H21" s="28"/>
      <c r="I21" s="27">
        <v>116074466</v>
      </c>
      <c r="J21" s="28">
        <v>0</v>
      </c>
      <c r="K21" s="27"/>
      <c r="L21" s="27"/>
      <c r="M21" s="96">
        <f t="shared" si="0"/>
        <v>116074466</v>
      </c>
      <c r="N21" s="412"/>
      <c r="O21" s="16"/>
      <c r="P21" s="16"/>
      <c r="Q21" s="16"/>
      <c r="R21" s="16"/>
      <c r="S21" s="16"/>
      <c r="T21" s="16"/>
      <c r="U21" s="16"/>
      <c r="V21" s="16"/>
      <c r="W21" s="16"/>
      <c r="X21" s="16"/>
    </row>
    <row r="22" spans="1:24" ht="19.5" thickBot="1" x14ac:dyDescent="0.35">
      <c r="M22" s="257">
        <f>SUM(M2:M21)</f>
        <v>1021879532</v>
      </c>
    </row>
  </sheetData>
  <sheetProtection algorithmName="SHA-512" hashValue="4R8vcnCudpw5wwOcI3PIZGX/n1+4XP95M1ixwUcC69Y/xI4bpFdE2yEYftWkUJR91iGS5s7m4789XrTx3KzeEQ==" saltValue="tl0IXv7ArUvhQOPDGIG7rg==" spinCount="100000" sheet="1" objects="1" scenarios="1" formatCells="0" formatColumns="0" formatRows="0"/>
  <mergeCells count="5">
    <mergeCell ref="N2:N21"/>
    <mergeCell ref="A2:A21"/>
    <mergeCell ref="B2:B21"/>
    <mergeCell ref="C2:C21"/>
    <mergeCell ref="D2:D21"/>
  </mergeCells>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Y45"/>
  <sheetViews>
    <sheetView zoomScale="80" zoomScaleNormal="80" workbookViewId="0">
      <pane ySplit="1" topLeftCell="A2" activePane="bottomLeft" state="frozen"/>
      <selection activeCell="E1" sqref="E1"/>
      <selection pane="bottomLeft"/>
    </sheetView>
  </sheetViews>
  <sheetFormatPr baseColWidth="10" defaultColWidth="0" defaultRowHeight="15" zeroHeight="1" x14ac:dyDescent="0.25"/>
  <cols>
    <col min="1" max="5" width="11.42578125" customWidth="1"/>
    <col min="6" max="6" width="34.85546875" customWidth="1"/>
    <col min="7" max="7" width="15.7109375" bestFit="1" customWidth="1"/>
    <col min="8" max="8" width="16" bestFit="1" customWidth="1"/>
    <col min="9" max="9" width="17.5703125" bestFit="1" customWidth="1"/>
    <col min="10" max="10" width="15.5703125" bestFit="1" customWidth="1"/>
    <col min="11" max="11" width="15.42578125" bestFit="1" customWidth="1"/>
    <col min="12" max="12" width="14.140625" bestFit="1" customWidth="1"/>
    <col min="13" max="13" width="17.5703125" bestFit="1" customWidth="1"/>
    <col min="14" max="14" width="19.85546875" bestFit="1" customWidth="1"/>
    <col min="15" max="17" width="11.42578125" customWidth="1"/>
    <col min="18" max="18" width="19.85546875" bestFit="1" customWidth="1"/>
    <col min="19" max="19" width="13.5703125" style="38" customWidth="1"/>
    <col min="20" max="21" width="11.42578125" customWidth="1"/>
    <col min="22" max="22" width="16.28515625" bestFit="1" customWidth="1"/>
    <col min="23" max="24" width="11.42578125" customWidth="1"/>
    <col min="25" max="25" width="18.85546875" bestFit="1" customWidth="1"/>
    <col min="26" max="16384" width="11.42578125" hidden="1"/>
  </cols>
  <sheetData>
    <row r="1" spans="1:25" ht="89.2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4" t="s">
        <v>636</v>
      </c>
      <c r="P1" s="14" t="s">
        <v>628</v>
      </c>
      <c r="Q1" s="14" t="s">
        <v>629</v>
      </c>
      <c r="R1" s="14" t="s">
        <v>722</v>
      </c>
      <c r="S1" s="35" t="s">
        <v>1535</v>
      </c>
      <c r="T1" s="14" t="s">
        <v>630</v>
      </c>
      <c r="U1" s="14" t="s">
        <v>631</v>
      </c>
      <c r="V1" s="14" t="s">
        <v>632</v>
      </c>
      <c r="W1" s="14" t="s">
        <v>633</v>
      </c>
      <c r="X1" s="14" t="s">
        <v>634</v>
      </c>
      <c r="Y1" s="14" t="s">
        <v>635</v>
      </c>
    </row>
    <row r="2" spans="1:25" ht="60" customHeight="1" x14ac:dyDescent="0.25">
      <c r="A2" s="423" t="s">
        <v>247</v>
      </c>
      <c r="B2" s="423" t="s">
        <v>248</v>
      </c>
      <c r="C2" s="423" t="s">
        <v>249</v>
      </c>
      <c r="D2" s="423" t="s">
        <v>250</v>
      </c>
      <c r="E2" s="395" t="s">
        <v>251</v>
      </c>
      <c r="F2" s="395" t="s">
        <v>252</v>
      </c>
      <c r="G2" s="395">
        <f>692701198</f>
        <v>692701198</v>
      </c>
      <c r="H2" s="395">
        <v>-13940668</v>
      </c>
      <c r="I2" s="395"/>
      <c r="J2" s="395"/>
      <c r="K2" s="395"/>
      <c r="L2" s="395">
        <v>0</v>
      </c>
      <c r="M2" s="395">
        <f t="shared" ref="M2:M29" si="0">SUM(G2:L2)</f>
        <v>678760530</v>
      </c>
      <c r="N2" s="417">
        <f>SUM(M2:M22)</f>
        <v>1243222559</v>
      </c>
      <c r="O2" s="55" t="s">
        <v>1508</v>
      </c>
      <c r="P2" s="67" t="s">
        <v>1509</v>
      </c>
      <c r="Q2" s="32" t="s">
        <v>1510</v>
      </c>
      <c r="R2" s="75">
        <v>235960121</v>
      </c>
      <c r="S2" s="414">
        <f>R5/M2</f>
        <v>1.0015075640889137</v>
      </c>
      <c r="T2" s="116">
        <v>56</v>
      </c>
      <c r="U2" s="116" t="s">
        <v>1612</v>
      </c>
      <c r="V2" s="117">
        <v>235960121</v>
      </c>
      <c r="W2" s="116" t="s">
        <v>1683</v>
      </c>
      <c r="X2" s="116" t="s">
        <v>1684</v>
      </c>
      <c r="Y2" s="196">
        <v>215852968</v>
      </c>
    </row>
    <row r="3" spans="1:25" ht="27.75" customHeight="1" x14ac:dyDescent="0.25">
      <c r="A3" s="424"/>
      <c r="B3" s="424"/>
      <c r="C3" s="424"/>
      <c r="D3" s="424"/>
      <c r="E3" s="396"/>
      <c r="F3" s="396"/>
      <c r="G3" s="396"/>
      <c r="H3" s="396"/>
      <c r="I3" s="396"/>
      <c r="J3" s="396"/>
      <c r="K3" s="396"/>
      <c r="L3" s="396"/>
      <c r="M3" s="396"/>
      <c r="N3" s="418"/>
      <c r="O3" s="55" t="s">
        <v>1511</v>
      </c>
      <c r="P3" s="67" t="s">
        <v>419</v>
      </c>
      <c r="Q3" s="32" t="s">
        <v>1512</v>
      </c>
      <c r="R3" s="75">
        <v>77907164</v>
      </c>
      <c r="S3" s="415"/>
      <c r="T3" s="116">
        <v>307</v>
      </c>
      <c r="U3" s="116" t="s">
        <v>1628</v>
      </c>
      <c r="V3" s="117">
        <v>77907164</v>
      </c>
      <c r="W3" s="116" t="s">
        <v>1685</v>
      </c>
      <c r="X3" s="116" t="s">
        <v>1686</v>
      </c>
      <c r="Y3" s="196">
        <v>67051040</v>
      </c>
    </row>
    <row r="4" spans="1:25" ht="29.25" customHeight="1" x14ac:dyDescent="0.25">
      <c r="A4" s="424"/>
      <c r="B4" s="424"/>
      <c r="C4" s="424"/>
      <c r="D4" s="424"/>
      <c r="E4" s="396"/>
      <c r="F4" s="396"/>
      <c r="G4" s="396"/>
      <c r="H4" s="396"/>
      <c r="I4" s="396"/>
      <c r="J4" s="396"/>
      <c r="K4" s="396"/>
      <c r="L4" s="396"/>
      <c r="M4" s="396"/>
      <c r="N4" s="418"/>
      <c r="O4" s="55" t="s">
        <v>1508</v>
      </c>
      <c r="P4" s="67" t="s">
        <v>1513</v>
      </c>
      <c r="Q4" s="32" t="s">
        <v>1514</v>
      </c>
      <c r="R4" s="75">
        <v>365916520</v>
      </c>
      <c r="S4" s="415"/>
      <c r="T4" s="116">
        <v>784</v>
      </c>
      <c r="U4" s="116" t="s">
        <v>1687</v>
      </c>
      <c r="V4" s="117">
        <v>334065560</v>
      </c>
      <c r="W4" s="116" t="s">
        <v>1688</v>
      </c>
      <c r="X4" s="116" t="s">
        <v>1689</v>
      </c>
      <c r="Y4" s="116">
        <v>350455236</v>
      </c>
    </row>
    <row r="5" spans="1:25" ht="29.25" customHeight="1" x14ac:dyDescent="0.25">
      <c r="A5" s="424"/>
      <c r="B5" s="424"/>
      <c r="C5" s="424"/>
      <c r="D5" s="424"/>
      <c r="E5" s="397"/>
      <c r="F5" s="397"/>
      <c r="G5" s="397"/>
      <c r="H5" s="397"/>
      <c r="I5" s="397"/>
      <c r="J5" s="397"/>
      <c r="K5" s="397"/>
      <c r="L5" s="397"/>
      <c r="M5" s="397"/>
      <c r="N5" s="418"/>
      <c r="O5" s="76" t="s">
        <v>637</v>
      </c>
      <c r="P5" s="18"/>
      <c r="Q5" s="18"/>
      <c r="R5" s="19">
        <f>SUM(R2:R4)</f>
        <v>679783805</v>
      </c>
      <c r="S5" s="416"/>
      <c r="T5" s="116"/>
      <c r="U5" s="116"/>
      <c r="V5" s="116"/>
      <c r="W5" s="116"/>
      <c r="X5" s="116"/>
      <c r="Y5" s="116"/>
    </row>
    <row r="6" spans="1:25" ht="67.5" x14ac:dyDescent="0.25">
      <c r="A6" s="424"/>
      <c r="B6" s="424"/>
      <c r="C6" s="424"/>
      <c r="D6" s="424"/>
      <c r="E6" s="395" t="s">
        <v>361</v>
      </c>
      <c r="F6" s="395" t="s">
        <v>362</v>
      </c>
      <c r="G6" s="395">
        <f>3052700</f>
        <v>3052700</v>
      </c>
      <c r="H6" s="395">
        <v>13940668</v>
      </c>
      <c r="I6" s="395"/>
      <c r="J6" s="395"/>
      <c r="K6" s="395"/>
      <c r="L6" s="395">
        <v>0</v>
      </c>
      <c r="M6" s="395">
        <f t="shared" si="0"/>
        <v>16993368</v>
      </c>
      <c r="N6" s="418"/>
      <c r="O6" s="55" t="s">
        <v>697</v>
      </c>
      <c r="P6" s="67" t="s">
        <v>698</v>
      </c>
      <c r="Q6" s="32" t="s">
        <v>699</v>
      </c>
      <c r="R6" s="75">
        <v>2980712</v>
      </c>
      <c r="S6" s="414">
        <f>R9/M6</f>
        <v>1.0350951029837052</v>
      </c>
      <c r="T6" s="116">
        <v>56</v>
      </c>
      <c r="U6" s="116" t="s">
        <v>1612</v>
      </c>
      <c r="V6" s="117">
        <v>2980712</v>
      </c>
      <c r="W6" s="116" t="s">
        <v>1690</v>
      </c>
      <c r="X6" s="116" t="s">
        <v>1691</v>
      </c>
      <c r="Y6" s="196">
        <v>2664903</v>
      </c>
    </row>
    <row r="7" spans="1:25" ht="108" x14ac:dyDescent="0.25">
      <c r="A7" s="424"/>
      <c r="B7" s="424"/>
      <c r="C7" s="424"/>
      <c r="D7" s="424"/>
      <c r="E7" s="396"/>
      <c r="F7" s="396"/>
      <c r="G7" s="396"/>
      <c r="H7" s="396"/>
      <c r="I7" s="396"/>
      <c r="J7" s="396"/>
      <c r="K7" s="396"/>
      <c r="L7" s="396"/>
      <c r="M7" s="396"/>
      <c r="N7" s="418"/>
      <c r="O7" s="55" t="s">
        <v>700</v>
      </c>
      <c r="P7" s="67" t="s">
        <v>453</v>
      </c>
      <c r="Q7" s="32" t="s">
        <v>701</v>
      </c>
      <c r="R7" s="75">
        <v>5549804</v>
      </c>
      <c r="S7" s="415"/>
      <c r="T7" s="116">
        <v>307</v>
      </c>
      <c r="U7" s="116" t="s">
        <v>1628</v>
      </c>
      <c r="V7" s="117">
        <v>5549804</v>
      </c>
      <c r="W7" s="116" t="s">
        <v>1685</v>
      </c>
      <c r="X7" s="116" t="s">
        <v>1686</v>
      </c>
      <c r="Y7" s="196">
        <v>4957202</v>
      </c>
    </row>
    <row r="8" spans="1:25" ht="108" x14ac:dyDescent="0.25">
      <c r="A8" s="424"/>
      <c r="B8" s="424"/>
      <c r="C8" s="424"/>
      <c r="D8" s="424"/>
      <c r="E8" s="396"/>
      <c r="F8" s="396"/>
      <c r="G8" s="396"/>
      <c r="H8" s="396"/>
      <c r="I8" s="396"/>
      <c r="J8" s="396"/>
      <c r="K8" s="396"/>
      <c r="L8" s="396"/>
      <c r="M8" s="396"/>
      <c r="N8" s="418"/>
      <c r="O8" s="55" t="s">
        <v>702</v>
      </c>
      <c r="P8" s="67" t="s">
        <v>703</v>
      </c>
      <c r="Q8" s="32" t="s">
        <v>704</v>
      </c>
      <c r="R8" s="75">
        <v>9059236</v>
      </c>
      <c r="S8" s="415"/>
      <c r="T8" s="116">
        <v>784</v>
      </c>
      <c r="U8" s="116" t="s">
        <v>1687</v>
      </c>
      <c r="V8" s="116">
        <v>9059236</v>
      </c>
      <c r="W8" s="116" t="s">
        <v>1692</v>
      </c>
      <c r="X8" s="116" t="s">
        <v>1693</v>
      </c>
      <c r="Y8" s="116">
        <v>9059236</v>
      </c>
    </row>
    <row r="9" spans="1:25" x14ac:dyDescent="0.25">
      <c r="A9" s="424"/>
      <c r="B9" s="424"/>
      <c r="C9" s="424"/>
      <c r="D9" s="424"/>
      <c r="E9" s="397"/>
      <c r="F9" s="397"/>
      <c r="G9" s="397"/>
      <c r="H9" s="397"/>
      <c r="I9" s="397"/>
      <c r="J9" s="397"/>
      <c r="K9" s="397"/>
      <c r="L9" s="397"/>
      <c r="M9" s="397"/>
      <c r="N9" s="418"/>
      <c r="O9" s="76" t="s">
        <v>637</v>
      </c>
      <c r="P9" s="18"/>
      <c r="Q9" s="18"/>
      <c r="R9" s="19">
        <f>SUM(R6:R8)</f>
        <v>17589752</v>
      </c>
      <c r="S9" s="416"/>
      <c r="T9" s="116"/>
      <c r="U9" s="116"/>
      <c r="V9" s="116"/>
      <c r="W9" s="116"/>
      <c r="X9" s="116"/>
      <c r="Y9" s="116"/>
    </row>
    <row r="10" spans="1:25" ht="135" x14ac:dyDescent="0.25">
      <c r="A10" s="424"/>
      <c r="B10" s="424"/>
      <c r="C10" s="424"/>
      <c r="D10" s="424"/>
      <c r="E10" s="395" t="s">
        <v>363</v>
      </c>
      <c r="F10" s="395" t="s">
        <v>364</v>
      </c>
      <c r="G10" s="395">
        <f>57979491</f>
        <v>57979491</v>
      </c>
      <c r="H10" s="395">
        <f>61207480-G10</f>
        <v>3227989</v>
      </c>
      <c r="I10" s="395"/>
      <c r="J10" s="395"/>
      <c r="K10" s="395"/>
      <c r="L10" s="395">
        <v>0</v>
      </c>
      <c r="M10" s="395">
        <f t="shared" si="0"/>
        <v>61207480</v>
      </c>
      <c r="N10" s="418"/>
      <c r="O10" s="55" t="s">
        <v>677</v>
      </c>
      <c r="P10" s="67" t="s">
        <v>678</v>
      </c>
      <c r="Q10" s="32" t="s">
        <v>679</v>
      </c>
      <c r="R10" s="75">
        <v>20780706</v>
      </c>
      <c r="S10" s="414">
        <f>R13/M10</f>
        <v>0.99670938911387952</v>
      </c>
      <c r="T10" s="116">
        <v>56</v>
      </c>
      <c r="U10" s="116" t="s">
        <v>1612</v>
      </c>
      <c r="V10" s="117">
        <v>20780706</v>
      </c>
      <c r="W10" s="116" t="s">
        <v>1694</v>
      </c>
      <c r="X10" s="116" t="s">
        <v>1695</v>
      </c>
      <c r="Y10" s="196">
        <v>18975552</v>
      </c>
    </row>
    <row r="11" spans="1:25" ht="108" x14ac:dyDescent="0.25">
      <c r="A11" s="424"/>
      <c r="B11" s="424"/>
      <c r="C11" s="424"/>
      <c r="D11" s="424"/>
      <c r="E11" s="396"/>
      <c r="F11" s="396"/>
      <c r="G11" s="396"/>
      <c r="H11" s="396"/>
      <c r="I11" s="396"/>
      <c r="J11" s="396"/>
      <c r="K11" s="396"/>
      <c r="L11" s="396"/>
      <c r="M11" s="396"/>
      <c r="N11" s="418"/>
      <c r="O11" s="55" t="s">
        <v>680</v>
      </c>
      <c r="P11" s="67" t="s">
        <v>431</v>
      </c>
      <c r="Q11" s="32" t="s">
        <v>681</v>
      </c>
      <c r="R11" s="75">
        <v>7181948</v>
      </c>
      <c r="S11" s="415"/>
      <c r="T11" s="116">
        <v>307</v>
      </c>
      <c r="U11" s="116" t="s">
        <v>1628</v>
      </c>
      <c r="V11" s="117">
        <v>7181948</v>
      </c>
      <c r="W11" s="116" t="s">
        <v>1685</v>
      </c>
      <c r="X11" s="116" t="s">
        <v>1696</v>
      </c>
      <c r="Y11" s="117">
        <v>6177638</v>
      </c>
    </row>
    <row r="12" spans="1:25" ht="216" x14ac:dyDescent="0.25">
      <c r="A12" s="424"/>
      <c r="B12" s="424"/>
      <c r="C12" s="424"/>
      <c r="D12" s="424"/>
      <c r="E12" s="396"/>
      <c r="F12" s="396"/>
      <c r="G12" s="396"/>
      <c r="H12" s="396"/>
      <c r="I12" s="396"/>
      <c r="J12" s="396"/>
      <c r="K12" s="396"/>
      <c r="L12" s="396"/>
      <c r="M12" s="396"/>
      <c r="N12" s="418"/>
      <c r="O12" s="55" t="s">
        <v>682</v>
      </c>
      <c r="P12" s="67" t="s">
        <v>683</v>
      </c>
      <c r="Q12" s="32" t="s">
        <v>684</v>
      </c>
      <c r="R12" s="75">
        <v>33043416</v>
      </c>
      <c r="S12" s="415"/>
      <c r="T12" s="116">
        <v>784</v>
      </c>
      <c r="U12" s="116" t="s">
        <v>1687</v>
      </c>
      <c r="V12" s="117">
        <v>33043416</v>
      </c>
      <c r="W12" s="116" t="s">
        <v>1688</v>
      </c>
      <c r="X12" s="116" t="s">
        <v>1689</v>
      </c>
      <c r="Y12" s="196">
        <v>31682394</v>
      </c>
    </row>
    <row r="13" spans="1:25" x14ac:dyDescent="0.25">
      <c r="A13" s="424"/>
      <c r="B13" s="424"/>
      <c r="C13" s="424"/>
      <c r="D13" s="424"/>
      <c r="E13" s="397"/>
      <c r="F13" s="397"/>
      <c r="G13" s="397"/>
      <c r="H13" s="397"/>
      <c r="I13" s="397"/>
      <c r="J13" s="397"/>
      <c r="K13" s="397"/>
      <c r="L13" s="397"/>
      <c r="M13" s="397"/>
      <c r="N13" s="418"/>
      <c r="O13" s="76" t="s">
        <v>637</v>
      </c>
      <c r="P13" s="18"/>
      <c r="Q13" s="18"/>
      <c r="R13" s="19">
        <f>SUM(R10:R12)</f>
        <v>61006070</v>
      </c>
      <c r="S13" s="416"/>
      <c r="T13" s="116"/>
      <c r="U13" s="116"/>
      <c r="V13" s="116"/>
      <c r="W13" s="116"/>
      <c r="X13" s="116"/>
      <c r="Y13" s="116"/>
    </row>
    <row r="14" spans="1:25" ht="135" x14ac:dyDescent="0.25">
      <c r="A14" s="424"/>
      <c r="B14" s="424"/>
      <c r="C14" s="424"/>
      <c r="D14" s="424"/>
      <c r="E14" s="395" t="s">
        <v>365</v>
      </c>
      <c r="F14" s="395" t="s">
        <v>366</v>
      </c>
      <c r="G14" s="395">
        <f>57979492</f>
        <v>57979492</v>
      </c>
      <c r="H14" s="395">
        <v>-29697806</v>
      </c>
      <c r="I14" s="395"/>
      <c r="J14" s="395"/>
      <c r="K14" s="395"/>
      <c r="L14" s="395">
        <v>0</v>
      </c>
      <c r="M14" s="395">
        <f t="shared" si="0"/>
        <v>28281686</v>
      </c>
      <c r="N14" s="418"/>
      <c r="O14" s="55" t="s">
        <v>1524</v>
      </c>
      <c r="P14" s="67" t="s">
        <v>1525</v>
      </c>
      <c r="Q14" s="32" t="s">
        <v>1526</v>
      </c>
      <c r="R14" s="75">
        <v>9831668</v>
      </c>
      <c r="S14" s="414">
        <f>R17/M14</f>
        <v>1.0015075480294915</v>
      </c>
      <c r="T14" s="116">
        <v>56</v>
      </c>
      <c r="U14" s="116" t="s">
        <v>1612</v>
      </c>
      <c r="V14" s="196">
        <v>9831668</v>
      </c>
      <c r="W14" s="116" t="s">
        <v>1697</v>
      </c>
      <c r="X14" s="116" t="s">
        <v>1684</v>
      </c>
      <c r="Y14" s="196">
        <v>8993875</v>
      </c>
    </row>
    <row r="15" spans="1:25" ht="108" x14ac:dyDescent="0.25">
      <c r="A15" s="424"/>
      <c r="B15" s="424"/>
      <c r="C15" s="424"/>
      <c r="D15" s="424"/>
      <c r="E15" s="396"/>
      <c r="F15" s="396"/>
      <c r="G15" s="396"/>
      <c r="H15" s="396"/>
      <c r="I15" s="396"/>
      <c r="J15" s="396"/>
      <c r="K15" s="396"/>
      <c r="L15" s="396"/>
      <c r="M15" s="396"/>
      <c r="N15" s="418"/>
      <c r="O15" s="55" t="s">
        <v>1527</v>
      </c>
      <c r="P15" s="67" t="s">
        <v>441</v>
      </c>
      <c r="Q15" s="32" t="s">
        <v>1528</v>
      </c>
      <c r="R15" s="75">
        <v>3246132</v>
      </c>
      <c r="S15" s="415"/>
      <c r="T15" s="116">
        <v>307</v>
      </c>
      <c r="U15" s="116" t="s">
        <v>1628</v>
      </c>
      <c r="V15" s="117">
        <v>3246132</v>
      </c>
      <c r="W15" s="116" t="s">
        <v>1685</v>
      </c>
      <c r="X15" s="116" t="s">
        <v>1686</v>
      </c>
      <c r="Y15" s="196">
        <v>2793796</v>
      </c>
    </row>
    <row r="16" spans="1:25" ht="216" x14ac:dyDescent="0.25">
      <c r="A16" s="424"/>
      <c r="B16" s="424"/>
      <c r="C16" s="424"/>
      <c r="D16" s="424"/>
      <c r="E16" s="396"/>
      <c r="F16" s="396"/>
      <c r="G16" s="396"/>
      <c r="H16" s="396"/>
      <c r="I16" s="396"/>
      <c r="J16" s="396"/>
      <c r="K16" s="396"/>
      <c r="L16" s="396"/>
      <c r="M16" s="396"/>
      <c r="N16" s="418"/>
      <c r="O16" s="55" t="s">
        <v>1529</v>
      </c>
      <c r="P16" s="67" t="s">
        <v>1530</v>
      </c>
      <c r="Q16" s="32" t="s">
        <v>1531</v>
      </c>
      <c r="R16" s="75">
        <v>15246522</v>
      </c>
      <c r="S16" s="415"/>
      <c r="T16" s="116">
        <v>784</v>
      </c>
      <c r="U16" s="116" t="s">
        <v>1687</v>
      </c>
      <c r="V16" s="117">
        <v>15246522</v>
      </c>
      <c r="W16" s="116" t="s">
        <v>1688</v>
      </c>
      <c r="X16" s="116" t="s">
        <v>1689</v>
      </c>
      <c r="Y16" s="194">
        <v>14602302</v>
      </c>
    </row>
    <row r="17" spans="1:25" x14ac:dyDescent="0.25">
      <c r="A17" s="424"/>
      <c r="B17" s="424"/>
      <c r="C17" s="424"/>
      <c r="D17" s="424"/>
      <c r="E17" s="397"/>
      <c r="F17" s="397"/>
      <c r="G17" s="397"/>
      <c r="H17" s="397"/>
      <c r="I17" s="397"/>
      <c r="J17" s="397"/>
      <c r="K17" s="397"/>
      <c r="L17" s="397"/>
      <c r="M17" s="397"/>
      <c r="N17" s="418"/>
      <c r="O17" s="76" t="s">
        <v>637</v>
      </c>
      <c r="P17" s="18"/>
      <c r="Q17" s="18"/>
      <c r="R17" s="19">
        <f>SUM(R14:R16)</f>
        <v>28324322</v>
      </c>
      <c r="S17" s="416"/>
      <c r="T17" s="116"/>
      <c r="U17" s="116"/>
      <c r="V17" s="116"/>
      <c r="W17" s="116"/>
      <c r="X17" s="116"/>
      <c r="Y17" s="116"/>
    </row>
    <row r="18" spans="1:25" ht="135" x14ac:dyDescent="0.25">
      <c r="A18" s="424"/>
      <c r="B18" s="424"/>
      <c r="C18" s="424"/>
      <c r="D18" s="424"/>
      <c r="E18" s="395" t="s">
        <v>367</v>
      </c>
      <c r="F18" s="395" t="s">
        <v>368</v>
      </c>
      <c r="G18" s="395">
        <f>28281689</f>
        <v>28281689</v>
      </c>
      <c r="H18" s="395">
        <v>29697806</v>
      </c>
      <c r="I18" s="395"/>
      <c r="J18" s="395"/>
      <c r="K18" s="395"/>
      <c r="L18" s="395">
        <v>0</v>
      </c>
      <c r="M18" s="395">
        <f>SUM(G18:L18)</f>
        <v>57979495</v>
      </c>
      <c r="N18" s="418"/>
      <c r="O18" s="55" t="s">
        <v>916</v>
      </c>
      <c r="P18" s="67" t="s">
        <v>917</v>
      </c>
      <c r="Q18" s="32" t="s">
        <v>918</v>
      </c>
      <c r="R18" s="75">
        <v>19911733</v>
      </c>
      <c r="S18" s="420">
        <f>R21/M18</f>
        <v>1.0023277367283037</v>
      </c>
      <c r="T18" s="116">
        <v>56</v>
      </c>
      <c r="U18" s="116" t="s">
        <v>1612</v>
      </c>
      <c r="V18" s="117">
        <v>19911733</v>
      </c>
      <c r="W18" s="116" t="s">
        <v>1683</v>
      </c>
      <c r="X18" s="116" t="s">
        <v>1684</v>
      </c>
      <c r="Y18" s="196">
        <v>18209827</v>
      </c>
    </row>
    <row r="19" spans="1:25" ht="108" x14ac:dyDescent="0.25">
      <c r="A19" s="424"/>
      <c r="B19" s="424"/>
      <c r="C19" s="424"/>
      <c r="D19" s="424"/>
      <c r="E19" s="396"/>
      <c r="F19" s="396"/>
      <c r="G19" s="396"/>
      <c r="H19" s="396"/>
      <c r="I19" s="396"/>
      <c r="J19" s="396"/>
      <c r="K19" s="396"/>
      <c r="L19" s="396"/>
      <c r="M19" s="396"/>
      <c r="N19" s="418"/>
      <c r="O19" s="55" t="s">
        <v>919</v>
      </c>
      <c r="P19" s="67" t="s">
        <v>439</v>
      </c>
      <c r="Q19" s="32" t="s">
        <v>920</v>
      </c>
      <c r="R19" s="75">
        <v>6954744</v>
      </c>
      <c r="S19" s="421"/>
      <c r="T19" s="116">
        <v>307</v>
      </c>
      <c r="U19" s="116" t="s">
        <v>1628</v>
      </c>
      <c r="V19" s="117">
        <v>6954744</v>
      </c>
      <c r="W19" s="116" t="s">
        <v>1685</v>
      </c>
      <c r="X19" s="116" t="s">
        <v>1698</v>
      </c>
      <c r="Y19" s="117">
        <v>6000688</v>
      </c>
    </row>
    <row r="20" spans="1:25" ht="216" x14ac:dyDescent="0.25">
      <c r="A20" s="424"/>
      <c r="B20" s="424"/>
      <c r="C20" s="424"/>
      <c r="D20" s="424"/>
      <c r="E20" s="396"/>
      <c r="F20" s="396"/>
      <c r="G20" s="396"/>
      <c r="H20" s="396"/>
      <c r="I20" s="396"/>
      <c r="J20" s="396"/>
      <c r="K20" s="396"/>
      <c r="L20" s="396"/>
      <c r="M20" s="396"/>
      <c r="N20" s="418"/>
      <c r="O20" s="55" t="s">
        <v>921</v>
      </c>
      <c r="P20" s="67" t="s">
        <v>922</v>
      </c>
      <c r="Q20" s="32" t="s">
        <v>923</v>
      </c>
      <c r="R20" s="75">
        <v>31247979</v>
      </c>
      <c r="S20" s="421"/>
      <c r="T20" s="116">
        <v>784</v>
      </c>
      <c r="U20" s="116" t="s">
        <v>1687</v>
      </c>
      <c r="V20" s="117">
        <v>31247979</v>
      </c>
      <c r="W20" s="116" t="s">
        <v>1688</v>
      </c>
      <c r="X20" s="116" t="s">
        <v>1689</v>
      </c>
      <c r="Y20" s="196">
        <v>29959539</v>
      </c>
    </row>
    <row r="21" spans="1:25" x14ac:dyDescent="0.25">
      <c r="A21" s="424"/>
      <c r="B21" s="424"/>
      <c r="C21" s="424"/>
      <c r="D21" s="424"/>
      <c r="E21" s="397"/>
      <c r="F21" s="397"/>
      <c r="G21" s="397"/>
      <c r="H21" s="397"/>
      <c r="I21" s="397"/>
      <c r="J21" s="397"/>
      <c r="K21" s="397"/>
      <c r="L21" s="397"/>
      <c r="M21" s="397"/>
      <c r="N21" s="418"/>
      <c r="O21" s="76" t="s">
        <v>637</v>
      </c>
      <c r="P21" s="77"/>
      <c r="Q21" s="78"/>
      <c r="R21" s="83">
        <f>SUM(R18:R20)</f>
        <v>58114456</v>
      </c>
      <c r="S21" s="422"/>
      <c r="T21" s="116"/>
      <c r="U21" s="116"/>
      <c r="V21" s="116"/>
      <c r="W21" s="116"/>
      <c r="X21" s="116"/>
      <c r="Y21" s="116"/>
    </row>
    <row r="22" spans="1:25" ht="84" x14ac:dyDescent="0.25">
      <c r="A22" s="425"/>
      <c r="B22" s="425"/>
      <c r="C22" s="425"/>
      <c r="D22" s="425"/>
      <c r="E22" s="26" t="s">
        <v>369</v>
      </c>
      <c r="F22" s="26" t="s">
        <v>370</v>
      </c>
      <c r="G22" s="28">
        <v>0</v>
      </c>
      <c r="H22" s="28"/>
      <c r="I22" s="28">
        <v>0</v>
      </c>
      <c r="J22" s="27">
        <v>400000000</v>
      </c>
      <c r="K22" s="27"/>
      <c r="L22" s="28">
        <v>0</v>
      </c>
      <c r="M22" s="28">
        <f t="shared" si="0"/>
        <v>400000000</v>
      </c>
      <c r="N22" s="419"/>
      <c r="O22" s="17"/>
      <c r="P22" s="17"/>
      <c r="Q22" s="17"/>
      <c r="R22" s="17"/>
      <c r="S22" s="37">
        <f>R22/M22</f>
        <v>0</v>
      </c>
      <c r="T22" s="116"/>
      <c r="U22" s="116"/>
      <c r="V22" s="116"/>
      <c r="W22" s="116"/>
      <c r="X22" s="116"/>
      <c r="Y22" s="116"/>
    </row>
    <row r="23" spans="1:25" ht="84" customHeight="1" x14ac:dyDescent="0.25">
      <c r="A23" s="391" t="s">
        <v>253</v>
      </c>
      <c r="B23" s="391" t="s">
        <v>254</v>
      </c>
      <c r="C23" s="391" t="s">
        <v>255</v>
      </c>
      <c r="D23" s="391" t="s">
        <v>250</v>
      </c>
      <c r="E23" s="26" t="s">
        <v>256</v>
      </c>
      <c r="F23" s="26" t="s">
        <v>257</v>
      </c>
      <c r="G23" s="28">
        <f>107502450</f>
        <v>107502450</v>
      </c>
      <c r="H23" s="28">
        <f>-107502450</f>
        <v>-107502450</v>
      </c>
      <c r="I23" s="28"/>
      <c r="J23" s="28"/>
      <c r="K23" s="28"/>
      <c r="L23" s="28">
        <v>0</v>
      </c>
      <c r="M23" s="28">
        <f t="shared" si="0"/>
        <v>0</v>
      </c>
      <c r="N23" s="389">
        <f>SUM(M23:M26)</f>
        <v>845180750</v>
      </c>
      <c r="O23" s="17"/>
      <c r="P23" s="17"/>
      <c r="Q23" s="17"/>
      <c r="R23" s="17"/>
      <c r="S23" s="37"/>
      <c r="T23" s="116"/>
      <c r="U23" s="116"/>
      <c r="V23" s="116"/>
      <c r="W23" s="116"/>
      <c r="X23" s="116"/>
      <c r="Y23" s="116"/>
    </row>
    <row r="24" spans="1:25" ht="84" x14ac:dyDescent="0.25">
      <c r="A24" s="391"/>
      <c r="B24" s="391"/>
      <c r="C24" s="391"/>
      <c r="D24" s="391"/>
      <c r="E24" s="26" t="s">
        <v>462</v>
      </c>
      <c r="F24" s="26" t="s">
        <v>463</v>
      </c>
      <c r="G24" s="28">
        <f>150000000</f>
        <v>150000000</v>
      </c>
      <c r="H24" s="28">
        <f>107502450+400000000</f>
        <v>507502450</v>
      </c>
      <c r="I24" s="28"/>
      <c r="J24" s="28"/>
      <c r="K24" s="28"/>
      <c r="L24" s="28">
        <v>0</v>
      </c>
      <c r="M24" s="28">
        <f t="shared" si="0"/>
        <v>657502450</v>
      </c>
      <c r="N24" s="389"/>
      <c r="O24" s="17"/>
      <c r="P24" s="17"/>
      <c r="Q24" s="17"/>
      <c r="R24" s="17"/>
      <c r="S24" s="37">
        <f t="shared" ref="S24:S31" si="1">R24/M24</f>
        <v>0</v>
      </c>
      <c r="T24" s="116"/>
      <c r="U24" s="116"/>
      <c r="V24" s="116"/>
      <c r="W24" s="116"/>
      <c r="X24" s="116"/>
      <c r="Y24" s="116"/>
    </row>
    <row r="25" spans="1:25" ht="48" x14ac:dyDescent="0.25">
      <c r="A25" s="391"/>
      <c r="B25" s="391"/>
      <c r="C25" s="391"/>
      <c r="D25" s="391"/>
      <c r="E25" s="26" t="s">
        <v>464</v>
      </c>
      <c r="F25" s="26" t="s">
        <v>465</v>
      </c>
      <c r="G25" s="28">
        <v>0</v>
      </c>
      <c r="H25" s="28"/>
      <c r="I25" s="28">
        <v>0</v>
      </c>
      <c r="J25" s="28"/>
      <c r="K25" s="28">
        <v>178900000</v>
      </c>
      <c r="L25" s="28">
        <v>0</v>
      </c>
      <c r="M25" s="28">
        <f t="shared" si="0"/>
        <v>178900000</v>
      </c>
      <c r="N25" s="389"/>
      <c r="O25" s="17"/>
      <c r="P25" s="17"/>
      <c r="Q25" s="16"/>
      <c r="R25" s="17"/>
      <c r="S25" s="37">
        <f t="shared" si="1"/>
        <v>0</v>
      </c>
      <c r="T25" s="116"/>
      <c r="U25" s="116"/>
      <c r="V25" s="116"/>
      <c r="W25" s="116"/>
      <c r="X25" s="116"/>
      <c r="Y25" s="116"/>
    </row>
    <row r="26" spans="1:25" ht="60" x14ac:dyDescent="0.25">
      <c r="A26" s="391"/>
      <c r="B26" s="391"/>
      <c r="C26" s="391"/>
      <c r="D26" s="391"/>
      <c r="E26" s="26" t="s">
        <v>466</v>
      </c>
      <c r="F26" s="26" t="s">
        <v>467</v>
      </c>
      <c r="G26" s="28">
        <v>8778300</v>
      </c>
      <c r="H26" s="28"/>
      <c r="I26" s="28"/>
      <c r="J26" s="28"/>
      <c r="K26" s="28"/>
      <c r="L26" s="28">
        <v>0</v>
      </c>
      <c r="M26" s="28">
        <f t="shared" si="0"/>
        <v>8778300</v>
      </c>
      <c r="N26" s="389"/>
      <c r="O26" s="55" t="s">
        <v>1532</v>
      </c>
      <c r="P26" s="67" t="s">
        <v>1533</v>
      </c>
      <c r="Q26" s="32" t="s">
        <v>1534</v>
      </c>
      <c r="R26" s="75">
        <v>3000000</v>
      </c>
      <c r="S26" s="37">
        <f t="shared" si="1"/>
        <v>0.34175181982844061</v>
      </c>
      <c r="T26" s="116"/>
      <c r="U26" s="116"/>
      <c r="V26" s="116"/>
      <c r="W26" s="116"/>
      <c r="X26" s="116"/>
      <c r="Y26" s="116"/>
    </row>
    <row r="27" spans="1:25" ht="84" x14ac:dyDescent="0.25">
      <c r="A27" s="26" t="s">
        <v>258</v>
      </c>
      <c r="B27" s="26" t="s">
        <v>259</v>
      </c>
      <c r="C27" s="26" t="s">
        <v>260</v>
      </c>
      <c r="D27" s="26" t="s">
        <v>261</v>
      </c>
      <c r="E27" s="26" t="s">
        <v>262</v>
      </c>
      <c r="F27" s="26" t="s">
        <v>263</v>
      </c>
      <c r="G27" s="28">
        <v>0</v>
      </c>
      <c r="H27" s="28"/>
      <c r="I27" s="27">
        <v>250000000</v>
      </c>
      <c r="J27" s="28">
        <v>0</v>
      </c>
      <c r="K27" s="27"/>
      <c r="L27" s="27"/>
      <c r="M27" s="28">
        <f t="shared" si="0"/>
        <v>250000000</v>
      </c>
      <c r="N27" s="53">
        <f>SUM(M27)</f>
        <v>250000000</v>
      </c>
      <c r="O27" s="17"/>
      <c r="P27" s="17"/>
      <c r="Q27" s="16"/>
      <c r="R27" s="17"/>
      <c r="S27" s="37">
        <f t="shared" si="1"/>
        <v>0</v>
      </c>
      <c r="T27" s="116"/>
      <c r="U27" s="116"/>
      <c r="V27" s="116"/>
      <c r="W27" s="116"/>
      <c r="X27" s="116"/>
      <c r="Y27" s="116"/>
    </row>
    <row r="28" spans="1:25" ht="96" x14ac:dyDescent="0.25">
      <c r="A28" s="52" t="s">
        <v>264</v>
      </c>
      <c r="B28" s="52" t="s">
        <v>265</v>
      </c>
      <c r="C28" s="26" t="s">
        <v>266</v>
      </c>
      <c r="D28" s="26" t="s">
        <v>267</v>
      </c>
      <c r="E28" s="26" t="s">
        <v>268</v>
      </c>
      <c r="F28" s="26" t="s">
        <v>144</v>
      </c>
      <c r="G28" s="28">
        <v>0</v>
      </c>
      <c r="H28" s="28"/>
      <c r="I28" s="27">
        <v>1585000000</v>
      </c>
      <c r="J28" s="28">
        <v>0</v>
      </c>
      <c r="K28" s="27"/>
      <c r="L28" s="27"/>
      <c r="M28" s="28">
        <f t="shared" si="0"/>
        <v>1585000000</v>
      </c>
      <c r="N28" s="53">
        <f>SUM(M28)</f>
        <v>1585000000</v>
      </c>
      <c r="O28" s="55" t="s">
        <v>1474</v>
      </c>
      <c r="P28" s="67" t="s">
        <v>1475</v>
      </c>
      <c r="Q28" s="32" t="s">
        <v>1476</v>
      </c>
      <c r="R28" s="75">
        <v>1450121875</v>
      </c>
      <c r="S28" s="37">
        <f t="shared" si="1"/>
        <v>0.91490339116719244</v>
      </c>
      <c r="T28" s="116"/>
      <c r="U28" s="116"/>
      <c r="V28" s="116"/>
      <c r="W28" s="116"/>
      <c r="X28" s="116"/>
      <c r="Y28" s="116"/>
    </row>
    <row r="29" spans="1:25" ht="132" x14ac:dyDescent="0.25">
      <c r="A29" s="52" t="s">
        <v>269</v>
      </c>
      <c r="B29" s="52" t="s">
        <v>270</v>
      </c>
      <c r="C29" s="26" t="s">
        <v>271</v>
      </c>
      <c r="D29" s="26" t="s">
        <v>267</v>
      </c>
      <c r="E29" s="26" t="s">
        <v>272</v>
      </c>
      <c r="F29" s="26" t="s">
        <v>144</v>
      </c>
      <c r="G29" s="28">
        <v>0</v>
      </c>
      <c r="H29" s="28"/>
      <c r="I29" s="27">
        <v>2126284686</v>
      </c>
      <c r="J29" s="28">
        <v>0</v>
      </c>
      <c r="K29" s="27"/>
      <c r="L29" s="27"/>
      <c r="M29" s="28">
        <f t="shared" si="0"/>
        <v>2126284686</v>
      </c>
      <c r="N29" s="53">
        <f>SUM(M29)</f>
        <v>2126284686</v>
      </c>
      <c r="O29" s="17"/>
      <c r="P29" s="17"/>
      <c r="Q29" s="16"/>
      <c r="R29" s="17"/>
      <c r="S29" s="37">
        <f t="shared" si="1"/>
        <v>0</v>
      </c>
      <c r="T29" s="116"/>
      <c r="U29" s="116"/>
      <c r="V29" s="116"/>
      <c r="W29" s="116"/>
      <c r="X29" s="116"/>
      <c r="Y29" s="116"/>
    </row>
    <row r="30" spans="1:25" ht="60" customHeight="1" x14ac:dyDescent="0.25">
      <c r="A30" s="423" t="s">
        <v>273</v>
      </c>
      <c r="B30" s="423" t="s">
        <v>274</v>
      </c>
      <c r="C30" s="423" t="s">
        <v>275</v>
      </c>
      <c r="D30" s="423" t="s">
        <v>261</v>
      </c>
      <c r="E30" s="26" t="s">
        <v>61</v>
      </c>
      <c r="F30" s="26" t="s">
        <v>276</v>
      </c>
      <c r="G30" s="28">
        <v>0</v>
      </c>
      <c r="H30" s="28"/>
      <c r="I30" s="28">
        <v>0</v>
      </c>
      <c r="J30" s="28">
        <v>0</v>
      </c>
      <c r="K30" s="27">
        <v>221873347</v>
      </c>
      <c r="L30" s="27">
        <v>95200000</v>
      </c>
      <c r="M30" s="28">
        <v>317073347</v>
      </c>
      <c r="N30" s="417">
        <v>929273347</v>
      </c>
      <c r="O30" s="17"/>
      <c r="P30" s="17"/>
      <c r="Q30" s="16"/>
      <c r="R30" s="17"/>
      <c r="S30" s="37">
        <f t="shared" si="1"/>
        <v>0</v>
      </c>
      <c r="T30" s="116"/>
      <c r="U30" s="116"/>
      <c r="V30" s="116"/>
      <c r="W30" s="116"/>
      <c r="X30" s="116"/>
      <c r="Y30" s="116"/>
    </row>
    <row r="31" spans="1:25" ht="84" x14ac:dyDescent="0.25">
      <c r="A31" s="424"/>
      <c r="B31" s="424"/>
      <c r="C31" s="424"/>
      <c r="D31" s="424"/>
      <c r="E31" s="26" t="s">
        <v>61</v>
      </c>
      <c r="F31" s="26" t="s">
        <v>620</v>
      </c>
      <c r="G31" s="28">
        <v>0</v>
      </c>
      <c r="H31" s="28"/>
      <c r="I31" s="28">
        <v>0</v>
      </c>
      <c r="J31" s="28">
        <v>0</v>
      </c>
      <c r="K31" s="27">
        <v>160000000</v>
      </c>
      <c r="L31" s="27"/>
      <c r="M31" s="28">
        <v>160000000</v>
      </c>
      <c r="N31" s="418"/>
      <c r="O31" s="17"/>
      <c r="P31" s="17"/>
      <c r="Q31" s="16"/>
      <c r="R31" s="17"/>
      <c r="S31" s="37">
        <f t="shared" si="1"/>
        <v>0</v>
      </c>
      <c r="T31" s="116"/>
      <c r="U31" s="116"/>
      <c r="V31" s="116"/>
      <c r="W31" s="116"/>
      <c r="X31" s="116"/>
      <c r="Y31" s="116"/>
    </row>
    <row r="32" spans="1:25" x14ac:dyDescent="0.25">
      <c r="A32" s="424"/>
      <c r="B32" s="424"/>
      <c r="C32" s="424"/>
      <c r="D32" s="424"/>
      <c r="E32" s="395" t="s">
        <v>61</v>
      </c>
      <c r="F32" s="395" t="s">
        <v>621</v>
      </c>
      <c r="G32" s="395">
        <v>0</v>
      </c>
      <c r="H32" s="395"/>
      <c r="I32" s="395">
        <v>0</v>
      </c>
      <c r="J32" s="395">
        <v>0</v>
      </c>
      <c r="K32" s="395">
        <v>452200000</v>
      </c>
      <c r="L32" s="395"/>
      <c r="M32" s="395">
        <v>452200000</v>
      </c>
      <c r="N32" s="419"/>
      <c r="O32" s="55" t="s">
        <v>1485</v>
      </c>
      <c r="P32" s="67" t="s">
        <v>1486</v>
      </c>
      <c r="Q32" s="32" t="s">
        <v>1487</v>
      </c>
      <c r="R32" s="75">
        <v>8131000</v>
      </c>
      <c r="S32" s="414">
        <f>R38/M32</f>
        <v>1.4575045997346308</v>
      </c>
      <c r="T32" s="116">
        <v>282</v>
      </c>
      <c r="U32" s="116" t="s">
        <v>1599</v>
      </c>
      <c r="V32" s="117">
        <v>8131000</v>
      </c>
      <c r="W32" s="116">
        <v>1254</v>
      </c>
      <c r="X32" s="116" t="s">
        <v>1652</v>
      </c>
      <c r="Y32" s="117">
        <v>8131000</v>
      </c>
    </row>
    <row r="33" spans="1:25" x14ac:dyDescent="0.25">
      <c r="A33" s="424"/>
      <c r="B33" s="424"/>
      <c r="C33" s="424"/>
      <c r="D33" s="424"/>
      <c r="E33" s="396"/>
      <c r="F33" s="396"/>
      <c r="G33" s="396"/>
      <c r="H33" s="396"/>
      <c r="I33" s="396"/>
      <c r="J33" s="396"/>
      <c r="K33" s="396"/>
      <c r="L33" s="396"/>
      <c r="M33" s="396"/>
      <c r="N33" s="94"/>
      <c r="O33" s="55" t="s">
        <v>1488</v>
      </c>
      <c r="P33" s="67" t="s">
        <v>464</v>
      </c>
      <c r="Q33" s="32" t="s">
        <v>1489</v>
      </c>
      <c r="R33" s="75">
        <v>17000000</v>
      </c>
      <c r="S33" s="415"/>
      <c r="T33" s="116">
        <v>311</v>
      </c>
      <c r="U33" s="116" t="s">
        <v>1637</v>
      </c>
      <c r="V33" s="117">
        <v>17000000</v>
      </c>
      <c r="W33" s="116">
        <v>93</v>
      </c>
      <c r="X33" s="116" t="s">
        <v>1699</v>
      </c>
      <c r="Y33" s="117">
        <v>16471326</v>
      </c>
    </row>
    <row r="34" spans="1:25" x14ac:dyDescent="0.25">
      <c r="A34" s="424"/>
      <c r="B34" s="424"/>
      <c r="C34" s="424"/>
      <c r="D34" s="424"/>
      <c r="E34" s="396"/>
      <c r="F34" s="396"/>
      <c r="G34" s="396"/>
      <c r="H34" s="396"/>
      <c r="I34" s="396"/>
      <c r="J34" s="396"/>
      <c r="K34" s="396"/>
      <c r="L34" s="396"/>
      <c r="M34" s="396"/>
      <c r="N34" s="94"/>
      <c r="O34" s="55" t="s">
        <v>1490</v>
      </c>
      <c r="P34" s="67" t="s">
        <v>337</v>
      </c>
      <c r="Q34" s="32" t="s">
        <v>1491</v>
      </c>
      <c r="R34" s="75">
        <v>17000000</v>
      </c>
      <c r="S34" s="415"/>
      <c r="T34" s="122">
        <v>421</v>
      </c>
      <c r="U34" s="116" t="s">
        <v>1574</v>
      </c>
      <c r="V34" s="117">
        <v>17000000</v>
      </c>
      <c r="W34" s="116">
        <v>1916</v>
      </c>
      <c r="X34" s="116" t="s">
        <v>1633</v>
      </c>
      <c r="Y34" s="117">
        <v>16692256</v>
      </c>
    </row>
    <row r="35" spans="1:25" x14ac:dyDescent="0.25">
      <c r="A35" s="424"/>
      <c r="B35" s="424"/>
      <c r="C35" s="424"/>
      <c r="D35" s="424"/>
      <c r="E35" s="396"/>
      <c r="F35" s="396"/>
      <c r="G35" s="396"/>
      <c r="H35" s="396"/>
      <c r="I35" s="396"/>
      <c r="J35" s="396"/>
      <c r="K35" s="396"/>
      <c r="L35" s="396"/>
      <c r="M35" s="396"/>
      <c r="N35" s="94"/>
      <c r="O35" s="55" t="s">
        <v>1492</v>
      </c>
      <c r="P35" s="67" t="s">
        <v>613</v>
      </c>
      <c r="Q35" s="32" t="s">
        <v>1493</v>
      </c>
      <c r="R35" s="75">
        <v>454943625</v>
      </c>
      <c r="S35" s="415"/>
      <c r="T35" s="122">
        <v>448</v>
      </c>
      <c r="U35" s="116" t="s">
        <v>1564</v>
      </c>
      <c r="V35" s="188">
        <v>454943625</v>
      </c>
      <c r="W35" s="116">
        <v>1941</v>
      </c>
      <c r="X35" s="116" t="s">
        <v>1679</v>
      </c>
      <c r="Y35" s="117">
        <v>353972228.52999997</v>
      </c>
    </row>
    <row r="36" spans="1:25" x14ac:dyDescent="0.25">
      <c r="A36" s="424"/>
      <c r="B36" s="424"/>
      <c r="C36" s="424"/>
      <c r="D36" s="424"/>
      <c r="E36" s="396"/>
      <c r="F36" s="396"/>
      <c r="G36" s="396"/>
      <c r="H36" s="396"/>
      <c r="I36" s="396"/>
      <c r="J36" s="396"/>
      <c r="K36" s="396"/>
      <c r="L36" s="396"/>
      <c r="M36" s="396"/>
      <c r="N36" s="94"/>
      <c r="O36" s="55" t="s">
        <v>1494</v>
      </c>
      <c r="P36" s="67" t="s">
        <v>1495</v>
      </c>
      <c r="Q36" s="32" t="s">
        <v>1496</v>
      </c>
      <c r="R36" s="75">
        <v>30000000</v>
      </c>
      <c r="S36" s="415"/>
      <c r="T36" s="116">
        <v>530</v>
      </c>
      <c r="U36" s="116" t="s">
        <v>1679</v>
      </c>
      <c r="V36" s="117">
        <v>30000000</v>
      </c>
      <c r="W36" s="116" t="s">
        <v>1577</v>
      </c>
      <c r="X36" s="116" t="s">
        <v>1577</v>
      </c>
      <c r="Y36" s="116" t="s">
        <v>1577</v>
      </c>
    </row>
    <row r="37" spans="1:25" x14ac:dyDescent="0.25">
      <c r="A37" s="424"/>
      <c r="B37" s="424"/>
      <c r="C37" s="424"/>
      <c r="D37" s="424"/>
      <c r="E37" s="396"/>
      <c r="F37" s="396"/>
      <c r="G37" s="396"/>
      <c r="H37" s="396"/>
      <c r="I37" s="396"/>
      <c r="J37" s="396"/>
      <c r="K37" s="396"/>
      <c r="L37" s="396"/>
      <c r="M37" s="396"/>
      <c r="N37" s="94"/>
      <c r="O37" s="55" t="s">
        <v>1497</v>
      </c>
      <c r="P37" s="67" t="s">
        <v>1498</v>
      </c>
      <c r="Q37" s="32" t="s">
        <v>1499</v>
      </c>
      <c r="R37" s="75">
        <v>132008955</v>
      </c>
      <c r="S37" s="415"/>
      <c r="T37" s="116">
        <v>658</v>
      </c>
      <c r="U37" s="116" t="s">
        <v>1700</v>
      </c>
      <c r="V37" s="117">
        <v>132008955</v>
      </c>
      <c r="W37" s="116">
        <v>2946</v>
      </c>
      <c r="X37" s="116" t="s">
        <v>1588</v>
      </c>
      <c r="Y37" s="117">
        <v>129344063.09999999</v>
      </c>
    </row>
    <row r="38" spans="1:25" x14ac:dyDescent="0.25">
      <c r="A38" s="425"/>
      <c r="B38" s="425"/>
      <c r="C38" s="425"/>
      <c r="D38" s="425"/>
      <c r="E38" s="397"/>
      <c r="F38" s="397"/>
      <c r="G38" s="397"/>
      <c r="H38" s="397"/>
      <c r="I38" s="397"/>
      <c r="J38" s="397"/>
      <c r="K38" s="397"/>
      <c r="L38" s="397"/>
      <c r="M38" s="397"/>
      <c r="N38" s="94"/>
      <c r="O38" s="76" t="s">
        <v>637</v>
      </c>
      <c r="P38" s="18"/>
      <c r="Q38" s="18"/>
      <c r="R38" s="19">
        <f>SUM(R32:R37)</f>
        <v>659083580</v>
      </c>
      <c r="S38" s="416"/>
      <c r="T38" s="116"/>
      <c r="U38" s="116"/>
      <c r="V38" s="116"/>
      <c r="W38" s="116"/>
      <c r="X38" s="116"/>
      <c r="Y38" s="116"/>
    </row>
    <row r="39" spans="1:25" ht="96" customHeight="1" x14ac:dyDescent="0.25">
      <c r="A39" s="423" t="s">
        <v>277</v>
      </c>
      <c r="B39" s="423" t="s">
        <v>278</v>
      </c>
      <c r="C39" s="423" t="s">
        <v>279</v>
      </c>
      <c r="D39" s="426" t="s">
        <v>261</v>
      </c>
      <c r="E39" s="26" t="s">
        <v>280</v>
      </c>
      <c r="F39" s="26" t="s">
        <v>281</v>
      </c>
      <c r="G39" s="28">
        <v>0</v>
      </c>
      <c r="H39" s="28"/>
      <c r="I39" s="28">
        <v>0</v>
      </c>
      <c r="J39" s="28">
        <v>0</v>
      </c>
      <c r="K39" s="27">
        <v>90000000</v>
      </c>
      <c r="L39" s="27"/>
      <c r="M39" s="28">
        <v>90000000</v>
      </c>
      <c r="N39" s="417">
        <v>153532726</v>
      </c>
      <c r="O39" s="55" t="s">
        <v>994</v>
      </c>
      <c r="P39" s="67" t="s">
        <v>995</v>
      </c>
      <c r="Q39" s="32" t="s">
        <v>996</v>
      </c>
      <c r="R39" s="75">
        <v>28350000</v>
      </c>
      <c r="S39" s="36">
        <f>R39/M39</f>
        <v>0.315</v>
      </c>
      <c r="T39" s="116">
        <v>713</v>
      </c>
      <c r="U39" s="116" t="s">
        <v>1682</v>
      </c>
      <c r="V39" s="117">
        <v>28350000</v>
      </c>
      <c r="W39" s="116">
        <v>2532</v>
      </c>
      <c r="X39" s="116" t="s">
        <v>1585</v>
      </c>
      <c r="Y39" s="117">
        <v>28350000</v>
      </c>
    </row>
    <row r="40" spans="1:25" ht="84" x14ac:dyDescent="0.25">
      <c r="A40" s="424"/>
      <c r="B40" s="424"/>
      <c r="C40" s="424"/>
      <c r="D40" s="427"/>
      <c r="E40" s="26" t="s">
        <v>622</v>
      </c>
      <c r="F40" s="26" t="s">
        <v>623</v>
      </c>
      <c r="G40" s="28">
        <v>0</v>
      </c>
      <c r="H40" s="28"/>
      <c r="I40" s="28">
        <v>0</v>
      </c>
      <c r="J40" s="28">
        <v>0</v>
      </c>
      <c r="K40" s="27">
        <v>8403361</v>
      </c>
      <c r="L40" s="27"/>
      <c r="M40" s="28">
        <v>8403361</v>
      </c>
      <c r="N40" s="418"/>
      <c r="O40" s="17"/>
      <c r="P40" s="17"/>
      <c r="Q40" s="17"/>
      <c r="R40" s="17"/>
      <c r="S40" s="36">
        <f t="shared" ref="S40:S42" si="2">R40/M40</f>
        <v>0</v>
      </c>
      <c r="T40" s="116"/>
      <c r="U40" s="116"/>
      <c r="V40" s="116"/>
      <c r="W40" s="116"/>
      <c r="X40" s="116"/>
      <c r="Y40" s="116"/>
    </row>
    <row r="41" spans="1:25" ht="84" x14ac:dyDescent="0.25">
      <c r="A41" s="424"/>
      <c r="B41" s="424"/>
      <c r="C41" s="424"/>
      <c r="D41" s="427"/>
      <c r="E41" s="26" t="s">
        <v>624</v>
      </c>
      <c r="F41" s="26" t="s">
        <v>625</v>
      </c>
      <c r="G41" s="28">
        <v>0</v>
      </c>
      <c r="H41" s="28"/>
      <c r="I41" s="28">
        <v>0</v>
      </c>
      <c r="J41" s="28">
        <v>0</v>
      </c>
      <c r="K41" s="27">
        <v>50000000</v>
      </c>
      <c r="L41" s="27"/>
      <c r="M41" s="28">
        <v>50000000</v>
      </c>
      <c r="N41" s="418"/>
      <c r="O41" s="17"/>
      <c r="P41" s="17"/>
      <c r="Q41" s="17"/>
      <c r="R41" s="17"/>
      <c r="S41" s="36">
        <f t="shared" si="2"/>
        <v>0</v>
      </c>
      <c r="T41" s="116"/>
      <c r="U41" s="116"/>
      <c r="V41" s="116"/>
      <c r="W41" s="116"/>
      <c r="X41" s="116"/>
      <c r="Y41" s="116"/>
    </row>
    <row r="42" spans="1:25" ht="96" x14ac:dyDescent="0.25">
      <c r="A42" s="425"/>
      <c r="B42" s="425"/>
      <c r="C42" s="425"/>
      <c r="D42" s="428"/>
      <c r="E42" s="26" t="s">
        <v>626</v>
      </c>
      <c r="F42" s="26" t="s">
        <v>627</v>
      </c>
      <c r="G42" s="28">
        <v>0</v>
      </c>
      <c r="H42" s="28"/>
      <c r="I42" s="28">
        <v>0</v>
      </c>
      <c r="J42" s="28">
        <v>0</v>
      </c>
      <c r="K42" s="27">
        <v>5129365</v>
      </c>
      <c r="L42" s="27"/>
      <c r="M42" s="28">
        <v>5129365</v>
      </c>
      <c r="N42" s="419"/>
      <c r="O42" s="17"/>
      <c r="P42" s="17"/>
      <c r="Q42" s="17"/>
      <c r="R42" s="17"/>
      <c r="S42" s="36">
        <f t="shared" si="2"/>
        <v>0</v>
      </c>
      <c r="T42" s="116"/>
      <c r="U42" s="116"/>
      <c r="V42" s="116"/>
      <c r="W42" s="116"/>
      <c r="X42" s="116"/>
      <c r="Y42" s="116"/>
    </row>
    <row r="43" spans="1:25" ht="168.75" thickBot="1" x14ac:dyDescent="0.3">
      <c r="A43" s="275" t="s">
        <v>1760</v>
      </c>
      <c r="B43" s="275"/>
      <c r="C43" s="275" t="s">
        <v>1761</v>
      </c>
      <c r="D43" s="275"/>
      <c r="E43" s="277"/>
      <c r="F43" s="277" t="s">
        <v>1762</v>
      </c>
      <c r="G43" s="28"/>
      <c r="H43" s="28"/>
      <c r="I43" s="28"/>
      <c r="J43" s="28">
        <v>400000000</v>
      </c>
      <c r="K43" s="28"/>
      <c r="L43" s="28"/>
      <c r="M43" s="28">
        <v>400000000</v>
      </c>
      <c r="N43" s="274">
        <v>400000000</v>
      </c>
      <c r="O43" s="68"/>
      <c r="P43" s="68"/>
      <c r="Q43" s="68"/>
      <c r="R43" s="68"/>
      <c r="S43" s="86">
        <f>R43/M44</f>
        <v>0</v>
      </c>
      <c r="T43" s="173"/>
      <c r="U43" s="173"/>
      <c r="V43" s="173"/>
      <c r="W43" s="173"/>
      <c r="X43" s="173"/>
      <c r="Y43" s="173"/>
    </row>
    <row r="44" spans="1:25" ht="120.75" thickBot="1" x14ac:dyDescent="0.35">
      <c r="A44" s="52" t="s">
        <v>282</v>
      </c>
      <c r="B44" s="52" t="s">
        <v>283</v>
      </c>
      <c r="C44" s="26" t="s">
        <v>284</v>
      </c>
      <c r="D44" s="26" t="s">
        <v>261</v>
      </c>
      <c r="E44" s="26" t="s">
        <v>285</v>
      </c>
      <c r="F44" s="26" t="s">
        <v>286</v>
      </c>
      <c r="G44" s="28">
        <v>0</v>
      </c>
      <c r="H44" s="28"/>
      <c r="I44" s="28">
        <v>0</v>
      </c>
      <c r="J44" s="28">
        <v>0</v>
      </c>
      <c r="K44" s="27">
        <v>138871201</v>
      </c>
      <c r="L44" s="27">
        <v>93447915</v>
      </c>
      <c r="M44" s="25">
        <v>232319116</v>
      </c>
      <c r="N44" s="54">
        <v>232319116</v>
      </c>
      <c r="O44" s="95"/>
      <c r="P44" s="95"/>
      <c r="Q44" s="95"/>
      <c r="R44" s="95">
        <f>R43+R42+R41+R40+R39+R38+R31+R30+R29+R28+R27+R26+R25+R24+R23+R22+R21+R17+R13+R9+R5</f>
        <v>2985373860</v>
      </c>
      <c r="S44" s="88">
        <f>R44/N45</f>
        <v>0.38447465370468853</v>
      </c>
      <c r="T44" s="234"/>
      <c r="U44" s="235"/>
      <c r="V44" s="236">
        <f>SUM(V2:V43)</f>
        <v>1500401025</v>
      </c>
      <c r="W44" s="235"/>
      <c r="X44" s="235"/>
      <c r="Y44" s="256">
        <f>SUM(Y2:Y43)</f>
        <v>1340397069.6299999</v>
      </c>
    </row>
    <row r="45" spans="1:25" ht="19.5" thickBot="1" x14ac:dyDescent="0.35">
      <c r="M45" s="48" t="s">
        <v>637</v>
      </c>
      <c r="N45" s="95">
        <f>SUM(N2:N44)</f>
        <v>7764813184</v>
      </c>
    </row>
  </sheetData>
  <sheetProtection algorithmName="SHA-512" hashValue="vveBK6NvjF3ZiCFKNPy7gG4sI3SrRhN04GIUc3ozWozBIe7jc7gdXGqR7pvZ6MN6COCXxA1Rj2b78IGzCe2w3Q==" saltValue="lKMUO+uHxampCBBGmkuDbg==" spinCount="100000" sheet="1" objects="1" scenarios="1" formatCells="0" formatColumns="0" formatRows="0"/>
  <mergeCells count="80">
    <mergeCell ref="B30:B38"/>
    <mergeCell ref="A30:A38"/>
    <mergeCell ref="D30:D38"/>
    <mergeCell ref="C30:C38"/>
    <mergeCell ref="I32:I38"/>
    <mergeCell ref="H32:H38"/>
    <mergeCell ref="G32:G38"/>
    <mergeCell ref="F32:F38"/>
    <mergeCell ref="E32:E38"/>
    <mergeCell ref="A39:A42"/>
    <mergeCell ref="B39:B42"/>
    <mergeCell ref="C39:C42"/>
    <mergeCell ref="D39:D42"/>
    <mergeCell ref="N39:N42"/>
    <mergeCell ref="A2:A22"/>
    <mergeCell ref="B2:B22"/>
    <mergeCell ref="C2:C22"/>
    <mergeCell ref="D2:D22"/>
    <mergeCell ref="M2:M5"/>
    <mergeCell ref="L2:L5"/>
    <mergeCell ref="J10:J13"/>
    <mergeCell ref="I10:I13"/>
    <mergeCell ref="F2:F5"/>
    <mergeCell ref="E2:E5"/>
    <mergeCell ref="M6:M9"/>
    <mergeCell ref="L6:L9"/>
    <mergeCell ref="K6:K9"/>
    <mergeCell ref="J6:J9"/>
    <mergeCell ref="I6:I9"/>
    <mergeCell ref="H6:H9"/>
    <mergeCell ref="A23:A26"/>
    <mergeCell ref="B23:B26"/>
    <mergeCell ref="C23:C26"/>
    <mergeCell ref="D23:D26"/>
    <mergeCell ref="N23:N26"/>
    <mergeCell ref="G6:G9"/>
    <mergeCell ref="F6:F9"/>
    <mergeCell ref="E6:E9"/>
    <mergeCell ref="K2:K5"/>
    <mergeCell ref="J2:J5"/>
    <mergeCell ref="I2:I5"/>
    <mergeCell ref="H2:H5"/>
    <mergeCell ref="G2:G5"/>
    <mergeCell ref="H10:H13"/>
    <mergeCell ref="G10:G13"/>
    <mergeCell ref="F10:F13"/>
    <mergeCell ref="E10:E13"/>
    <mergeCell ref="M14:M17"/>
    <mergeCell ref="L14:L17"/>
    <mergeCell ref="K14:K17"/>
    <mergeCell ref="J14:J17"/>
    <mergeCell ref="I14:I17"/>
    <mergeCell ref="H14:H17"/>
    <mergeCell ref="G14:G17"/>
    <mergeCell ref="F14:F17"/>
    <mergeCell ref="E14:E17"/>
    <mergeCell ref="M10:M13"/>
    <mergeCell ref="L10:L13"/>
    <mergeCell ref="K10:K13"/>
    <mergeCell ref="S2:S5"/>
    <mergeCell ref="S6:S9"/>
    <mergeCell ref="S10:S13"/>
    <mergeCell ref="S14:S17"/>
    <mergeCell ref="S18:S21"/>
    <mergeCell ref="S32:S38"/>
    <mergeCell ref="H18:H21"/>
    <mergeCell ref="G18:G21"/>
    <mergeCell ref="F18:F21"/>
    <mergeCell ref="E18:E21"/>
    <mergeCell ref="M32:M38"/>
    <mergeCell ref="L32:L38"/>
    <mergeCell ref="K32:K38"/>
    <mergeCell ref="J32:J38"/>
    <mergeCell ref="M18:M21"/>
    <mergeCell ref="L18:L21"/>
    <mergeCell ref="K18:K21"/>
    <mergeCell ref="J18:J21"/>
    <mergeCell ref="I18:I21"/>
    <mergeCell ref="N2:N22"/>
    <mergeCell ref="N30:N32"/>
  </mergeCells>
  <conditionalFormatting sqref="S1:S2 S6 S10 S14 S18 S22:S32 S39:S1048576">
    <cfRule type="cellIs" dxfId="17" priority="1" operator="between">
      <formula>0.51</formula>
      <formula>0.69</formula>
    </cfRule>
    <cfRule type="cellIs" dxfId="16" priority="2" operator="lessThan">
      <formula>0.5</formula>
    </cfRule>
    <cfRule type="cellIs" dxfId="15" priority="3" operator="greaterThan">
      <formula>0.7</formula>
    </cfRule>
  </conditionalFormatting>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Y4"/>
  <sheetViews>
    <sheetView zoomScale="80" zoomScaleNormal="80" workbookViewId="0">
      <selection activeCell="A5" sqref="A5:XFD1048576"/>
    </sheetView>
  </sheetViews>
  <sheetFormatPr baseColWidth="10" defaultColWidth="0" defaultRowHeight="15" zeroHeight="1" x14ac:dyDescent="0.25"/>
  <cols>
    <col min="1" max="5" width="11.42578125" customWidth="1"/>
    <col min="6" max="6" width="14.42578125" customWidth="1"/>
    <col min="7" max="7" width="15.140625" bestFit="1" customWidth="1"/>
    <col min="8" max="11" width="11.42578125" customWidth="1"/>
    <col min="12" max="12" width="11.5703125" bestFit="1" customWidth="1"/>
    <col min="13" max="13" width="15.140625" bestFit="1" customWidth="1"/>
    <col min="14" max="14" width="15.42578125" bestFit="1" customWidth="1"/>
    <col min="15" max="17" width="11.42578125" customWidth="1"/>
    <col min="18" max="18" width="12.28515625" bestFit="1" customWidth="1"/>
    <col min="19" max="19" width="11.42578125" style="38" customWidth="1"/>
    <col min="20" max="21" width="11.42578125" customWidth="1"/>
    <col min="22" max="22" width="15.28515625" bestFit="1" customWidth="1"/>
    <col min="23" max="24" width="11.42578125" customWidth="1"/>
    <col min="25" max="25" width="17.8554687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722</v>
      </c>
      <c r="S2" s="35" t="s">
        <v>1535</v>
      </c>
      <c r="T2" s="14" t="s">
        <v>630</v>
      </c>
      <c r="U2" s="14" t="s">
        <v>631</v>
      </c>
      <c r="V2" s="14" t="s">
        <v>632</v>
      </c>
      <c r="W2" s="14" t="s">
        <v>633</v>
      </c>
      <c r="X2" s="14" t="s">
        <v>634</v>
      </c>
      <c r="Y2" s="14" t="s">
        <v>635</v>
      </c>
    </row>
    <row r="3" spans="1:25" ht="215.25" thickBot="1" x14ac:dyDescent="0.3">
      <c r="A3" s="52" t="s">
        <v>287</v>
      </c>
      <c r="B3" s="52" t="s">
        <v>288</v>
      </c>
      <c r="C3" s="52" t="s">
        <v>289</v>
      </c>
      <c r="D3" s="52" t="s">
        <v>290</v>
      </c>
      <c r="E3" s="26" t="s">
        <v>291</v>
      </c>
      <c r="F3" s="26" t="s">
        <v>292</v>
      </c>
      <c r="G3" s="28">
        <v>120000000</v>
      </c>
      <c r="H3" s="28"/>
      <c r="I3" s="28"/>
      <c r="J3" s="28"/>
      <c r="K3" s="28"/>
      <c r="L3" s="28">
        <v>0</v>
      </c>
      <c r="M3" s="28">
        <f t="shared" ref="M3" si="0">SUM(G3:L3)</f>
        <v>120000000</v>
      </c>
      <c r="N3" s="97">
        <f>+M3</f>
        <v>120000000</v>
      </c>
      <c r="O3" s="258" t="s">
        <v>892</v>
      </c>
      <c r="P3" s="62" t="s">
        <v>559</v>
      </c>
      <c r="Q3" s="63" t="s">
        <v>893</v>
      </c>
      <c r="R3" s="64">
        <v>25000000</v>
      </c>
      <c r="S3" s="98">
        <f>R3/N3</f>
        <v>0.20833333333333334</v>
      </c>
      <c r="T3" s="259">
        <v>368</v>
      </c>
      <c r="U3" s="259" t="s">
        <v>1562</v>
      </c>
      <c r="V3" s="260">
        <v>25000000</v>
      </c>
      <c r="W3" s="259" t="s">
        <v>1701</v>
      </c>
      <c r="X3" s="259" t="s">
        <v>1702</v>
      </c>
      <c r="Y3" s="261">
        <v>10489500</v>
      </c>
    </row>
    <row r="4" spans="1:25" ht="16.5" thickBot="1" x14ac:dyDescent="0.3">
      <c r="N4" s="262">
        <f>SUM(N3)</f>
        <v>120000000</v>
      </c>
      <c r="O4" s="71"/>
      <c r="P4" s="71"/>
      <c r="Q4" s="71"/>
      <c r="R4" s="72">
        <f>SUM(R3)</f>
        <v>25000000</v>
      </c>
      <c r="S4" s="263">
        <f>R4/N4</f>
        <v>0.20833333333333334</v>
      </c>
      <c r="T4" s="71"/>
      <c r="U4" s="71"/>
      <c r="V4" s="264">
        <f>SUM(V3)</f>
        <v>25000000</v>
      </c>
      <c r="W4" s="71"/>
      <c r="X4" s="71"/>
      <c r="Y4" s="265">
        <f>SUM(Y3)</f>
        <v>10489500</v>
      </c>
    </row>
  </sheetData>
  <sheetProtection algorithmName="SHA-512" hashValue="Y6e+OdfhJVV1O3SIvYuJ/NUKbwPih7geBcNmG7n1PE/5BWyi9+jstrO6932mBKNIMLQOhoTf0k8uxM8sDEvQEw==" saltValue="TG4i9ikGKWpfKP3tlcwaKw==" spinCount="100000" sheet="1" objects="1" scenarios="1" formatCells="0" formatColumns="0" formatRows="0"/>
  <conditionalFormatting sqref="S1:S1048576">
    <cfRule type="cellIs" dxfId="14" priority="1" operator="between">
      <formula>0.51</formula>
      <formula>0.69</formula>
    </cfRule>
    <cfRule type="cellIs" dxfId="13" priority="2" operator="lessThan">
      <formula>0.5</formula>
    </cfRule>
    <cfRule type="cellIs" dxfId="12" priority="3" operator="greaterThan">
      <formula>0.7</formula>
    </cfRule>
  </conditionalFormatting>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249977111117893"/>
  </sheetPr>
  <dimension ref="A1:Y6"/>
  <sheetViews>
    <sheetView zoomScale="80" zoomScaleNormal="80" workbookViewId="0">
      <selection activeCell="A7" sqref="A7:XFD1048576"/>
    </sheetView>
  </sheetViews>
  <sheetFormatPr baseColWidth="10" defaultColWidth="0" defaultRowHeight="15" zeroHeight="1" x14ac:dyDescent="0.25"/>
  <cols>
    <col min="1" max="5" width="11.42578125" customWidth="1"/>
    <col min="6" max="6" width="22.42578125" customWidth="1"/>
    <col min="7" max="8" width="13.85546875" bestFit="1" customWidth="1"/>
    <col min="9" max="11" width="11.42578125" customWidth="1"/>
    <col min="12" max="12" width="11.5703125" bestFit="1" customWidth="1"/>
    <col min="13" max="13" width="17.42578125" bestFit="1" customWidth="1"/>
    <col min="14" max="14" width="11.7109375" customWidth="1"/>
    <col min="15" max="15" width="16" customWidth="1"/>
    <col min="16" max="17" width="11.42578125" customWidth="1"/>
    <col min="18" max="18" width="14.140625" bestFit="1" customWidth="1"/>
    <col min="19" max="19" width="11.5703125" style="38" bestFit="1" customWidth="1"/>
    <col min="20" max="21" width="11.42578125" customWidth="1"/>
    <col min="22" max="22" width="13.5703125" bestFit="1" customWidth="1"/>
    <col min="23" max="24" width="11.42578125" customWidth="1"/>
    <col min="25" max="25" width="15.710937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743</v>
      </c>
      <c r="S2" s="35" t="s">
        <v>1535</v>
      </c>
      <c r="T2" s="14" t="s">
        <v>630</v>
      </c>
      <c r="U2" s="14" t="s">
        <v>631</v>
      </c>
      <c r="V2" s="14" t="s">
        <v>632</v>
      </c>
      <c r="W2" s="14" t="s">
        <v>633</v>
      </c>
      <c r="X2" s="14" t="s">
        <v>634</v>
      </c>
      <c r="Y2" s="14" t="s">
        <v>635</v>
      </c>
    </row>
    <row r="3" spans="1:25" ht="84" customHeight="1" x14ac:dyDescent="0.25">
      <c r="A3" s="391" t="s">
        <v>343</v>
      </c>
      <c r="B3" s="391" t="s">
        <v>344</v>
      </c>
      <c r="C3" s="391" t="s">
        <v>345</v>
      </c>
      <c r="D3" s="391" t="s">
        <v>346</v>
      </c>
      <c r="E3" s="26" t="s">
        <v>347</v>
      </c>
      <c r="F3" s="26" t="s">
        <v>348</v>
      </c>
      <c r="G3" s="28">
        <f>24500000</f>
        <v>24500000</v>
      </c>
      <c r="H3" s="28">
        <f>17500000+14000000+10000000</f>
        <v>41500000</v>
      </c>
      <c r="I3" s="28"/>
      <c r="J3" s="28"/>
      <c r="K3" s="28"/>
      <c r="L3" s="28">
        <v>0</v>
      </c>
      <c r="M3" s="28">
        <f t="shared" ref="M3:M5" si="0">SUM(G3:L3)</f>
        <v>66000000</v>
      </c>
      <c r="N3" s="389">
        <f>SUM(M3:M5)</f>
        <v>114900000</v>
      </c>
      <c r="O3" s="30" t="s">
        <v>1218</v>
      </c>
      <c r="P3" s="31" t="s">
        <v>1219</v>
      </c>
      <c r="Q3" s="32" t="s">
        <v>1220</v>
      </c>
      <c r="R3" s="33">
        <v>14688000</v>
      </c>
      <c r="S3" s="36">
        <f>R3/M3</f>
        <v>0.22254545454545455</v>
      </c>
      <c r="T3" s="116">
        <v>68</v>
      </c>
      <c r="U3" s="116" t="s">
        <v>1623</v>
      </c>
      <c r="V3" s="117">
        <v>14688000</v>
      </c>
      <c r="W3" s="116">
        <v>265</v>
      </c>
      <c r="X3" s="116" t="s">
        <v>1561</v>
      </c>
      <c r="Y3" s="196">
        <v>14688000</v>
      </c>
    </row>
    <row r="4" spans="1:25" ht="165" x14ac:dyDescent="0.25">
      <c r="A4" s="391"/>
      <c r="B4" s="391"/>
      <c r="C4" s="391"/>
      <c r="D4" s="391"/>
      <c r="E4" s="26" t="s">
        <v>409</v>
      </c>
      <c r="F4" s="26" t="s">
        <v>410</v>
      </c>
      <c r="G4" s="28">
        <v>25000000</v>
      </c>
      <c r="H4" s="28"/>
      <c r="I4" s="28"/>
      <c r="J4" s="28"/>
      <c r="K4" s="28"/>
      <c r="L4" s="28">
        <v>0</v>
      </c>
      <c r="M4" s="28">
        <f t="shared" si="0"/>
        <v>25000000</v>
      </c>
      <c r="N4" s="389"/>
      <c r="O4" s="30" t="s">
        <v>889</v>
      </c>
      <c r="P4" s="31" t="s">
        <v>890</v>
      </c>
      <c r="Q4" s="195" t="s">
        <v>891</v>
      </c>
      <c r="R4" s="33">
        <v>10000000</v>
      </c>
      <c r="S4" s="36">
        <f t="shared" ref="S4:S6" si="1">R4/M4</f>
        <v>0.4</v>
      </c>
      <c r="T4" s="114"/>
      <c r="U4" s="114"/>
      <c r="V4" s="114"/>
      <c r="W4" s="114"/>
      <c r="X4" s="114"/>
      <c r="Y4" s="114"/>
    </row>
    <row r="5" spans="1:25" ht="150.75" thickBot="1" x14ac:dyDescent="0.3">
      <c r="A5" s="391"/>
      <c r="B5" s="391"/>
      <c r="C5" s="391"/>
      <c r="D5" s="391"/>
      <c r="E5" s="26" t="s">
        <v>411</v>
      </c>
      <c r="F5" s="26" t="s">
        <v>412</v>
      </c>
      <c r="G5" s="28">
        <f>12000000</f>
        <v>12000000</v>
      </c>
      <c r="H5" s="28">
        <v>11900000</v>
      </c>
      <c r="I5" s="28"/>
      <c r="J5" s="28"/>
      <c r="K5" s="28"/>
      <c r="L5" s="25">
        <v>0</v>
      </c>
      <c r="M5" s="25">
        <f t="shared" si="0"/>
        <v>23900000</v>
      </c>
      <c r="N5" s="390"/>
      <c r="O5" s="85" t="s">
        <v>754</v>
      </c>
      <c r="P5" s="62" t="s">
        <v>755</v>
      </c>
      <c r="Q5" s="63" t="s">
        <v>756</v>
      </c>
      <c r="R5" s="64">
        <v>12000000</v>
      </c>
      <c r="S5" s="36">
        <f t="shared" si="1"/>
        <v>0.502092050209205</v>
      </c>
      <c r="T5" s="173">
        <v>625</v>
      </c>
      <c r="U5" s="173" t="s">
        <v>1638</v>
      </c>
      <c r="V5" s="266">
        <v>12000000</v>
      </c>
      <c r="W5" s="173" t="s">
        <v>1580</v>
      </c>
      <c r="X5" s="173" t="s">
        <v>1580</v>
      </c>
      <c r="Y5" s="173" t="s">
        <v>1580</v>
      </c>
    </row>
    <row r="6" spans="1:25" ht="19.5" thickBot="1" x14ac:dyDescent="0.35">
      <c r="L6" s="48" t="s">
        <v>637</v>
      </c>
      <c r="M6" s="49">
        <f>SUM(M3:M5)</f>
        <v>114900000</v>
      </c>
      <c r="N6" s="50"/>
      <c r="O6" s="50"/>
      <c r="P6" s="50"/>
      <c r="Q6" s="50"/>
      <c r="R6" s="51">
        <f>SUM(R3:R5)</f>
        <v>36688000</v>
      </c>
      <c r="S6" s="88">
        <f t="shared" si="1"/>
        <v>0.31930374238468234</v>
      </c>
      <c r="T6" s="234"/>
      <c r="U6" s="235"/>
      <c r="V6" s="236">
        <f>SUM(V3:V5)</f>
        <v>26688000</v>
      </c>
      <c r="W6" s="235"/>
      <c r="X6" s="235"/>
      <c r="Y6" s="256">
        <f>SUM(Y3:Y5)</f>
        <v>14688000</v>
      </c>
    </row>
  </sheetData>
  <sheetProtection algorithmName="SHA-512" hashValue="hksYB+KkNfYI7JpqUbNQIaVJ5+MbISLh1drvNaU0m15xkHFUodtvAS1zliPpiNJyBEFvgwPm8Wk2eUuhnQLjjA==" saltValue="ko1b3GDGdOg4isqD0krdFw==" spinCount="100000" sheet="1" objects="1" scenarios="1" formatCells="0" formatColumns="0" formatRows="0"/>
  <mergeCells count="5">
    <mergeCell ref="N3:N5"/>
    <mergeCell ref="A3:A5"/>
    <mergeCell ref="B3:B5"/>
    <mergeCell ref="C3:C5"/>
    <mergeCell ref="D3:D5"/>
  </mergeCells>
  <conditionalFormatting sqref="S1:S1048576">
    <cfRule type="cellIs" dxfId="11" priority="1" operator="between">
      <formula>0.51</formula>
      <formula>0.69</formula>
    </cfRule>
    <cfRule type="cellIs" dxfId="10" priority="2" operator="lessThan">
      <formula>0.5</formula>
    </cfRule>
    <cfRule type="cellIs" dxfId="9" priority="3" operator="greaterThan">
      <formula>0.7</formula>
    </cfRule>
  </conditionalFormatting>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tint="-0.249977111117893"/>
  </sheetPr>
  <dimension ref="A1:Y12"/>
  <sheetViews>
    <sheetView zoomScale="80" zoomScaleNormal="80" workbookViewId="0">
      <selection activeCell="A13" sqref="A13:XFD1048576"/>
    </sheetView>
  </sheetViews>
  <sheetFormatPr baseColWidth="10" defaultColWidth="0" defaultRowHeight="15" zeroHeight="1" x14ac:dyDescent="0.25"/>
  <cols>
    <col min="1" max="5" width="11.42578125" customWidth="1"/>
    <col min="6" max="6" width="22.42578125" customWidth="1"/>
    <col min="7" max="8" width="13.85546875" bestFit="1" customWidth="1"/>
    <col min="9" max="11" width="11.42578125" customWidth="1"/>
    <col min="12" max="12" width="11.5703125" bestFit="1" customWidth="1"/>
    <col min="13" max="13" width="17.42578125" bestFit="1" customWidth="1"/>
    <col min="14" max="14" width="11.7109375" customWidth="1"/>
    <col min="15" max="15" width="16" customWidth="1"/>
    <col min="16" max="17" width="11.42578125" customWidth="1"/>
    <col min="18" max="18" width="14.140625" bestFit="1" customWidth="1"/>
    <col min="19" max="19" width="11.5703125" style="38" bestFit="1" customWidth="1"/>
    <col min="20" max="21" width="11.42578125" customWidth="1"/>
    <col min="22" max="22" width="13.5703125" bestFit="1" customWidth="1"/>
    <col min="23" max="24" width="11.42578125" customWidth="1"/>
    <col min="25" max="25" width="15.710937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743</v>
      </c>
      <c r="S2" s="35" t="s">
        <v>1535</v>
      </c>
      <c r="T2" s="14" t="s">
        <v>630</v>
      </c>
      <c r="U2" s="14" t="s">
        <v>631</v>
      </c>
      <c r="V2" s="14" t="s">
        <v>632</v>
      </c>
      <c r="W2" s="14" t="s">
        <v>633</v>
      </c>
      <c r="X2" s="14" t="s">
        <v>634</v>
      </c>
      <c r="Y2" s="14" t="s">
        <v>635</v>
      </c>
    </row>
    <row r="3" spans="1:25" ht="84" customHeight="1" x14ac:dyDescent="0.25">
      <c r="A3" s="423" t="s">
        <v>1744</v>
      </c>
      <c r="B3" s="423" t="s">
        <v>1745</v>
      </c>
      <c r="C3" s="423" t="s">
        <v>1746</v>
      </c>
      <c r="D3" s="391" t="s">
        <v>1747</v>
      </c>
      <c r="E3" s="277" t="s">
        <v>1757</v>
      </c>
      <c r="F3" s="277" t="s">
        <v>1748</v>
      </c>
      <c r="G3" s="28"/>
      <c r="H3" s="28"/>
      <c r="I3" s="28"/>
      <c r="J3" s="28">
        <v>25663400</v>
      </c>
      <c r="K3" s="28"/>
      <c r="L3" s="28"/>
      <c r="M3" s="28">
        <v>25663400</v>
      </c>
      <c r="N3" s="389">
        <f>SUM(M3:M11)</f>
        <v>162111828</v>
      </c>
      <c r="O3" s="30"/>
      <c r="P3" s="31"/>
      <c r="Q3" s="32"/>
      <c r="R3" s="33"/>
      <c r="S3" s="36">
        <f>R3/M3</f>
        <v>0</v>
      </c>
      <c r="T3" s="116"/>
      <c r="U3" s="116"/>
      <c r="V3" s="117"/>
      <c r="W3" s="116"/>
      <c r="X3" s="116"/>
      <c r="Y3" s="196"/>
    </row>
    <row r="4" spans="1:25" ht="120" x14ac:dyDescent="0.25">
      <c r="A4" s="424"/>
      <c r="B4" s="424"/>
      <c r="C4" s="424"/>
      <c r="D4" s="391"/>
      <c r="E4" s="277" t="s">
        <v>1757</v>
      </c>
      <c r="F4" s="277" t="s">
        <v>1749</v>
      </c>
      <c r="G4" s="28"/>
      <c r="H4" s="28"/>
      <c r="I4" s="28"/>
      <c r="J4" s="28">
        <v>3094000</v>
      </c>
      <c r="K4" s="28"/>
      <c r="L4" s="28"/>
      <c r="M4" s="28">
        <v>3094000</v>
      </c>
      <c r="N4" s="389"/>
      <c r="O4" s="30"/>
      <c r="P4" s="31"/>
      <c r="Q4" s="195"/>
      <c r="R4" s="33"/>
      <c r="S4" s="36">
        <f t="shared" ref="S4:S12" si="0">R4/M4</f>
        <v>0</v>
      </c>
      <c r="T4" s="267"/>
      <c r="U4" s="267"/>
      <c r="V4" s="267"/>
      <c r="W4" s="267"/>
      <c r="X4" s="267"/>
      <c r="Y4" s="267"/>
    </row>
    <row r="5" spans="1:25" ht="132" x14ac:dyDescent="0.25">
      <c r="A5" s="424"/>
      <c r="B5" s="424"/>
      <c r="C5" s="424"/>
      <c r="D5" s="391"/>
      <c r="E5" s="277" t="s">
        <v>1757</v>
      </c>
      <c r="F5" s="277" t="s">
        <v>1750</v>
      </c>
      <c r="G5" s="28"/>
      <c r="H5" s="28"/>
      <c r="I5" s="28"/>
      <c r="J5" s="28">
        <v>75446000</v>
      </c>
      <c r="K5" s="28"/>
      <c r="L5" s="276"/>
      <c r="M5" s="28">
        <v>75446000</v>
      </c>
      <c r="N5" s="390"/>
      <c r="O5" s="85"/>
      <c r="P5" s="62"/>
      <c r="Q5" s="321"/>
      <c r="R5" s="64"/>
      <c r="S5" s="36"/>
      <c r="T5" s="268"/>
      <c r="U5" s="268"/>
      <c r="V5" s="268"/>
      <c r="W5" s="268"/>
      <c r="X5" s="268"/>
      <c r="Y5" s="268"/>
    </row>
    <row r="6" spans="1:25" ht="120" x14ac:dyDescent="0.25">
      <c r="A6" s="424"/>
      <c r="B6" s="424"/>
      <c r="C6" s="424"/>
      <c r="D6" s="391"/>
      <c r="E6" s="277" t="s">
        <v>1757</v>
      </c>
      <c r="F6" s="277" t="s">
        <v>1751</v>
      </c>
      <c r="G6" s="28"/>
      <c r="H6" s="28"/>
      <c r="I6" s="28"/>
      <c r="J6" s="28">
        <v>8962320</v>
      </c>
      <c r="K6" s="28"/>
      <c r="L6" s="276"/>
      <c r="M6" s="28">
        <v>8962320</v>
      </c>
      <c r="N6" s="390"/>
      <c r="O6" s="85"/>
      <c r="P6" s="62"/>
      <c r="Q6" s="321"/>
      <c r="R6" s="64"/>
      <c r="S6" s="36"/>
      <c r="T6" s="268"/>
      <c r="U6" s="268"/>
      <c r="V6" s="268"/>
      <c r="W6" s="268"/>
      <c r="X6" s="268"/>
      <c r="Y6" s="268"/>
    </row>
    <row r="7" spans="1:25" ht="32.450000000000003" customHeight="1" x14ac:dyDescent="0.25">
      <c r="A7" s="424"/>
      <c r="B7" s="424"/>
      <c r="C7" s="424"/>
      <c r="D7" s="391"/>
      <c r="E7" s="277" t="s">
        <v>1757</v>
      </c>
      <c r="F7" s="277" t="s">
        <v>1752</v>
      </c>
      <c r="G7" s="28"/>
      <c r="H7" s="28"/>
      <c r="I7" s="28"/>
      <c r="J7" s="28">
        <v>4463608</v>
      </c>
      <c r="K7" s="28"/>
      <c r="L7" s="276"/>
      <c r="M7" s="28">
        <v>4463608</v>
      </c>
      <c r="N7" s="390"/>
      <c r="O7" s="85"/>
      <c r="P7" s="62"/>
      <c r="Q7" s="321"/>
      <c r="R7" s="64"/>
      <c r="S7" s="36"/>
      <c r="T7" s="268"/>
      <c r="U7" s="268"/>
      <c r="V7" s="268"/>
      <c r="W7" s="268"/>
      <c r="X7" s="268"/>
      <c r="Y7" s="268"/>
    </row>
    <row r="8" spans="1:25" ht="27.6" customHeight="1" x14ac:dyDescent="0.25">
      <c r="A8" s="424"/>
      <c r="B8" s="424"/>
      <c r="C8" s="424"/>
      <c r="D8" s="391"/>
      <c r="E8" s="277" t="s">
        <v>1757</v>
      </c>
      <c r="F8" s="277" t="s">
        <v>1753</v>
      </c>
      <c r="G8" s="28"/>
      <c r="H8" s="28"/>
      <c r="I8" s="28"/>
      <c r="J8" s="28">
        <v>11716500</v>
      </c>
      <c r="K8" s="28"/>
      <c r="L8" s="276"/>
      <c r="M8" s="28">
        <v>11716500</v>
      </c>
      <c r="N8" s="390"/>
      <c r="O8" s="85"/>
      <c r="P8" s="62"/>
      <c r="Q8" s="321"/>
      <c r="R8" s="64"/>
      <c r="S8" s="36"/>
      <c r="T8" s="268"/>
      <c r="U8" s="268"/>
      <c r="V8" s="268"/>
      <c r="W8" s="268"/>
      <c r="X8" s="268"/>
      <c r="Y8" s="268"/>
    </row>
    <row r="9" spans="1:25" ht="22.15" customHeight="1" x14ac:dyDescent="0.25">
      <c r="A9" s="424"/>
      <c r="B9" s="424"/>
      <c r="C9" s="424"/>
      <c r="D9" s="391"/>
      <c r="E9" s="277" t="s">
        <v>1757</v>
      </c>
      <c r="F9" s="277" t="s">
        <v>1754</v>
      </c>
      <c r="G9" s="28"/>
      <c r="H9" s="28"/>
      <c r="I9" s="28"/>
      <c r="J9" s="28">
        <v>20152000</v>
      </c>
      <c r="K9" s="28"/>
      <c r="L9" s="276"/>
      <c r="M9" s="28">
        <v>20152000</v>
      </c>
      <c r="N9" s="390"/>
      <c r="O9" s="85"/>
      <c r="P9" s="62"/>
      <c r="Q9" s="321"/>
      <c r="R9" s="64"/>
      <c r="S9" s="36"/>
      <c r="T9" s="268"/>
      <c r="U9" s="268"/>
      <c r="V9" s="268"/>
      <c r="W9" s="268"/>
      <c r="X9" s="268"/>
      <c r="Y9" s="268"/>
    </row>
    <row r="10" spans="1:25" ht="22.15" customHeight="1" x14ac:dyDescent="0.25">
      <c r="A10" s="424"/>
      <c r="B10" s="424"/>
      <c r="C10" s="424"/>
      <c r="D10" s="391"/>
      <c r="E10" s="277" t="s">
        <v>1757</v>
      </c>
      <c r="F10" s="277" t="s">
        <v>1755</v>
      </c>
      <c r="G10" s="28"/>
      <c r="H10" s="28"/>
      <c r="I10" s="28"/>
      <c r="J10" s="28">
        <v>952000</v>
      </c>
      <c r="K10" s="28"/>
      <c r="L10" s="276"/>
      <c r="M10" s="28">
        <v>952000</v>
      </c>
      <c r="N10" s="390"/>
      <c r="O10" s="85"/>
      <c r="P10" s="62"/>
      <c r="Q10" s="321"/>
      <c r="R10" s="64"/>
      <c r="S10" s="36"/>
      <c r="T10" s="268"/>
      <c r="U10" s="268"/>
      <c r="V10" s="268"/>
      <c r="W10" s="268"/>
      <c r="X10" s="268"/>
      <c r="Y10" s="268"/>
    </row>
    <row r="11" spans="1:25" ht="16.899999999999999" customHeight="1" thickBot="1" x14ac:dyDescent="0.3">
      <c r="A11" s="424"/>
      <c r="B11" s="424"/>
      <c r="C11" s="424"/>
      <c r="D11" s="391"/>
      <c r="E11" s="277" t="s">
        <v>1757</v>
      </c>
      <c r="F11" s="277" t="s">
        <v>1756</v>
      </c>
      <c r="G11" s="28"/>
      <c r="H11" s="28"/>
      <c r="I11" s="28"/>
      <c r="J11" s="28">
        <v>11662000</v>
      </c>
      <c r="K11" s="28"/>
      <c r="L11" s="276"/>
      <c r="M11" s="28">
        <v>11662000</v>
      </c>
      <c r="N11" s="390"/>
      <c r="O11" s="85"/>
      <c r="P11" s="62"/>
      <c r="Q11" s="321"/>
      <c r="R11" s="64"/>
      <c r="S11" s="36"/>
      <c r="T11" s="268"/>
      <c r="U11" s="268"/>
      <c r="V11" s="268"/>
      <c r="W11" s="268"/>
      <c r="X11" s="268"/>
      <c r="Y11" s="268"/>
    </row>
    <row r="12" spans="1:25" ht="19.5" thickBot="1" x14ac:dyDescent="0.35">
      <c r="L12" s="48" t="s">
        <v>637</v>
      </c>
      <c r="M12" s="49">
        <f>SUM(M3:M11)</f>
        <v>162111828</v>
      </c>
      <c r="N12" s="50"/>
      <c r="O12" s="50"/>
      <c r="P12" s="50"/>
      <c r="Q12" s="50"/>
      <c r="R12" s="51">
        <f>SUM(R3:R11)</f>
        <v>0</v>
      </c>
      <c r="S12" s="88">
        <f t="shared" si="0"/>
        <v>0</v>
      </c>
      <c r="T12" s="234"/>
      <c r="U12" s="235"/>
      <c r="V12" s="236">
        <f>SUM(V3:V11)</f>
        <v>0</v>
      </c>
      <c r="W12" s="235"/>
      <c r="X12" s="235"/>
      <c r="Y12" s="256">
        <f>SUM(Y3:Y11)</f>
        <v>0</v>
      </c>
    </row>
  </sheetData>
  <sheetProtection algorithmName="SHA-512" hashValue="Avf7Akh74Aktr7aOzg+lg3elsw//1favwd4dLQ2zJ1yKMn84MjNklafI32nL85hDg/PeCU0aeVGxVGbME0+NYg==" saltValue="wSKw1cWy+5XOA/EmWeqEZA==" spinCount="100000" sheet="1" objects="1" scenarios="1" formatCells="0" formatColumns="0" formatRows="0"/>
  <mergeCells count="5">
    <mergeCell ref="A3:A11"/>
    <mergeCell ref="B3:B11"/>
    <mergeCell ref="C3:C11"/>
    <mergeCell ref="D3:D11"/>
    <mergeCell ref="N3:N11"/>
  </mergeCells>
  <conditionalFormatting sqref="S1:S1048576">
    <cfRule type="cellIs" dxfId="8" priority="1" operator="between">
      <formula>0.51</formula>
      <formula>0.69</formula>
    </cfRule>
    <cfRule type="cellIs" dxfId="7" priority="2" operator="lessThan">
      <formula>0.5</formula>
    </cfRule>
    <cfRule type="cellIs" dxfId="6" priority="3" operator="greaterThan">
      <formula>0.7</formula>
    </cfRule>
  </conditionalFormatting>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tint="0.79998168889431442"/>
  </sheetPr>
  <dimension ref="A1:Y4"/>
  <sheetViews>
    <sheetView zoomScale="80" zoomScaleNormal="80" workbookViewId="0">
      <selection activeCell="A3" sqref="A3"/>
    </sheetView>
  </sheetViews>
  <sheetFormatPr baseColWidth="10" defaultColWidth="0" defaultRowHeight="15" zeroHeight="1" x14ac:dyDescent="0.25"/>
  <cols>
    <col min="1" max="5" width="11.42578125" customWidth="1"/>
    <col min="6" max="6" width="22.42578125" customWidth="1"/>
    <col min="7" max="8" width="13.85546875" bestFit="1" customWidth="1"/>
    <col min="9" max="9" width="11.42578125" customWidth="1"/>
    <col min="10" max="10" width="16.140625" customWidth="1"/>
    <col min="11" max="11" width="11.42578125" customWidth="1"/>
    <col min="12" max="12" width="11.5703125" bestFit="1" customWidth="1"/>
    <col min="13" max="13" width="17.42578125" bestFit="1" customWidth="1"/>
    <col min="14" max="14" width="18.7109375" customWidth="1"/>
    <col min="15" max="15" width="16" customWidth="1"/>
    <col min="16" max="17" width="11.42578125" customWidth="1"/>
    <col min="18" max="18" width="14.140625" bestFit="1" customWidth="1"/>
    <col min="19" max="19" width="11.5703125" style="38" bestFit="1" customWidth="1"/>
    <col min="20" max="21" width="11.42578125" customWidth="1"/>
    <col min="22" max="22" width="13.5703125" bestFit="1" customWidth="1"/>
    <col min="23" max="24" width="11.42578125" customWidth="1"/>
    <col min="25" max="25" width="15.710937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743</v>
      </c>
      <c r="S2" s="35" t="s">
        <v>1535</v>
      </c>
      <c r="T2" s="14" t="s">
        <v>630</v>
      </c>
      <c r="U2" s="14" t="s">
        <v>631</v>
      </c>
      <c r="V2" s="14" t="s">
        <v>632</v>
      </c>
      <c r="W2" s="14" t="s">
        <v>633</v>
      </c>
      <c r="X2" s="14" t="s">
        <v>634</v>
      </c>
      <c r="Y2" s="14" t="s">
        <v>635</v>
      </c>
    </row>
    <row r="3" spans="1:25" ht="84" customHeight="1" thickBot="1" x14ac:dyDescent="0.3">
      <c r="A3" s="275" t="s">
        <v>177</v>
      </c>
      <c r="B3" s="275"/>
      <c r="C3" s="275" t="s">
        <v>178</v>
      </c>
      <c r="D3" s="275" t="s">
        <v>1758</v>
      </c>
      <c r="E3" s="277" t="s">
        <v>1757</v>
      </c>
      <c r="F3" s="277" t="s">
        <v>1748</v>
      </c>
      <c r="G3" s="28"/>
      <c r="H3" s="28"/>
      <c r="I3" s="28"/>
      <c r="J3" s="28">
        <v>144002187</v>
      </c>
      <c r="K3" s="28">
        <v>25026020</v>
      </c>
      <c r="L3" s="28"/>
      <c r="M3" s="28">
        <v>169028207</v>
      </c>
      <c r="N3" s="274">
        <v>169028207</v>
      </c>
      <c r="O3" s="30"/>
      <c r="P3" s="31"/>
      <c r="Q3" s="32"/>
      <c r="R3" s="33"/>
      <c r="S3" s="36">
        <f>R3/M3</f>
        <v>0</v>
      </c>
      <c r="T3" s="116"/>
      <c r="U3" s="116"/>
      <c r="V3" s="117"/>
      <c r="W3" s="116"/>
      <c r="X3" s="116"/>
      <c r="Y3" s="196"/>
    </row>
    <row r="4" spans="1:25" ht="19.5" thickBot="1" x14ac:dyDescent="0.35">
      <c r="L4" s="48" t="s">
        <v>637</v>
      </c>
      <c r="M4" s="49">
        <f>SUM(M3:M3)</f>
        <v>169028207</v>
      </c>
      <c r="N4" s="50"/>
      <c r="O4" s="50"/>
      <c r="P4" s="50"/>
      <c r="Q4" s="50"/>
      <c r="R4" s="51">
        <f>SUM(R3:R3)</f>
        <v>0</v>
      </c>
      <c r="S4" s="88">
        <f t="shared" ref="S4" si="0">R4/M4</f>
        <v>0</v>
      </c>
      <c r="T4" s="234"/>
      <c r="U4" s="235"/>
      <c r="V4" s="236">
        <f>SUM(V3:V3)</f>
        <v>0</v>
      </c>
      <c r="W4" s="235"/>
      <c r="X4" s="235"/>
      <c r="Y4" s="256">
        <f>SUM(Y3:Y3)</f>
        <v>0</v>
      </c>
    </row>
  </sheetData>
  <conditionalFormatting sqref="S1:S1048576">
    <cfRule type="cellIs" dxfId="5" priority="1" operator="between">
      <formula>0.51</formula>
      <formula>0.69</formula>
    </cfRule>
    <cfRule type="cellIs" dxfId="4" priority="2" operator="lessThan">
      <formula>0.5</formula>
    </cfRule>
    <cfRule type="cellIs" dxfId="3" priority="3" operator="greaterThan">
      <formula>0.7</formula>
    </cfRule>
  </conditionalFormatting>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79998168889431442"/>
  </sheetPr>
  <dimension ref="A1:Y4"/>
  <sheetViews>
    <sheetView zoomScale="80" zoomScaleNormal="80" workbookViewId="0">
      <selection activeCell="A3" sqref="A3"/>
    </sheetView>
  </sheetViews>
  <sheetFormatPr baseColWidth="10" defaultColWidth="0" defaultRowHeight="15" zeroHeight="1" x14ac:dyDescent="0.25"/>
  <cols>
    <col min="1" max="5" width="11.42578125" customWidth="1"/>
    <col min="6" max="6" width="22.42578125" customWidth="1"/>
    <col min="7" max="8" width="13.85546875" bestFit="1" customWidth="1"/>
    <col min="9" max="11" width="11.42578125" customWidth="1"/>
    <col min="12" max="12" width="11.5703125" bestFit="1" customWidth="1"/>
    <col min="13" max="13" width="17.42578125" bestFit="1" customWidth="1"/>
    <col min="14" max="14" width="18.7109375" customWidth="1"/>
    <col min="15" max="15" width="16" customWidth="1"/>
    <col min="16" max="17" width="11.42578125" customWidth="1"/>
    <col min="18" max="18" width="14.140625" bestFit="1" customWidth="1"/>
    <col min="19" max="19" width="11.5703125" style="38" bestFit="1" customWidth="1"/>
    <col min="20" max="21" width="11.42578125" customWidth="1"/>
    <col min="22" max="22" width="13.5703125" bestFit="1" customWidth="1"/>
    <col min="23" max="24" width="11.42578125" customWidth="1"/>
    <col min="25" max="25" width="15.7109375" bestFit="1" customWidth="1"/>
    <col min="26" max="16384" width="11.42578125" hidden="1"/>
  </cols>
  <sheetData>
    <row r="1" spans="1:25" x14ac:dyDescent="0.25"/>
    <row r="2" spans="1:25" ht="89.25" x14ac:dyDescent="0.25">
      <c r="A2" s="29" t="s">
        <v>0</v>
      </c>
      <c r="B2" s="29" t="s">
        <v>1</v>
      </c>
      <c r="C2" s="29" t="s">
        <v>2</v>
      </c>
      <c r="D2" s="29" t="s">
        <v>3</v>
      </c>
      <c r="E2" s="29" t="s">
        <v>4</v>
      </c>
      <c r="F2" s="29" t="s">
        <v>5</v>
      </c>
      <c r="G2" s="29" t="s">
        <v>6</v>
      </c>
      <c r="H2" s="29" t="s">
        <v>7</v>
      </c>
      <c r="I2" s="29" t="s">
        <v>8</v>
      </c>
      <c r="J2" s="29" t="s">
        <v>9</v>
      </c>
      <c r="K2" s="29" t="s">
        <v>10</v>
      </c>
      <c r="L2" s="29" t="s">
        <v>11</v>
      </c>
      <c r="M2" s="29" t="s">
        <v>12</v>
      </c>
      <c r="N2" s="29" t="s">
        <v>13</v>
      </c>
      <c r="O2" s="14" t="s">
        <v>636</v>
      </c>
      <c r="P2" s="14" t="s">
        <v>628</v>
      </c>
      <c r="Q2" s="14" t="s">
        <v>629</v>
      </c>
      <c r="R2" s="14" t="s">
        <v>743</v>
      </c>
      <c r="S2" s="35" t="s">
        <v>1535</v>
      </c>
      <c r="T2" s="14" t="s">
        <v>630</v>
      </c>
      <c r="U2" s="14" t="s">
        <v>631</v>
      </c>
      <c r="V2" s="14" t="s">
        <v>632</v>
      </c>
      <c r="W2" s="14" t="s">
        <v>633</v>
      </c>
      <c r="X2" s="14" t="s">
        <v>634</v>
      </c>
      <c r="Y2" s="14" t="s">
        <v>635</v>
      </c>
    </row>
    <row r="3" spans="1:25" ht="176.45" customHeight="1" thickBot="1" x14ac:dyDescent="0.3">
      <c r="A3" s="275" t="s">
        <v>235</v>
      </c>
      <c r="B3" s="275" t="s">
        <v>236</v>
      </c>
      <c r="C3" s="275" t="s">
        <v>237</v>
      </c>
      <c r="D3" s="275" t="s">
        <v>1759</v>
      </c>
      <c r="E3" s="277" t="s">
        <v>239</v>
      </c>
      <c r="F3" s="277" t="s">
        <v>240</v>
      </c>
      <c r="G3" s="28"/>
      <c r="H3" s="28"/>
      <c r="I3" s="28"/>
      <c r="J3" s="28"/>
      <c r="K3" s="28"/>
      <c r="L3" s="28">
        <v>188647915</v>
      </c>
      <c r="M3" s="28">
        <v>188647915</v>
      </c>
      <c r="N3" s="274">
        <v>188647915</v>
      </c>
      <c r="O3" s="30"/>
      <c r="P3" s="31"/>
      <c r="Q3" s="32"/>
      <c r="R3" s="33"/>
      <c r="S3" s="36">
        <f>R3/M3</f>
        <v>0</v>
      </c>
      <c r="T3" s="116"/>
      <c r="U3" s="116"/>
      <c r="V3" s="117"/>
      <c r="W3" s="116"/>
      <c r="X3" s="116"/>
      <c r="Y3" s="196"/>
    </row>
    <row r="4" spans="1:25" ht="19.5" thickBot="1" x14ac:dyDescent="0.35">
      <c r="L4" s="48" t="s">
        <v>637</v>
      </c>
      <c r="M4" s="49">
        <f>SUM(M3:M3)</f>
        <v>188647915</v>
      </c>
      <c r="N4" s="50"/>
      <c r="O4" s="50"/>
      <c r="P4" s="50"/>
      <c r="Q4" s="50"/>
      <c r="R4" s="51">
        <f>SUM(R3:R3)</f>
        <v>0</v>
      </c>
      <c r="S4" s="88">
        <f t="shared" ref="S4" si="0">R4/M4</f>
        <v>0</v>
      </c>
      <c r="T4" s="234"/>
      <c r="U4" s="235"/>
      <c r="V4" s="236">
        <f>SUM(V3:V3)</f>
        <v>0</v>
      </c>
      <c r="W4" s="235"/>
      <c r="X4" s="235"/>
      <c r="Y4" s="256">
        <f>SUM(Y3:Y3)</f>
        <v>0</v>
      </c>
    </row>
  </sheetData>
  <conditionalFormatting sqref="S1:S1048576">
    <cfRule type="cellIs" dxfId="2" priority="1" operator="between">
      <formula>0.51</formula>
      <formula>0.69</formula>
    </cfRule>
    <cfRule type="cellIs" dxfId="1" priority="2" operator="lessThan">
      <formula>0.5</formula>
    </cfRule>
    <cfRule type="cellIs" dxfId="0" priority="3" operator="greaterThan">
      <formula>0.7</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Y44"/>
  <sheetViews>
    <sheetView zoomScale="60" zoomScaleNormal="60" workbookViewId="0">
      <pane ySplit="1" topLeftCell="A2" activePane="bottomLeft" state="frozen"/>
      <selection pane="bottomLeft" activeCell="O3" sqref="O3"/>
    </sheetView>
  </sheetViews>
  <sheetFormatPr baseColWidth="10" defaultRowHeight="15" zeroHeight="1" x14ac:dyDescent="0.25"/>
  <cols>
    <col min="3" max="3" width="29.140625" customWidth="1"/>
    <col min="6" max="6" width="24.85546875" customWidth="1"/>
    <col min="7" max="7" width="15.42578125" bestFit="1" customWidth="1"/>
    <col min="10" max="10" width="17.140625" bestFit="1" customWidth="1"/>
    <col min="11" max="11" width="15.42578125" bestFit="1" customWidth="1"/>
    <col min="12" max="12" width="14.140625" bestFit="1" customWidth="1"/>
    <col min="13" max="13" width="23.140625" bestFit="1" customWidth="1"/>
    <col min="14" max="14" width="17.42578125" bestFit="1" customWidth="1"/>
    <col min="15" max="15" width="17.42578125" customWidth="1"/>
    <col min="18" max="18" width="20.5703125" bestFit="1" customWidth="1"/>
    <col min="19" max="19" width="18.140625" style="38" customWidth="1"/>
    <col min="20" max="20" width="18.140625" customWidth="1"/>
    <col min="22" max="22" width="21.85546875" bestFit="1" customWidth="1"/>
    <col min="25" max="25" width="18.7109375" customWidth="1"/>
  </cols>
  <sheetData>
    <row r="1" spans="1:25" ht="89.25" x14ac:dyDescent="0.25">
      <c r="A1" s="107" t="s">
        <v>0</v>
      </c>
      <c r="B1" s="107" t="s">
        <v>1</v>
      </c>
      <c r="C1" s="107" t="s">
        <v>2</v>
      </c>
      <c r="D1" s="107" t="s">
        <v>3</v>
      </c>
      <c r="E1" s="107" t="s">
        <v>4</v>
      </c>
      <c r="F1" s="107" t="s">
        <v>5</v>
      </c>
      <c r="G1" s="107" t="s">
        <v>6</v>
      </c>
      <c r="H1" s="107" t="s">
        <v>7</v>
      </c>
      <c r="I1" s="107" t="s">
        <v>8</v>
      </c>
      <c r="J1" s="107" t="s">
        <v>9</v>
      </c>
      <c r="K1" s="107" t="s">
        <v>10</v>
      </c>
      <c r="L1" s="107" t="s">
        <v>11</v>
      </c>
      <c r="M1" s="107" t="s">
        <v>12</v>
      </c>
      <c r="N1" s="107" t="s">
        <v>13</v>
      </c>
      <c r="O1" s="107" t="s">
        <v>636</v>
      </c>
      <c r="P1" s="107" t="s">
        <v>628</v>
      </c>
      <c r="Q1" s="107" t="s">
        <v>629</v>
      </c>
      <c r="R1" s="130" t="s">
        <v>722</v>
      </c>
      <c r="S1" s="131" t="s">
        <v>1535</v>
      </c>
      <c r="T1" s="107" t="s">
        <v>630</v>
      </c>
      <c r="U1" s="107" t="s">
        <v>631</v>
      </c>
      <c r="V1" s="107" t="s">
        <v>632</v>
      </c>
      <c r="W1" s="107" t="s">
        <v>633</v>
      </c>
      <c r="X1" s="107" t="s">
        <v>634</v>
      </c>
      <c r="Y1" s="107" t="s">
        <v>635</v>
      </c>
    </row>
    <row r="2" spans="1:25" ht="167.25" customHeight="1" x14ac:dyDescent="0.25">
      <c r="A2" s="348" t="s">
        <v>293</v>
      </c>
      <c r="B2" s="348" t="s">
        <v>294</v>
      </c>
      <c r="C2" s="348" t="s">
        <v>295</v>
      </c>
      <c r="D2" s="348" t="s">
        <v>296</v>
      </c>
      <c r="E2" s="348" t="s">
        <v>297</v>
      </c>
      <c r="F2" s="348" t="s">
        <v>298</v>
      </c>
      <c r="G2" s="348">
        <v>500000000</v>
      </c>
      <c r="H2" s="348"/>
      <c r="I2" s="348"/>
      <c r="J2" s="348">
        <v>133139969</v>
      </c>
      <c r="K2" s="348">
        <v>201306887</v>
      </c>
      <c r="L2" s="348">
        <v>31441319</v>
      </c>
      <c r="M2" s="348">
        <f t="shared" ref="M2:M43" si="0">SUM(G2:L2)</f>
        <v>865888175</v>
      </c>
      <c r="N2" s="328">
        <f>+M2</f>
        <v>865888175</v>
      </c>
      <c r="O2" s="123" t="s">
        <v>894</v>
      </c>
      <c r="P2" s="123" t="s">
        <v>561</v>
      </c>
      <c r="Q2" s="123" t="s">
        <v>895</v>
      </c>
      <c r="R2" s="113">
        <v>13148000</v>
      </c>
      <c r="S2" s="333">
        <f>R11/M2</f>
        <v>0.3230379869779374</v>
      </c>
      <c r="T2" s="114">
        <v>383</v>
      </c>
      <c r="U2" s="114" t="s">
        <v>1572</v>
      </c>
      <c r="V2" s="115">
        <v>13148000</v>
      </c>
      <c r="W2" s="114">
        <v>2178</v>
      </c>
      <c r="X2" s="114" t="s">
        <v>1573</v>
      </c>
      <c r="Y2" s="115">
        <v>13148000</v>
      </c>
    </row>
    <row r="3" spans="1:25" ht="167.25" customHeight="1" x14ac:dyDescent="0.25">
      <c r="A3" s="349"/>
      <c r="B3" s="349"/>
      <c r="C3" s="349"/>
      <c r="D3" s="349"/>
      <c r="E3" s="349"/>
      <c r="F3" s="349"/>
      <c r="G3" s="349"/>
      <c r="H3" s="349"/>
      <c r="I3" s="349"/>
      <c r="J3" s="349"/>
      <c r="K3" s="349"/>
      <c r="L3" s="349"/>
      <c r="M3" s="349"/>
      <c r="N3" s="328"/>
      <c r="O3" s="123" t="s">
        <v>896</v>
      </c>
      <c r="P3" s="123" t="s">
        <v>245</v>
      </c>
      <c r="Q3" s="123" t="s">
        <v>897</v>
      </c>
      <c r="R3" s="113">
        <v>4969440</v>
      </c>
      <c r="S3" s="334"/>
      <c r="T3" s="122">
        <v>425</v>
      </c>
      <c r="U3" s="114" t="s">
        <v>1574</v>
      </c>
      <c r="V3" s="115">
        <v>4969440</v>
      </c>
      <c r="W3" s="114">
        <v>3103</v>
      </c>
      <c r="X3" s="114" t="s">
        <v>1575</v>
      </c>
      <c r="Y3" s="115">
        <v>4969440</v>
      </c>
    </row>
    <row r="4" spans="1:25" ht="254.25" customHeight="1" x14ac:dyDescent="0.25">
      <c r="A4" s="349"/>
      <c r="B4" s="349"/>
      <c r="C4" s="349"/>
      <c r="D4" s="349"/>
      <c r="E4" s="349"/>
      <c r="F4" s="349"/>
      <c r="G4" s="349"/>
      <c r="H4" s="349"/>
      <c r="I4" s="349"/>
      <c r="J4" s="349"/>
      <c r="K4" s="349"/>
      <c r="L4" s="349"/>
      <c r="M4" s="349"/>
      <c r="N4" s="328"/>
      <c r="O4" s="123" t="s">
        <v>898</v>
      </c>
      <c r="P4" s="123" t="s">
        <v>563</v>
      </c>
      <c r="Q4" s="123" t="s">
        <v>899</v>
      </c>
      <c r="R4" s="113">
        <v>57954071</v>
      </c>
      <c r="S4" s="334"/>
      <c r="T4" s="122">
        <v>442</v>
      </c>
      <c r="U4" s="114" t="s">
        <v>1564</v>
      </c>
      <c r="V4" s="115">
        <v>57954071</v>
      </c>
      <c r="W4" s="114">
        <v>2459</v>
      </c>
      <c r="X4" s="114" t="s">
        <v>1567</v>
      </c>
      <c r="Y4" s="115">
        <v>54647775</v>
      </c>
    </row>
    <row r="5" spans="1:25" ht="167.25" customHeight="1" x14ac:dyDescent="0.25">
      <c r="A5" s="349"/>
      <c r="B5" s="349"/>
      <c r="C5" s="349"/>
      <c r="D5" s="349"/>
      <c r="E5" s="349"/>
      <c r="F5" s="349"/>
      <c r="G5" s="349"/>
      <c r="H5" s="349"/>
      <c r="I5" s="349"/>
      <c r="J5" s="349"/>
      <c r="K5" s="349"/>
      <c r="L5" s="349"/>
      <c r="M5" s="349"/>
      <c r="N5" s="328"/>
      <c r="O5" s="123" t="s">
        <v>900</v>
      </c>
      <c r="P5" s="123" t="s">
        <v>901</v>
      </c>
      <c r="Q5" s="123" t="s">
        <v>902</v>
      </c>
      <c r="R5" s="113">
        <v>68000000</v>
      </c>
      <c r="S5" s="334"/>
      <c r="T5" s="99">
        <v>538</v>
      </c>
      <c r="U5" s="99" t="s">
        <v>1576</v>
      </c>
      <c r="V5" s="113">
        <v>68000000</v>
      </c>
      <c r="W5" s="101" t="s">
        <v>1577</v>
      </c>
      <c r="X5" s="101" t="s">
        <v>1577</v>
      </c>
      <c r="Y5" s="101" t="s">
        <v>1577</v>
      </c>
    </row>
    <row r="6" spans="1:25" ht="167.25" customHeight="1" x14ac:dyDescent="0.25">
      <c r="A6" s="349"/>
      <c r="B6" s="349"/>
      <c r="C6" s="349"/>
      <c r="D6" s="349"/>
      <c r="E6" s="349"/>
      <c r="F6" s="349"/>
      <c r="G6" s="349"/>
      <c r="H6" s="349"/>
      <c r="I6" s="349"/>
      <c r="J6" s="349"/>
      <c r="K6" s="349"/>
      <c r="L6" s="349"/>
      <c r="M6" s="349"/>
      <c r="N6" s="328"/>
      <c r="O6" s="123" t="s">
        <v>903</v>
      </c>
      <c r="P6" s="123" t="s">
        <v>904</v>
      </c>
      <c r="Q6" s="123" t="s">
        <v>905</v>
      </c>
      <c r="R6" s="113">
        <v>15000000</v>
      </c>
      <c r="S6" s="334"/>
      <c r="T6" s="99">
        <v>545</v>
      </c>
      <c r="U6" s="99" t="s">
        <v>1578</v>
      </c>
      <c r="V6" s="100">
        <v>15000000</v>
      </c>
      <c r="W6" s="101">
        <v>3102</v>
      </c>
      <c r="X6" s="101" t="s">
        <v>1575</v>
      </c>
      <c r="Y6" s="102">
        <v>14178219</v>
      </c>
    </row>
    <row r="7" spans="1:25" ht="167.25" customHeight="1" x14ac:dyDescent="0.25">
      <c r="A7" s="349"/>
      <c r="B7" s="349"/>
      <c r="C7" s="349"/>
      <c r="D7" s="349"/>
      <c r="E7" s="349"/>
      <c r="F7" s="349"/>
      <c r="G7" s="349"/>
      <c r="H7" s="349"/>
      <c r="I7" s="349"/>
      <c r="J7" s="349"/>
      <c r="K7" s="349"/>
      <c r="L7" s="349"/>
      <c r="M7" s="349"/>
      <c r="N7" s="328"/>
      <c r="O7" s="123" t="s">
        <v>906</v>
      </c>
      <c r="P7" s="123" t="s">
        <v>907</v>
      </c>
      <c r="Q7" s="123" t="s">
        <v>908</v>
      </c>
      <c r="R7" s="113">
        <v>10000000</v>
      </c>
      <c r="S7" s="334"/>
      <c r="T7" s="99">
        <v>608</v>
      </c>
      <c r="U7" s="99" t="s">
        <v>1579</v>
      </c>
      <c r="V7" s="100">
        <v>10000000</v>
      </c>
      <c r="W7" s="101">
        <v>3101</v>
      </c>
      <c r="X7" s="101" t="s">
        <v>1575</v>
      </c>
      <c r="Y7" s="102">
        <v>9847845</v>
      </c>
    </row>
    <row r="8" spans="1:25" ht="167.25" customHeight="1" x14ac:dyDescent="0.25">
      <c r="A8" s="349"/>
      <c r="B8" s="349"/>
      <c r="C8" s="349"/>
      <c r="D8" s="349"/>
      <c r="E8" s="349"/>
      <c r="F8" s="349"/>
      <c r="G8" s="349"/>
      <c r="H8" s="349"/>
      <c r="I8" s="349"/>
      <c r="J8" s="349"/>
      <c r="K8" s="349"/>
      <c r="L8" s="349"/>
      <c r="M8" s="349"/>
      <c r="N8" s="328"/>
      <c r="O8" s="123" t="s">
        <v>909</v>
      </c>
      <c r="P8" s="123" t="s">
        <v>910</v>
      </c>
      <c r="Q8" s="123" t="s">
        <v>911</v>
      </c>
      <c r="R8" s="113">
        <v>37731151</v>
      </c>
      <c r="S8" s="334"/>
      <c r="T8" s="99">
        <v>915</v>
      </c>
      <c r="U8" s="99" t="s">
        <v>1575</v>
      </c>
      <c r="V8" s="100">
        <v>37730685</v>
      </c>
      <c r="W8" s="101" t="s">
        <v>1580</v>
      </c>
      <c r="X8" s="101" t="s">
        <v>1580</v>
      </c>
      <c r="Y8" s="101" t="s">
        <v>1580</v>
      </c>
    </row>
    <row r="9" spans="1:25" ht="167.25" customHeight="1" x14ac:dyDescent="0.25">
      <c r="A9" s="349"/>
      <c r="B9" s="349"/>
      <c r="C9" s="349"/>
      <c r="D9" s="349"/>
      <c r="E9" s="349"/>
      <c r="F9" s="349"/>
      <c r="G9" s="349"/>
      <c r="H9" s="349"/>
      <c r="I9" s="349"/>
      <c r="J9" s="349"/>
      <c r="K9" s="349"/>
      <c r="L9" s="349"/>
      <c r="M9" s="349"/>
      <c r="N9" s="328"/>
      <c r="O9" s="123" t="s">
        <v>912</v>
      </c>
      <c r="P9" s="123">
        <v>392</v>
      </c>
      <c r="Q9" s="159">
        <v>44393.599885416668</v>
      </c>
      <c r="R9" s="113">
        <v>53550000</v>
      </c>
      <c r="S9" s="334"/>
      <c r="T9" s="101" t="s">
        <v>1580</v>
      </c>
      <c r="U9" s="101" t="s">
        <v>1580</v>
      </c>
      <c r="V9" s="101" t="s">
        <v>1580</v>
      </c>
      <c r="W9" s="101" t="s">
        <v>1580</v>
      </c>
      <c r="X9" s="101" t="s">
        <v>1580</v>
      </c>
      <c r="Y9" s="101" t="s">
        <v>1580</v>
      </c>
    </row>
    <row r="10" spans="1:25" ht="167.25" customHeight="1" x14ac:dyDescent="0.25">
      <c r="A10" s="349"/>
      <c r="B10" s="349"/>
      <c r="C10" s="349"/>
      <c r="D10" s="349"/>
      <c r="E10" s="349"/>
      <c r="F10" s="349"/>
      <c r="G10" s="349"/>
      <c r="H10" s="349"/>
      <c r="I10" s="349"/>
      <c r="J10" s="349"/>
      <c r="K10" s="349"/>
      <c r="L10" s="349"/>
      <c r="M10" s="349"/>
      <c r="N10" s="328"/>
      <c r="O10" s="123" t="s">
        <v>913</v>
      </c>
      <c r="P10" s="123" t="s">
        <v>914</v>
      </c>
      <c r="Q10" s="123" t="s">
        <v>915</v>
      </c>
      <c r="R10" s="113">
        <v>19362111</v>
      </c>
      <c r="S10" s="334"/>
      <c r="T10" s="99">
        <v>916</v>
      </c>
      <c r="U10" s="99" t="s">
        <v>1575</v>
      </c>
      <c r="V10" s="100">
        <v>11138400</v>
      </c>
      <c r="W10" s="101" t="s">
        <v>1580</v>
      </c>
      <c r="X10" s="101" t="s">
        <v>1580</v>
      </c>
      <c r="Y10" s="101" t="s">
        <v>1580</v>
      </c>
    </row>
    <row r="11" spans="1:25" ht="32.450000000000003" customHeight="1" x14ac:dyDescent="0.25">
      <c r="A11" s="350"/>
      <c r="B11" s="350"/>
      <c r="C11" s="350"/>
      <c r="D11" s="350"/>
      <c r="E11" s="350"/>
      <c r="F11" s="350"/>
      <c r="G11" s="350"/>
      <c r="H11" s="350"/>
      <c r="I11" s="350"/>
      <c r="J11" s="350"/>
      <c r="K11" s="350"/>
      <c r="L11" s="350"/>
      <c r="M11" s="350"/>
      <c r="N11" s="328"/>
      <c r="O11" s="138" t="s">
        <v>637</v>
      </c>
      <c r="P11" s="139"/>
      <c r="Q11" s="139"/>
      <c r="R11" s="140">
        <f>SUM(R2:R10)</f>
        <v>279714773</v>
      </c>
      <c r="S11" s="335"/>
      <c r="T11" s="140"/>
      <c r="U11" s="139"/>
      <c r="V11" s="141"/>
      <c r="W11" s="139"/>
      <c r="X11" s="139"/>
      <c r="Y11" s="141"/>
    </row>
    <row r="12" spans="1:25" ht="79.5" customHeight="1" x14ac:dyDescent="0.25">
      <c r="A12" s="345" t="s">
        <v>299</v>
      </c>
      <c r="B12" s="345" t="s">
        <v>300</v>
      </c>
      <c r="C12" s="345" t="s">
        <v>301</v>
      </c>
      <c r="D12" s="330" t="s">
        <v>296</v>
      </c>
      <c r="E12" s="330" t="s">
        <v>302</v>
      </c>
      <c r="F12" s="330" t="s">
        <v>303</v>
      </c>
      <c r="G12" s="330">
        <v>53017153</v>
      </c>
      <c r="H12" s="330"/>
      <c r="I12" s="330"/>
      <c r="J12" s="330"/>
      <c r="K12" s="330"/>
      <c r="L12" s="330">
        <v>0</v>
      </c>
      <c r="M12" s="330">
        <f t="shared" si="0"/>
        <v>53017153</v>
      </c>
      <c r="N12" s="330">
        <f>+M12</f>
        <v>53017153</v>
      </c>
      <c r="O12" s="123" t="s">
        <v>1415</v>
      </c>
      <c r="P12" s="123" t="s">
        <v>1416</v>
      </c>
      <c r="Q12" s="123" t="s">
        <v>1417</v>
      </c>
      <c r="R12" s="113">
        <v>16541000</v>
      </c>
      <c r="S12" s="336">
        <f>R16/M12</f>
        <v>0.98290830516682026</v>
      </c>
      <c r="T12" s="99">
        <v>551</v>
      </c>
      <c r="U12" s="99" t="s">
        <v>1578</v>
      </c>
      <c r="V12" s="100">
        <v>16541000</v>
      </c>
      <c r="W12" s="101">
        <v>2335</v>
      </c>
      <c r="X12" s="101" t="s">
        <v>1581</v>
      </c>
      <c r="Y12" s="102">
        <v>16266000</v>
      </c>
    </row>
    <row r="13" spans="1:25" ht="39" customHeight="1" x14ac:dyDescent="0.25">
      <c r="A13" s="346"/>
      <c r="B13" s="346"/>
      <c r="C13" s="346"/>
      <c r="D13" s="331"/>
      <c r="E13" s="331"/>
      <c r="F13" s="331"/>
      <c r="G13" s="331"/>
      <c r="H13" s="331"/>
      <c r="I13" s="331"/>
      <c r="J13" s="331"/>
      <c r="K13" s="331"/>
      <c r="L13" s="331"/>
      <c r="M13" s="331"/>
      <c r="N13" s="331"/>
      <c r="O13" s="123" t="s">
        <v>1418</v>
      </c>
      <c r="P13" s="123" t="s">
        <v>1419</v>
      </c>
      <c r="Q13" s="123" t="s">
        <v>1420</v>
      </c>
      <c r="R13" s="113">
        <v>13470000</v>
      </c>
      <c r="S13" s="337"/>
      <c r="T13" s="99">
        <v>546</v>
      </c>
      <c r="U13" s="99" t="s">
        <v>1578</v>
      </c>
      <c r="V13" s="100">
        <v>13470000</v>
      </c>
      <c r="W13" s="101" t="s">
        <v>1577</v>
      </c>
      <c r="X13" s="101" t="s">
        <v>1577</v>
      </c>
      <c r="Y13" s="101" t="s">
        <v>1577</v>
      </c>
    </row>
    <row r="14" spans="1:25" ht="39" customHeight="1" x14ac:dyDescent="0.25">
      <c r="A14" s="346"/>
      <c r="B14" s="346"/>
      <c r="C14" s="346"/>
      <c r="D14" s="331"/>
      <c r="E14" s="331"/>
      <c r="F14" s="331"/>
      <c r="G14" s="331"/>
      <c r="H14" s="331"/>
      <c r="I14" s="331"/>
      <c r="J14" s="331"/>
      <c r="K14" s="331"/>
      <c r="L14" s="331"/>
      <c r="M14" s="331"/>
      <c r="N14" s="331"/>
      <c r="O14" s="123" t="s">
        <v>1421</v>
      </c>
      <c r="P14" s="123" t="s">
        <v>1422</v>
      </c>
      <c r="Q14" s="123" t="s">
        <v>1423</v>
      </c>
      <c r="R14" s="113">
        <v>22100000</v>
      </c>
      <c r="S14" s="337"/>
      <c r="T14" s="99">
        <v>552</v>
      </c>
      <c r="U14" s="99" t="s">
        <v>1578</v>
      </c>
      <c r="V14" s="100">
        <v>22100000</v>
      </c>
      <c r="W14" s="101">
        <v>2314</v>
      </c>
      <c r="X14" s="101" t="s">
        <v>1582</v>
      </c>
      <c r="Y14" s="102">
        <v>22100000</v>
      </c>
    </row>
    <row r="15" spans="1:25" ht="40.5" customHeight="1" x14ac:dyDescent="0.25">
      <c r="A15" s="346"/>
      <c r="B15" s="346"/>
      <c r="C15" s="346"/>
      <c r="D15" s="331"/>
      <c r="E15" s="331"/>
      <c r="F15" s="331"/>
      <c r="G15" s="331"/>
      <c r="H15" s="331"/>
      <c r="I15" s="331"/>
      <c r="J15" s="331"/>
      <c r="K15" s="331"/>
      <c r="L15" s="331"/>
      <c r="M15" s="331"/>
      <c r="N15" s="331"/>
      <c r="O15" s="123"/>
      <c r="P15" s="123"/>
      <c r="Q15" s="123"/>
      <c r="R15" s="113"/>
      <c r="S15" s="337"/>
      <c r="T15" s="113"/>
      <c r="U15" s="114"/>
      <c r="V15" s="142"/>
      <c r="W15" s="114"/>
      <c r="X15" s="114"/>
      <c r="Y15" s="114"/>
    </row>
    <row r="16" spans="1:25" x14ac:dyDescent="0.25">
      <c r="A16" s="347"/>
      <c r="B16" s="347"/>
      <c r="C16" s="347"/>
      <c r="D16" s="332"/>
      <c r="E16" s="332"/>
      <c r="F16" s="332"/>
      <c r="G16" s="332"/>
      <c r="H16" s="332"/>
      <c r="I16" s="332"/>
      <c r="J16" s="332"/>
      <c r="K16" s="332"/>
      <c r="L16" s="332"/>
      <c r="M16" s="332"/>
      <c r="N16" s="332"/>
      <c r="O16" s="143" t="s">
        <v>637</v>
      </c>
      <c r="P16" s="144"/>
      <c r="Q16" s="144"/>
      <c r="R16" s="145">
        <f>SUM(R12:R15)</f>
        <v>52111000</v>
      </c>
      <c r="S16" s="338"/>
      <c r="T16" s="145"/>
      <c r="U16" s="139"/>
      <c r="V16" s="146"/>
      <c r="W16" s="139"/>
      <c r="X16" s="139"/>
      <c r="Y16" s="139"/>
    </row>
    <row r="17" spans="1:25" ht="189" x14ac:dyDescent="0.25">
      <c r="A17" s="345" t="s">
        <v>304</v>
      </c>
      <c r="B17" s="345" t="s">
        <v>305</v>
      </c>
      <c r="C17" s="345" t="s">
        <v>306</v>
      </c>
      <c r="D17" s="330" t="s">
        <v>296</v>
      </c>
      <c r="E17" s="330" t="s">
        <v>307</v>
      </c>
      <c r="F17" s="330" t="s">
        <v>308</v>
      </c>
      <c r="G17" s="330">
        <v>439533964</v>
      </c>
      <c r="H17" s="330"/>
      <c r="I17" s="330"/>
      <c r="J17" s="330"/>
      <c r="K17" s="330"/>
      <c r="L17" s="330">
        <v>0</v>
      </c>
      <c r="M17" s="330">
        <f t="shared" si="0"/>
        <v>439533964</v>
      </c>
      <c r="N17" s="330">
        <f>+M17</f>
        <v>439533964</v>
      </c>
      <c r="O17" s="123" t="s">
        <v>1424</v>
      </c>
      <c r="P17" s="123" t="s">
        <v>1425</v>
      </c>
      <c r="Q17" s="123" t="s">
        <v>1426</v>
      </c>
      <c r="R17" s="113">
        <v>83750000</v>
      </c>
      <c r="S17" s="339">
        <f>R22/M17</f>
        <v>0.99982039840725478</v>
      </c>
      <c r="T17" s="99">
        <v>562</v>
      </c>
      <c r="U17" s="99" t="s">
        <v>1583</v>
      </c>
      <c r="V17" s="100">
        <v>83750000</v>
      </c>
      <c r="W17" s="101">
        <v>2557</v>
      </c>
      <c r="X17" s="101" t="s">
        <v>1584</v>
      </c>
      <c r="Y17" s="102">
        <v>83750000</v>
      </c>
    </row>
    <row r="18" spans="1:25" ht="162" x14ac:dyDescent="0.25">
      <c r="A18" s="346"/>
      <c r="B18" s="346"/>
      <c r="C18" s="346"/>
      <c r="D18" s="331"/>
      <c r="E18" s="331"/>
      <c r="F18" s="331"/>
      <c r="G18" s="331"/>
      <c r="H18" s="331"/>
      <c r="I18" s="331"/>
      <c r="J18" s="331"/>
      <c r="K18" s="331"/>
      <c r="L18" s="331"/>
      <c r="M18" s="331"/>
      <c r="N18" s="331"/>
      <c r="O18" s="123" t="s">
        <v>1427</v>
      </c>
      <c r="P18" s="123" t="s">
        <v>1428</v>
      </c>
      <c r="Q18" s="123" t="s">
        <v>1429</v>
      </c>
      <c r="R18" s="113">
        <v>26680000</v>
      </c>
      <c r="S18" s="340"/>
      <c r="T18" s="99">
        <v>561</v>
      </c>
      <c r="U18" s="99" t="s">
        <v>1583</v>
      </c>
      <c r="V18" s="100">
        <v>26680000</v>
      </c>
      <c r="W18" s="101">
        <v>2530</v>
      </c>
      <c r="X18" s="101" t="s">
        <v>1585</v>
      </c>
      <c r="Y18" s="102">
        <v>26680000</v>
      </c>
    </row>
    <row r="19" spans="1:25" ht="202.5" x14ac:dyDescent="0.25">
      <c r="A19" s="346"/>
      <c r="B19" s="346"/>
      <c r="C19" s="346"/>
      <c r="D19" s="331"/>
      <c r="E19" s="331"/>
      <c r="F19" s="331"/>
      <c r="G19" s="331"/>
      <c r="H19" s="331"/>
      <c r="I19" s="331"/>
      <c r="J19" s="331"/>
      <c r="K19" s="331"/>
      <c r="L19" s="331"/>
      <c r="M19" s="331"/>
      <c r="N19" s="331"/>
      <c r="O19" s="123" t="s">
        <v>1430</v>
      </c>
      <c r="P19" s="123" t="s">
        <v>1431</v>
      </c>
      <c r="Q19" s="123" t="s">
        <v>1432</v>
      </c>
      <c r="R19" s="113">
        <v>252400000</v>
      </c>
      <c r="S19" s="340"/>
      <c r="T19" s="99">
        <v>559</v>
      </c>
      <c r="U19" s="99" t="s">
        <v>1583</v>
      </c>
      <c r="V19" s="113">
        <v>252400000</v>
      </c>
      <c r="W19" s="101">
        <v>2485</v>
      </c>
      <c r="X19" s="101" t="s">
        <v>1586</v>
      </c>
      <c r="Y19" s="113">
        <v>252400000</v>
      </c>
    </row>
    <row r="20" spans="1:25" ht="189" x14ac:dyDescent="0.25">
      <c r="A20" s="346"/>
      <c r="B20" s="346"/>
      <c r="C20" s="346"/>
      <c r="D20" s="331"/>
      <c r="E20" s="331"/>
      <c r="F20" s="331"/>
      <c r="G20" s="331"/>
      <c r="H20" s="331"/>
      <c r="I20" s="331"/>
      <c r="J20" s="331"/>
      <c r="K20" s="331"/>
      <c r="L20" s="331"/>
      <c r="M20" s="331"/>
      <c r="N20" s="331"/>
      <c r="O20" s="123" t="s">
        <v>1433</v>
      </c>
      <c r="P20" s="123" t="s">
        <v>1434</v>
      </c>
      <c r="Q20" s="123" t="s">
        <v>1435</v>
      </c>
      <c r="R20" s="113">
        <v>69571724</v>
      </c>
      <c r="S20" s="340"/>
      <c r="T20" s="99">
        <v>609</v>
      </c>
      <c r="U20" s="99" t="s">
        <v>1579</v>
      </c>
      <c r="V20" s="113">
        <v>69571724</v>
      </c>
      <c r="W20" s="101">
        <v>2487</v>
      </c>
      <c r="X20" s="101" t="s">
        <v>1586</v>
      </c>
      <c r="Y20" s="113">
        <v>69571724</v>
      </c>
    </row>
    <row r="21" spans="1:25" ht="162" x14ac:dyDescent="0.25">
      <c r="A21" s="347"/>
      <c r="B21" s="347"/>
      <c r="C21" s="347"/>
      <c r="D21" s="332"/>
      <c r="E21" s="332"/>
      <c r="F21" s="332"/>
      <c r="G21" s="332"/>
      <c r="H21" s="332"/>
      <c r="I21" s="332"/>
      <c r="J21" s="332"/>
      <c r="K21" s="332"/>
      <c r="L21" s="332"/>
      <c r="M21" s="332"/>
      <c r="N21" s="332"/>
      <c r="O21" s="123" t="s">
        <v>1436</v>
      </c>
      <c r="P21" s="123" t="s">
        <v>1437</v>
      </c>
      <c r="Q21" s="123" t="s">
        <v>1438</v>
      </c>
      <c r="R21" s="113">
        <v>7053299</v>
      </c>
      <c r="S21" s="340"/>
      <c r="T21" s="99">
        <v>900</v>
      </c>
      <c r="U21" s="99" t="s">
        <v>1587</v>
      </c>
      <c r="V21" s="100">
        <v>7053299</v>
      </c>
      <c r="W21" s="104">
        <v>2955</v>
      </c>
      <c r="X21" s="104" t="s">
        <v>1588</v>
      </c>
      <c r="Y21" s="105">
        <v>7053299</v>
      </c>
    </row>
    <row r="22" spans="1:25" x14ac:dyDescent="0.25">
      <c r="A22" s="114"/>
      <c r="B22" s="114"/>
      <c r="C22" s="114"/>
      <c r="D22" s="114"/>
      <c r="E22" s="118"/>
      <c r="F22" s="118"/>
      <c r="G22" s="147"/>
      <c r="H22" s="147"/>
      <c r="I22" s="147"/>
      <c r="J22" s="147"/>
      <c r="K22" s="147"/>
      <c r="L22" s="120"/>
      <c r="M22" s="120"/>
      <c r="N22" s="147"/>
      <c r="O22" s="148" t="s">
        <v>637</v>
      </c>
      <c r="P22" s="149"/>
      <c r="Q22" s="149"/>
      <c r="R22" s="150">
        <f>SUM(R17:R21)</f>
        <v>439455023</v>
      </c>
      <c r="S22" s="341"/>
      <c r="T22" s="150"/>
      <c r="U22" s="116"/>
      <c r="V22" s="116"/>
      <c r="W22" s="116"/>
      <c r="X22" s="116"/>
      <c r="Y22" s="116"/>
    </row>
    <row r="23" spans="1:25" ht="189" x14ac:dyDescent="0.25">
      <c r="A23" s="114" t="s">
        <v>309</v>
      </c>
      <c r="B23" s="114" t="s">
        <v>310</v>
      </c>
      <c r="C23" s="114" t="s">
        <v>311</v>
      </c>
      <c r="D23" s="114" t="s">
        <v>296</v>
      </c>
      <c r="E23" s="118" t="s">
        <v>312</v>
      </c>
      <c r="F23" s="118" t="s">
        <v>313</v>
      </c>
      <c r="G23" s="147">
        <v>62225831</v>
      </c>
      <c r="H23" s="147"/>
      <c r="I23" s="147"/>
      <c r="J23" s="147"/>
      <c r="K23" s="147"/>
      <c r="L23" s="120">
        <v>0</v>
      </c>
      <c r="M23" s="120">
        <f t="shared" si="0"/>
        <v>62225831</v>
      </c>
      <c r="N23" s="147">
        <f>+M23</f>
        <v>62225831</v>
      </c>
      <c r="O23" s="151" t="s">
        <v>1439</v>
      </c>
      <c r="P23" s="123" t="s">
        <v>1440</v>
      </c>
      <c r="Q23" s="123" t="s">
        <v>1441</v>
      </c>
      <c r="R23" s="113">
        <v>56793530</v>
      </c>
      <c r="S23" s="342">
        <f>R33/M24</f>
        <v>0.57329469981012393</v>
      </c>
      <c r="T23" s="99">
        <v>735</v>
      </c>
      <c r="U23" s="99" t="s">
        <v>1589</v>
      </c>
      <c r="V23" s="100">
        <v>56793530</v>
      </c>
      <c r="W23" s="101" t="s">
        <v>1580</v>
      </c>
      <c r="X23" s="101" t="s">
        <v>1580</v>
      </c>
      <c r="Y23" s="101" t="s">
        <v>1580</v>
      </c>
    </row>
    <row r="24" spans="1:25" ht="135" x14ac:dyDescent="0.25">
      <c r="A24" s="330" t="s">
        <v>314</v>
      </c>
      <c r="B24" s="330" t="s">
        <v>315</v>
      </c>
      <c r="C24" s="330" t="s">
        <v>316</v>
      </c>
      <c r="D24" s="330" t="s">
        <v>296</v>
      </c>
      <c r="E24" s="330" t="s">
        <v>317</v>
      </c>
      <c r="F24" s="330" t="s">
        <v>318</v>
      </c>
      <c r="G24" s="330">
        <v>470929278</v>
      </c>
      <c r="H24" s="330"/>
      <c r="I24" s="330"/>
      <c r="J24" s="330">
        <v>1056986521</v>
      </c>
      <c r="K24" s="330">
        <v>133945690</v>
      </c>
      <c r="L24" s="330">
        <v>31441319</v>
      </c>
      <c r="M24" s="330">
        <f t="shared" si="0"/>
        <v>1693302808</v>
      </c>
      <c r="N24" s="330">
        <f>+M24</f>
        <v>1693302808</v>
      </c>
      <c r="O24" s="152" t="s">
        <v>1392</v>
      </c>
      <c r="P24" s="152" t="s">
        <v>624</v>
      </c>
      <c r="Q24" s="152" t="s">
        <v>1393</v>
      </c>
      <c r="R24" s="132">
        <v>53882400</v>
      </c>
      <c r="S24" s="343"/>
      <c r="T24" s="99">
        <v>402</v>
      </c>
      <c r="U24" s="99" t="s">
        <v>1590</v>
      </c>
      <c r="V24" s="100">
        <v>53882400</v>
      </c>
      <c r="W24" s="101">
        <v>2195</v>
      </c>
      <c r="X24" s="101" t="s">
        <v>1573</v>
      </c>
      <c r="Y24" s="102">
        <v>53882400</v>
      </c>
    </row>
    <row r="25" spans="1:25" ht="175.5" x14ac:dyDescent="0.25">
      <c r="A25" s="331"/>
      <c r="B25" s="331"/>
      <c r="C25" s="331"/>
      <c r="D25" s="331"/>
      <c r="E25" s="331"/>
      <c r="F25" s="331"/>
      <c r="G25" s="331"/>
      <c r="H25" s="331"/>
      <c r="I25" s="331"/>
      <c r="J25" s="331"/>
      <c r="K25" s="331"/>
      <c r="L25" s="331"/>
      <c r="M25" s="331"/>
      <c r="N25" s="331"/>
      <c r="O25" s="152" t="s">
        <v>1394</v>
      </c>
      <c r="P25" s="152" t="s">
        <v>626</v>
      </c>
      <c r="Q25" s="152" t="s">
        <v>1395</v>
      </c>
      <c r="R25" s="132">
        <v>45010949</v>
      </c>
      <c r="S25" s="343"/>
      <c r="T25" s="99">
        <v>403</v>
      </c>
      <c r="U25" s="99" t="s">
        <v>1590</v>
      </c>
      <c r="V25" s="100">
        <v>45010949</v>
      </c>
      <c r="W25" s="101">
        <v>2162</v>
      </c>
      <c r="X25" s="101" t="s">
        <v>1591</v>
      </c>
      <c r="Y25" s="102">
        <v>43438476</v>
      </c>
    </row>
    <row r="26" spans="1:25" ht="216" x14ac:dyDescent="0.25">
      <c r="A26" s="331"/>
      <c r="B26" s="331"/>
      <c r="C26" s="331"/>
      <c r="D26" s="331"/>
      <c r="E26" s="331"/>
      <c r="F26" s="331"/>
      <c r="G26" s="331"/>
      <c r="H26" s="331"/>
      <c r="I26" s="331"/>
      <c r="J26" s="331"/>
      <c r="K26" s="331"/>
      <c r="L26" s="331"/>
      <c r="M26" s="331"/>
      <c r="N26" s="331"/>
      <c r="O26" s="152" t="s">
        <v>1396</v>
      </c>
      <c r="P26" s="152" t="s">
        <v>322</v>
      </c>
      <c r="Q26" s="152" t="s">
        <v>1397</v>
      </c>
      <c r="R26" s="132">
        <v>130000000</v>
      </c>
      <c r="S26" s="343"/>
      <c r="T26" s="103">
        <v>422</v>
      </c>
      <c r="U26" s="99" t="s">
        <v>1574</v>
      </c>
      <c r="V26" s="100">
        <v>130000000</v>
      </c>
      <c r="W26" s="101">
        <v>2315</v>
      </c>
      <c r="X26" s="101" t="s">
        <v>1582</v>
      </c>
      <c r="Y26" s="102">
        <v>130000000</v>
      </c>
    </row>
    <row r="27" spans="1:25" ht="202.5" x14ac:dyDescent="0.25">
      <c r="A27" s="331"/>
      <c r="B27" s="331"/>
      <c r="C27" s="331"/>
      <c r="D27" s="331"/>
      <c r="E27" s="331"/>
      <c r="F27" s="331"/>
      <c r="G27" s="331"/>
      <c r="H27" s="331"/>
      <c r="I27" s="331"/>
      <c r="J27" s="331"/>
      <c r="K27" s="331"/>
      <c r="L27" s="331"/>
      <c r="M27" s="331"/>
      <c r="N27" s="331"/>
      <c r="O27" s="152" t="s">
        <v>1398</v>
      </c>
      <c r="P27" s="152" t="s">
        <v>607</v>
      </c>
      <c r="Q27" s="152" t="s">
        <v>1399</v>
      </c>
      <c r="R27" s="132">
        <v>150066800</v>
      </c>
      <c r="S27" s="343"/>
      <c r="T27" s="99">
        <v>405</v>
      </c>
      <c r="U27" s="99" t="s">
        <v>1590</v>
      </c>
      <c r="V27" s="100">
        <v>150066800</v>
      </c>
      <c r="W27" s="101">
        <v>2316</v>
      </c>
      <c r="X27" s="101" t="s">
        <v>1582</v>
      </c>
      <c r="Y27" s="102">
        <v>150066800</v>
      </c>
    </row>
    <row r="28" spans="1:25" ht="94.5" x14ac:dyDescent="0.25">
      <c r="A28" s="331"/>
      <c r="B28" s="331"/>
      <c r="C28" s="331"/>
      <c r="D28" s="331"/>
      <c r="E28" s="331"/>
      <c r="F28" s="331"/>
      <c r="G28" s="331"/>
      <c r="H28" s="331"/>
      <c r="I28" s="331"/>
      <c r="J28" s="331"/>
      <c r="K28" s="331"/>
      <c r="L28" s="331"/>
      <c r="M28" s="331"/>
      <c r="N28" s="331"/>
      <c r="O28" s="152" t="s">
        <v>1400</v>
      </c>
      <c r="P28" s="152" t="s">
        <v>1401</v>
      </c>
      <c r="Q28" s="152" t="s">
        <v>1402</v>
      </c>
      <c r="R28" s="132">
        <v>23873185</v>
      </c>
      <c r="S28" s="343"/>
      <c r="T28" s="99">
        <v>553</v>
      </c>
      <c r="U28" s="99" t="s">
        <v>1578</v>
      </c>
      <c r="V28" s="100">
        <v>23873185</v>
      </c>
      <c r="W28" s="101">
        <v>2341</v>
      </c>
      <c r="X28" s="101" t="s">
        <v>1592</v>
      </c>
      <c r="Y28" s="102">
        <v>23873185</v>
      </c>
    </row>
    <row r="29" spans="1:25" ht="162" x14ac:dyDescent="0.25">
      <c r="A29" s="331"/>
      <c r="B29" s="331"/>
      <c r="C29" s="331"/>
      <c r="D29" s="331"/>
      <c r="E29" s="331"/>
      <c r="F29" s="331"/>
      <c r="G29" s="331"/>
      <c r="H29" s="331"/>
      <c r="I29" s="331"/>
      <c r="J29" s="331"/>
      <c r="K29" s="331"/>
      <c r="L29" s="331"/>
      <c r="M29" s="331"/>
      <c r="N29" s="331"/>
      <c r="O29" s="152" t="s">
        <v>1403</v>
      </c>
      <c r="P29" s="152" t="s">
        <v>1404</v>
      </c>
      <c r="Q29" s="152" t="s">
        <v>1405</v>
      </c>
      <c r="R29" s="132">
        <v>22728000</v>
      </c>
      <c r="S29" s="343"/>
      <c r="T29" s="99">
        <v>629</v>
      </c>
      <c r="U29" s="99" t="s">
        <v>1593</v>
      </c>
      <c r="V29" s="100">
        <v>22728000</v>
      </c>
      <c r="W29" s="101" t="s">
        <v>1580</v>
      </c>
      <c r="X29" s="101" t="s">
        <v>1580</v>
      </c>
      <c r="Y29" s="101" t="s">
        <v>1580</v>
      </c>
    </row>
    <row r="30" spans="1:25" ht="135" x14ac:dyDescent="0.25">
      <c r="A30" s="331"/>
      <c r="B30" s="331"/>
      <c r="C30" s="331"/>
      <c r="D30" s="331"/>
      <c r="E30" s="331"/>
      <c r="F30" s="331"/>
      <c r="G30" s="331"/>
      <c r="H30" s="331"/>
      <c r="I30" s="331"/>
      <c r="J30" s="331"/>
      <c r="K30" s="331"/>
      <c r="L30" s="331"/>
      <c r="M30" s="331"/>
      <c r="N30" s="331"/>
      <c r="O30" s="152" t="s">
        <v>1406</v>
      </c>
      <c r="P30" s="152" t="s">
        <v>1407</v>
      </c>
      <c r="Q30" s="152" t="s">
        <v>1408</v>
      </c>
      <c r="R30" s="132">
        <v>271400000</v>
      </c>
      <c r="S30" s="343"/>
      <c r="T30" s="99">
        <v>811</v>
      </c>
      <c r="U30" s="99" t="s">
        <v>1570</v>
      </c>
      <c r="V30" s="100">
        <v>271400000</v>
      </c>
      <c r="W30" s="101" t="s">
        <v>1580</v>
      </c>
      <c r="X30" s="101" t="s">
        <v>1580</v>
      </c>
      <c r="Y30" s="101" t="s">
        <v>1580</v>
      </c>
    </row>
    <row r="31" spans="1:25" ht="135" x14ac:dyDescent="0.25">
      <c r="A31" s="331"/>
      <c r="B31" s="331"/>
      <c r="C31" s="331"/>
      <c r="D31" s="331"/>
      <c r="E31" s="331"/>
      <c r="F31" s="331"/>
      <c r="G31" s="331"/>
      <c r="H31" s="331"/>
      <c r="I31" s="331"/>
      <c r="J31" s="331"/>
      <c r="K31" s="331"/>
      <c r="L31" s="331"/>
      <c r="M31" s="331"/>
      <c r="N31" s="331"/>
      <c r="O31" s="152" t="s">
        <v>1409</v>
      </c>
      <c r="P31" s="152" t="s">
        <v>1410</v>
      </c>
      <c r="Q31" s="152" t="s">
        <v>1411</v>
      </c>
      <c r="R31" s="132">
        <v>236018591</v>
      </c>
      <c r="S31" s="343"/>
      <c r="T31" s="99">
        <v>804</v>
      </c>
      <c r="U31" s="99" t="s">
        <v>1594</v>
      </c>
      <c r="V31" s="100">
        <v>236018591</v>
      </c>
      <c r="W31" s="101" t="s">
        <v>1580</v>
      </c>
      <c r="X31" s="101" t="s">
        <v>1580</v>
      </c>
      <c r="Y31" s="101" t="s">
        <v>1580</v>
      </c>
    </row>
    <row r="32" spans="1:25" ht="229.5" x14ac:dyDescent="0.25">
      <c r="A32" s="331"/>
      <c r="B32" s="331"/>
      <c r="C32" s="331"/>
      <c r="D32" s="331"/>
      <c r="E32" s="331"/>
      <c r="F32" s="331"/>
      <c r="G32" s="331"/>
      <c r="H32" s="331"/>
      <c r="I32" s="331"/>
      <c r="J32" s="331"/>
      <c r="K32" s="331"/>
      <c r="L32" s="331"/>
      <c r="M32" s="331"/>
      <c r="N32" s="331"/>
      <c r="O32" s="152" t="s">
        <v>1412</v>
      </c>
      <c r="P32" s="152" t="s">
        <v>1413</v>
      </c>
      <c r="Q32" s="152" t="s">
        <v>1414</v>
      </c>
      <c r="R32" s="132">
        <v>91664000</v>
      </c>
      <c r="S32" s="343"/>
      <c r="T32" s="101" t="s">
        <v>1580</v>
      </c>
      <c r="U32" s="101" t="s">
        <v>1580</v>
      </c>
      <c r="V32" s="101" t="s">
        <v>1580</v>
      </c>
      <c r="W32" s="101" t="s">
        <v>1580</v>
      </c>
      <c r="X32" s="101" t="s">
        <v>1580</v>
      </c>
      <c r="Y32" s="101" t="s">
        <v>1580</v>
      </c>
    </row>
    <row r="33" spans="1:25" x14ac:dyDescent="0.25">
      <c r="A33" s="332"/>
      <c r="B33" s="332"/>
      <c r="C33" s="332"/>
      <c r="D33" s="332"/>
      <c r="E33" s="332"/>
      <c r="F33" s="332"/>
      <c r="G33" s="332"/>
      <c r="H33" s="332"/>
      <c r="I33" s="332"/>
      <c r="J33" s="332"/>
      <c r="K33" s="332"/>
      <c r="L33" s="332"/>
      <c r="M33" s="332"/>
      <c r="N33" s="332"/>
      <c r="O33" s="153" t="s">
        <v>637</v>
      </c>
      <c r="P33" s="154"/>
      <c r="Q33" s="154"/>
      <c r="R33" s="155">
        <f>SUM(R25:R32)</f>
        <v>970761525</v>
      </c>
      <c r="S33" s="344"/>
      <c r="T33" s="155"/>
      <c r="U33" s="116"/>
      <c r="V33" s="116"/>
      <c r="W33" s="116"/>
      <c r="X33" s="116"/>
      <c r="Y33" s="116"/>
    </row>
    <row r="34" spans="1:25" ht="117.75" customHeight="1" x14ac:dyDescent="0.25">
      <c r="A34" s="351" t="s">
        <v>319</v>
      </c>
      <c r="B34" s="351" t="s">
        <v>320</v>
      </c>
      <c r="C34" s="351" t="s">
        <v>321</v>
      </c>
      <c r="D34" s="351" t="s">
        <v>296</v>
      </c>
      <c r="E34" s="118" t="s">
        <v>322</v>
      </c>
      <c r="F34" s="118" t="s">
        <v>323</v>
      </c>
      <c r="G34" s="120">
        <v>0</v>
      </c>
      <c r="H34" s="120"/>
      <c r="I34" s="120">
        <v>0</v>
      </c>
      <c r="J34" s="119">
        <v>118949885</v>
      </c>
      <c r="K34" s="119"/>
      <c r="L34" s="119"/>
      <c r="M34" s="120">
        <f t="shared" si="0"/>
        <v>118949885</v>
      </c>
      <c r="N34" s="328">
        <f>SUM(M34:M37)</f>
        <v>743228656</v>
      </c>
      <c r="O34" s="147"/>
      <c r="P34" s="114"/>
      <c r="Q34" s="114"/>
      <c r="R34" s="114"/>
      <c r="S34" s="134"/>
      <c r="T34" s="114"/>
      <c r="U34" s="114"/>
      <c r="V34" s="114"/>
      <c r="W34" s="114"/>
      <c r="X34" s="114"/>
      <c r="Y34" s="114"/>
    </row>
    <row r="35" spans="1:25" ht="137.25" customHeight="1" x14ac:dyDescent="0.25">
      <c r="A35" s="351"/>
      <c r="B35" s="351"/>
      <c r="C35" s="351"/>
      <c r="D35" s="351"/>
      <c r="E35" s="118" t="s">
        <v>605</v>
      </c>
      <c r="F35" s="118" t="s">
        <v>606</v>
      </c>
      <c r="G35" s="120"/>
      <c r="H35" s="120"/>
      <c r="I35" s="120"/>
      <c r="J35" s="119">
        <v>41327016</v>
      </c>
      <c r="K35" s="119"/>
      <c r="L35" s="119"/>
      <c r="M35" s="120">
        <f t="shared" si="0"/>
        <v>41327016</v>
      </c>
      <c r="N35" s="328"/>
      <c r="O35" s="147"/>
      <c r="P35" s="114"/>
      <c r="Q35" s="114"/>
      <c r="R35" s="114"/>
      <c r="S35" s="134"/>
      <c r="T35" s="114"/>
      <c r="U35" s="114"/>
      <c r="V35" s="114"/>
      <c r="W35" s="114"/>
      <c r="X35" s="114"/>
      <c r="Y35" s="114"/>
    </row>
    <row r="36" spans="1:25" ht="128.25" customHeight="1" x14ac:dyDescent="0.25">
      <c r="A36" s="351"/>
      <c r="B36" s="351"/>
      <c r="C36" s="351"/>
      <c r="D36" s="351"/>
      <c r="E36" s="118" t="s">
        <v>607</v>
      </c>
      <c r="F36" s="118" t="s">
        <v>608</v>
      </c>
      <c r="G36" s="120">
        <v>0</v>
      </c>
      <c r="H36" s="120"/>
      <c r="I36" s="120">
        <v>0</v>
      </c>
      <c r="J36" s="119">
        <v>412705306</v>
      </c>
      <c r="K36" s="119"/>
      <c r="L36" s="119"/>
      <c r="M36" s="120">
        <f t="shared" si="0"/>
        <v>412705306</v>
      </c>
      <c r="N36" s="328"/>
      <c r="O36" s="147"/>
      <c r="P36" s="114"/>
      <c r="Q36" s="114"/>
      <c r="R36" s="114"/>
      <c r="S36" s="134"/>
      <c r="T36" s="114"/>
      <c r="U36" s="114"/>
      <c r="V36" s="114"/>
      <c r="W36" s="114"/>
      <c r="X36" s="114"/>
      <c r="Y36" s="114"/>
    </row>
    <row r="37" spans="1:25" ht="81" customHeight="1" x14ac:dyDescent="0.25">
      <c r="A37" s="351"/>
      <c r="B37" s="351"/>
      <c r="C37" s="351"/>
      <c r="D37" s="351"/>
      <c r="E37" s="118" t="s">
        <v>609</v>
      </c>
      <c r="F37" s="118" t="s">
        <v>610</v>
      </c>
      <c r="G37" s="120">
        <v>0</v>
      </c>
      <c r="H37" s="120"/>
      <c r="I37" s="120">
        <v>0</v>
      </c>
      <c r="J37" s="119">
        <v>170246449</v>
      </c>
      <c r="K37" s="119"/>
      <c r="L37" s="119"/>
      <c r="M37" s="120">
        <f t="shared" si="0"/>
        <v>170246449</v>
      </c>
      <c r="N37" s="328"/>
      <c r="O37" s="147"/>
      <c r="P37" s="114"/>
      <c r="Q37" s="114"/>
      <c r="R37" s="114"/>
      <c r="S37" s="134"/>
      <c r="T37" s="114"/>
      <c r="U37" s="114"/>
      <c r="V37" s="114"/>
      <c r="W37" s="114"/>
      <c r="X37" s="114"/>
      <c r="Y37" s="114"/>
    </row>
    <row r="38" spans="1:25" ht="234" customHeight="1" x14ac:dyDescent="0.25">
      <c r="A38" s="114" t="s">
        <v>324</v>
      </c>
      <c r="B38" s="114" t="s">
        <v>325</v>
      </c>
      <c r="C38" s="118" t="s">
        <v>326</v>
      </c>
      <c r="D38" s="118" t="s">
        <v>296</v>
      </c>
      <c r="E38" s="118" t="s">
        <v>327</v>
      </c>
      <c r="F38" s="118" t="s">
        <v>328</v>
      </c>
      <c r="G38" s="120">
        <v>0</v>
      </c>
      <c r="H38" s="120"/>
      <c r="I38" s="120">
        <v>0</v>
      </c>
      <c r="J38" s="119">
        <v>139190854</v>
      </c>
      <c r="K38" s="119"/>
      <c r="L38" s="119"/>
      <c r="M38" s="120">
        <f t="shared" si="0"/>
        <v>139190854</v>
      </c>
      <c r="N38" s="147">
        <f>SUM(M38)</f>
        <v>139190854</v>
      </c>
      <c r="O38" s="123" t="s">
        <v>728</v>
      </c>
      <c r="P38" s="123" t="s">
        <v>729</v>
      </c>
      <c r="Q38" s="123" t="s">
        <v>730</v>
      </c>
      <c r="R38" s="113">
        <v>139190849</v>
      </c>
      <c r="S38" s="134">
        <f>R38/M38</f>
        <v>0.99999996407809955</v>
      </c>
      <c r="T38" s="99">
        <v>901</v>
      </c>
      <c r="U38" s="99" t="s">
        <v>1587</v>
      </c>
      <c r="V38" s="100">
        <v>139190849</v>
      </c>
      <c r="W38" s="101" t="s">
        <v>1580</v>
      </c>
      <c r="X38" s="101" t="s">
        <v>1580</v>
      </c>
      <c r="Y38" s="101" t="s">
        <v>1580</v>
      </c>
    </row>
    <row r="39" spans="1:25" ht="171" customHeight="1" x14ac:dyDescent="0.25">
      <c r="A39" s="114" t="s">
        <v>329</v>
      </c>
      <c r="B39" s="114" t="s">
        <v>330</v>
      </c>
      <c r="C39" s="118" t="s">
        <v>331</v>
      </c>
      <c r="D39" s="118" t="s">
        <v>296</v>
      </c>
      <c r="E39" s="118" t="s">
        <v>332</v>
      </c>
      <c r="F39" s="118" t="s">
        <v>333</v>
      </c>
      <c r="G39" s="120">
        <v>0</v>
      </c>
      <c r="H39" s="120"/>
      <c r="I39" s="120">
        <v>0</v>
      </c>
      <c r="J39" s="119">
        <v>75981265</v>
      </c>
      <c r="K39" s="119"/>
      <c r="L39" s="119"/>
      <c r="M39" s="120">
        <f t="shared" si="0"/>
        <v>75981265</v>
      </c>
      <c r="N39" s="147">
        <f>SUM(M39)</f>
        <v>75981265</v>
      </c>
      <c r="O39" s="147"/>
      <c r="P39" s="114"/>
      <c r="Q39" s="114"/>
      <c r="R39" s="114"/>
      <c r="S39" s="134"/>
      <c r="T39" s="114"/>
      <c r="U39" s="114"/>
      <c r="V39" s="114"/>
      <c r="W39" s="114"/>
      <c r="X39" s="114"/>
      <c r="Y39" s="114"/>
    </row>
    <row r="40" spans="1:25" ht="216" x14ac:dyDescent="0.25">
      <c r="A40" s="323" t="s">
        <v>334</v>
      </c>
      <c r="B40" s="323" t="s">
        <v>335</v>
      </c>
      <c r="C40" s="323" t="s">
        <v>336</v>
      </c>
      <c r="D40" s="323" t="s">
        <v>296</v>
      </c>
      <c r="E40" s="118" t="s">
        <v>337</v>
      </c>
      <c r="F40" s="118" t="s">
        <v>338</v>
      </c>
      <c r="G40" s="120">
        <v>0</v>
      </c>
      <c r="H40" s="120"/>
      <c r="I40" s="120">
        <v>0</v>
      </c>
      <c r="J40" s="119">
        <v>87324580</v>
      </c>
      <c r="K40" s="119"/>
      <c r="L40" s="119"/>
      <c r="M40" s="120">
        <f t="shared" si="0"/>
        <v>87324580</v>
      </c>
      <c r="N40" s="328">
        <f>SUM(M40:M41)</f>
        <v>102491130</v>
      </c>
      <c r="O40" s="147"/>
      <c r="P40" s="114"/>
      <c r="Q40" s="114"/>
      <c r="R40" s="114"/>
      <c r="S40" s="134"/>
      <c r="T40" s="114"/>
      <c r="U40" s="114"/>
      <c r="V40" s="114"/>
      <c r="W40" s="114"/>
      <c r="X40" s="114"/>
      <c r="Y40" s="114"/>
    </row>
    <row r="41" spans="1:25" ht="189" x14ac:dyDescent="0.25">
      <c r="A41" s="323"/>
      <c r="B41" s="323"/>
      <c r="C41" s="323"/>
      <c r="D41" s="323"/>
      <c r="E41" s="118" t="s">
        <v>611</v>
      </c>
      <c r="F41" s="118" t="s">
        <v>612</v>
      </c>
      <c r="G41" s="120">
        <v>0</v>
      </c>
      <c r="H41" s="120"/>
      <c r="I41" s="120">
        <v>0</v>
      </c>
      <c r="J41" s="119">
        <v>15166550</v>
      </c>
      <c r="K41" s="119"/>
      <c r="L41" s="119"/>
      <c r="M41" s="120">
        <f t="shared" si="0"/>
        <v>15166550</v>
      </c>
      <c r="N41" s="328"/>
      <c r="O41" s="147"/>
      <c r="P41" s="114"/>
      <c r="Q41" s="114"/>
      <c r="R41" s="114"/>
      <c r="S41" s="134"/>
      <c r="T41" s="114"/>
      <c r="U41" s="114"/>
      <c r="V41" s="114"/>
      <c r="W41" s="114"/>
      <c r="X41" s="114"/>
      <c r="Y41" s="114"/>
    </row>
    <row r="42" spans="1:25" ht="130.5" customHeight="1" x14ac:dyDescent="0.25">
      <c r="A42" s="114" t="s">
        <v>339</v>
      </c>
      <c r="B42" s="114" t="s">
        <v>340</v>
      </c>
      <c r="C42" s="118" t="s">
        <v>341</v>
      </c>
      <c r="D42" s="119" t="s">
        <v>296</v>
      </c>
      <c r="E42" s="118">
        <v>173</v>
      </c>
      <c r="F42" s="119" t="s">
        <v>342</v>
      </c>
      <c r="G42" s="120">
        <v>0</v>
      </c>
      <c r="H42" s="120"/>
      <c r="I42" s="120">
        <v>0</v>
      </c>
      <c r="J42" s="119">
        <v>600000000</v>
      </c>
      <c r="K42" s="119"/>
      <c r="L42" s="119"/>
      <c r="M42" s="120">
        <f t="shared" si="0"/>
        <v>600000000</v>
      </c>
      <c r="N42" s="147">
        <f>SUM(M42)</f>
        <v>600000000</v>
      </c>
      <c r="O42" s="114"/>
      <c r="P42" s="114"/>
      <c r="Q42" s="114"/>
      <c r="R42" s="114"/>
      <c r="S42" s="134"/>
      <c r="T42" s="114"/>
      <c r="U42" s="114"/>
      <c r="V42" s="114"/>
      <c r="W42" s="114"/>
      <c r="X42" s="114"/>
      <c r="Y42" s="114"/>
    </row>
    <row r="43" spans="1:25" ht="229.5" x14ac:dyDescent="0.25">
      <c r="A43" s="114" t="s">
        <v>20</v>
      </c>
      <c r="B43" s="114" t="s">
        <v>21</v>
      </c>
      <c r="C43" s="118" t="s">
        <v>22</v>
      </c>
      <c r="D43" s="118" t="s">
        <v>23</v>
      </c>
      <c r="E43" s="118"/>
      <c r="F43" s="118" t="s">
        <v>24</v>
      </c>
      <c r="G43" s="120">
        <v>0</v>
      </c>
      <c r="H43" s="120"/>
      <c r="I43" s="120">
        <v>0</v>
      </c>
      <c r="J43" s="119">
        <v>75545992</v>
      </c>
      <c r="K43" s="119"/>
      <c r="L43" s="135"/>
      <c r="M43" s="136">
        <f t="shared" si="0"/>
        <v>75545992</v>
      </c>
      <c r="N43" s="156">
        <f>SUM(G43:L43)</f>
        <v>75545992</v>
      </c>
      <c r="O43" s="156"/>
      <c r="P43" s="157"/>
      <c r="Q43" s="157"/>
      <c r="R43" s="157"/>
      <c r="S43" s="158"/>
      <c r="T43" s="208"/>
      <c r="U43" s="208"/>
      <c r="V43" s="208"/>
      <c r="W43" s="208"/>
      <c r="X43" s="208"/>
      <c r="Y43" s="208"/>
    </row>
    <row r="44" spans="1:25" ht="21.75" hidden="1" thickBot="1" x14ac:dyDescent="0.4">
      <c r="L44" s="57" t="s">
        <v>637</v>
      </c>
      <c r="M44" s="58">
        <f>SUM(M2:M43)</f>
        <v>4850405828</v>
      </c>
      <c r="N44" s="59"/>
      <c r="O44" s="59"/>
      <c r="P44" s="59"/>
      <c r="Q44" s="59"/>
      <c r="R44" s="60">
        <f>R11+R16+R22+R33+R38</f>
        <v>1881233170</v>
      </c>
      <c r="S44" s="61">
        <f>R44/M44</f>
        <v>0.38785067409002794</v>
      </c>
      <c r="T44" s="234"/>
      <c r="U44" s="235"/>
      <c r="V44" s="236">
        <f>SUM(V2:V43)</f>
        <v>1838470923</v>
      </c>
      <c r="W44" s="235"/>
      <c r="X44" s="235"/>
      <c r="Y44" s="237">
        <f>SUM(Y2:Y43)</f>
        <v>975873163</v>
      </c>
    </row>
  </sheetData>
  <sheetProtection algorithmName="SHA-512" hashValue="ragT1d8+Dpi3BlQJz79gKRLv4RbZEK+Jn6DCb0h5mnNGm+LaLN7zDmHZ5VVqsC2S90sxaIdNvgbe9twBTEpv5w==" saltValue="i/58euv40jdL9TKVa/PoMQ==" spinCount="100000" sheet="1" objects="1" scenarios="1" formatCells="0" formatColumns="0"/>
  <mergeCells count="70">
    <mergeCell ref="N34:N37"/>
    <mergeCell ref="A40:A41"/>
    <mergeCell ref="B40:B41"/>
    <mergeCell ref="C40:C41"/>
    <mergeCell ref="D40:D41"/>
    <mergeCell ref="N40:N41"/>
    <mergeCell ref="A34:A37"/>
    <mergeCell ref="B34:B37"/>
    <mergeCell ref="C34:C37"/>
    <mergeCell ref="D34:D37"/>
    <mergeCell ref="N2:N11"/>
    <mergeCell ref="M2:M11"/>
    <mergeCell ref="L2:L11"/>
    <mergeCell ref="K2:K11"/>
    <mergeCell ref="J2:J11"/>
    <mergeCell ref="I2:I11"/>
    <mergeCell ref="H2:H11"/>
    <mergeCell ref="G2:G11"/>
    <mergeCell ref="F2:F11"/>
    <mergeCell ref="E2:E11"/>
    <mergeCell ref="I12:I16"/>
    <mergeCell ref="H12:H16"/>
    <mergeCell ref="G12:G16"/>
    <mergeCell ref="F12:F16"/>
    <mergeCell ref="E12:E16"/>
    <mergeCell ref="N12:N16"/>
    <mergeCell ref="M12:M16"/>
    <mergeCell ref="L12:L16"/>
    <mergeCell ref="K12:K16"/>
    <mergeCell ref="J12:J16"/>
    <mergeCell ref="B17:B21"/>
    <mergeCell ref="A17:A21"/>
    <mergeCell ref="D2:D11"/>
    <mergeCell ref="C2:C11"/>
    <mergeCell ref="B2:B11"/>
    <mergeCell ref="A2:A11"/>
    <mergeCell ref="D12:D16"/>
    <mergeCell ref="C12:C16"/>
    <mergeCell ref="K24:K33"/>
    <mergeCell ref="J24:J33"/>
    <mergeCell ref="B12:B16"/>
    <mergeCell ref="A12:A16"/>
    <mergeCell ref="N17:N21"/>
    <mergeCell ref="M17:M21"/>
    <mergeCell ref="L17:L21"/>
    <mergeCell ref="K17:K21"/>
    <mergeCell ref="J17:J21"/>
    <mergeCell ref="I17:I21"/>
    <mergeCell ref="H17:H21"/>
    <mergeCell ref="G17:G21"/>
    <mergeCell ref="F17:F21"/>
    <mergeCell ref="E17:E21"/>
    <mergeCell ref="D17:D21"/>
    <mergeCell ref="C17:C21"/>
    <mergeCell ref="D24:D33"/>
    <mergeCell ref="C24:C33"/>
    <mergeCell ref="B24:B33"/>
    <mergeCell ref="A24:A33"/>
    <mergeCell ref="S2:S11"/>
    <mergeCell ref="S12:S16"/>
    <mergeCell ref="S17:S22"/>
    <mergeCell ref="S23:S33"/>
    <mergeCell ref="I24:I33"/>
    <mergeCell ref="H24:H33"/>
    <mergeCell ref="G24:G33"/>
    <mergeCell ref="F24:F33"/>
    <mergeCell ref="E24:E33"/>
    <mergeCell ref="N24:N33"/>
    <mergeCell ref="M24:M33"/>
    <mergeCell ref="L24:L33"/>
  </mergeCells>
  <conditionalFormatting sqref="S1:S12 S17 S34:S1048576 S23">
    <cfRule type="cellIs" dxfId="73" priority="1" operator="between">
      <formula>0.51</formula>
      <formula>0.69</formula>
    </cfRule>
    <cfRule type="cellIs" dxfId="72" priority="2" operator="lessThan">
      <formula>0.5</formula>
    </cfRule>
    <cfRule type="cellIs" dxfId="71" priority="3" operator="greaterThan">
      <formula>0.7</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Y44"/>
  <sheetViews>
    <sheetView zoomScale="60" zoomScaleNormal="60" workbookViewId="0">
      <pane ySplit="1" topLeftCell="A2" activePane="bottomLeft" state="frozen"/>
      <selection activeCell="E1" sqref="E1"/>
      <selection pane="bottomLeft" activeCell="A7" sqref="A7:XFD1048576"/>
    </sheetView>
  </sheetViews>
  <sheetFormatPr baseColWidth="10" defaultColWidth="0" defaultRowHeight="15" zeroHeight="1" x14ac:dyDescent="0.25"/>
  <cols>
    <col min="1" max="5" width="11.42578125" customWidth="1"/>
    <col min="6" max="6" width="27" customWidth="1"/>
    <col min="7" max="7" width="13.85546875" bestFit="1" customWidth="1"/>
    <col min="8" max="8" width="11.42578125" customWidth="1"/>
    <col min="9" max="9" width="11.5703125" bestFit="1" customWidth="1"/>
    <col min="10" max="10" width="11.42578125" customWidth="1"/>
    <col min="11" max="11" width="15.140625" bestFit="1" customWidth="1"/>
    <col min="12" max="12" width="13.85546875" bestFit="1" customWidth="1"/>
    <col min="13" max="13" width="20.140625" bestFit="1" customWidth="1"/>
    <col min="14" max="14" width="15.42578125" bestFit="1" customWidth="1"/>
    <col min="15" max="15" width="26.7109375" customWidth="1"/>
    <col min="16" max="16" width="11.42578125" customWidth="1"/>
    <col min="17" max="17" width="11.5703125" customWidth="1"/>
    <col min="18" max="18" width="18" bestFit="1" customWidth="1"/>
    <col min="19" max="19" width="18.140625" style="38" customWidth="1"/>
    <col min="20" max="21" width="11.42578125" customWidth="1"/>
    <col min="22" max="22" width="19.42578125" bestFit="1" customWidth="1"/>
    <col min="23" max="24" width="11.42578125" customWidth="1"/>
    <col min="25" max="25" width="18" bestFit="1" customWidth="1"/>
    <col min="26" max="16384" width="11.42578125" hidden="1"/>
  </cols>
  <sheetData>
    <row r="1" spans="1:25" ht="89.25" x14ac:dyDescent="0.25">
      <c r="A1" s="107" t="s">
        <v>0</v>
      </c>
      <c r="B1" s="107" t="s">
        <v>1</v>
      </c>
      <c r="C1" s="107" t="s">
        <v>2</v>
      </c>
      <c r="D1" s="107" t="s">
        <v>3</v>
      </c>
      <c r="E1" s="107" t="s">
        <v>4</v>
      </c>
      <c r="F1" s="107" t="s">
        <v>5</v>
      </c>
      <c r="G1" s="107" t="s">
        <v>6</v>
      </c>
      <c r="H1" s="107" t="s">
        <v>7</v>
      </c>
      <c r="I1" s="107" t="s">
        <v>8</v>
      </c>
      <c r="J1" s="107" t="s">
        <v>9</v>
      </c>
      <c r="K1" s="107" t="s">
        <v>10</v>
      </c>
      <c r="L1" s="107" t="s">
        <v>11</v>
      </c>
      <c r="M1" s="107" t="s">
        <v>12</v>
      </c>
      <c r="N1" s="107" t="s">
        <v>13</v>
      </c>
      <c r="O1" s="107" t="s">
        <v>636</v>
      </c>
      <c r="P1" s="107" t="s">
        <v>628</v>
      </c>
      <c r="Q1" s="107" t="s">
        <v>629</v>
      </c>
      <c r="R1" s="107" t="s">
        <v>722</v>
      </c>
      <c r="S1" s="162" t="s">
        <v>1536</v>
      </c>
      <c r="T1" s="107" t="s">
        <v>630</v>
      </c>
      <c r="U1" s="107" t="s">
        <v>631</v>
      </c>
      <c r="V1" s="107" t="s">
        <v>632</v>
      </c>
      <c r="W1" s="107" t="s">
        <v>633</v>
      </c>
      <c r="X1" s="107" t="s">
        <v>634</v>
      </c>
      <c r="Y1" s="107" t="s">
        <v>635</v>
      </c>
    </row>
    <row r="2" spans="1:25" ht="162.75" customHeight="1" x14ac:dyDescent="0.25">
      <c r="A2" s="323" t="s">
        <v>25</v>
      </c>
      <c r="B2" s="323" t="s">
        <v>26</v>
      </c>
      <c r="C2" s="352" t="s">
        <v>27</v>
      </c>
      <c r="D2" s="352" t="s">
        <v>28</v>
      </c>
      <c r="E2" s="118" t="s">
        <v>29</v>
      </c>
      <c r="F2" s="118" t="s">
        <v>30</v>
      </c>
      <c r="G2" s="120">
        <v>55000000</v>
      </c>
      <c r="H2" s="120"/>
      <c r="I2" s="120"/>
      <c r="J2" s="120"/>
      <c r="K2" s="120"/>
      <c r="L2" s="120"/>
      <c r="M2" s="120">
        <f t="shared" ref="M2:M6" si="0">SUM(G2:L2)</f>
        <v>55000000</v>
      </c>
      <c r="N2" s="328">
        <f>SUM(M2:M6)</f>
        <v>551517942</v>
      </c>
      <c r="O2" s="123" t="s">
        <v>744</v>
      </c>
      <c r="P2" s="123" t="s">
        <v>745</v>
      </c>
      <c r="Q2" s="123" t="s">
        <v>746</v>
      </c>
      <c r="R2" s="113">
        <v>55000000</v>
      </c>
      <c r="S2" s="168">
        <f>R2/M2</f>
        <v>1</v>
      </c>
      <c r="T2" s="99">
        <v>630</v>
      </c>
      <c r="U2" s="99" t="s">
        <v>1593</v>
      </c>
      <c r="V2" s="100">
        <v>55000000</v>
      </c>
      <c r="W2" s="101" t="s">
        <v>1580</v>
      </c>
      <c r="X2" s="101" t="s">
        <v>1580</v>
      </c>
      <c r="Y2" s="101" t="s">
        <v>1580</v>
      </c>
    </row>
    <row r="3" spans="1:25" ht="243" x14ac:dyDescent="0.25">
      <c r="A3" s="323"/>
      <c r="B3" s="323"/>
      <c r="C3" s="352"/>
      <c r="D3" s="352"/>
      <c r="E3" s="118" t="s">
        <v>468</v>
      </c>
      <c r="F3" s="118" t="s">
        <v>469</v>
      </c>
      <c r="G3" s="120">
        <v>48790000</v>
      </c>
      <c r="H3" s="120"/>
      <c r="I3" s="120"/>
      <c r="J3" s="120"/>
      <c r="K3" s="120"/>
      <c r="L3" s="120"/>
      <c r="M3" s="120">
        <f t="shared" si="0"/>
        <v>48790000</v>
      </c>
      <c r="N3" s="328"/>
      <c r="O3" s="123" t="s">
        <v>726</v>
      </c>
      <c r="P3" s="123" t="s">
        <v>262</v>
      </c>
      <c r="Q3" s="123" t="s">
        <v>727</v>
      </c>
      <c r="R3" s="113">
        <v>48780480</v>
      </c>
      <c r="S3" s="168">
        <f>R3/M3</f>
        <v>0.99980487804878049</v>
      </c>
      <c r="T3" s="114">
        <v>369</v>
      </c>
      <c r="U3" s="114" t="s">
        <v>1562</v>
      </c>
      <c r="V3" s="115">
        <v>48127650</v>
      </c>
      <c r="W3" s="114">
        <v>2460</v>
      </c>
      <c r="X3" s="114" t="s">
        <v>1567</v>
      </c>
      <c r="Y3" s="115">
        <v>32087160</v>
      </c>
    </row>
    <row r="4" spans="1:25" ht="152.25" customHeight="1" x14ac:dyDescent="0.25">
      <c r="A4" s="323"/>
      <c r="B4" s="323"/>
      <c r="C4" s="352"/>
      <c r="D4" s="352"/>
      <c r="E4" s="118" t="s">
        <v>470</v>
      </c>
      <c r="F4" s="118" t="s">
        <v>471</v>
      </c>
      <c r="G4" s="120">
        <v>0</v>
      </c>
      <c r="H4" s="120"/>
      <c r="I4" s="120">
        <v>0</v>
      </c>
      <c r="J4" s="120"/>
      <c r="K4" s="120">
        <v>240319191</v>
      </c>
      <c r="L4" s="120"/>
      <c r="M4" s="120">
        <f t="shared" si="0"/>
        <v>240319191</v>
      </c>
      <c r="N4" s="328"/>
      <c r="O4" s="114"/>
      <c r="P4" s="114"/>
      <c r="Q4" s="114"/>
      <c r="R4" s="114"/>
      <c r="S4" s="168">
        <f t="shared" ref="S4:S6" si="1">R4/M4</f>
        <v>0</v>
      </c>
      <c r="T4" s="116"/>
      <c r="U4" s="116"/>
      <c r="V4" s="116"/>
      <c r="W4" s="116"/>
      <c r="X4" s="116"/>
      <c r="Y4" s="116"/>
    </row>
    <row r="5" spans="1:25" ht="144" customHeight="1" x14ac:dyDescent="0.25">
      <c r="A5" s="323"/>
      <c r="B5" s="323"/>
      <c r="C5" s="352"/>
      <c r="D5" s="352"/>
      <c r="E5" s="118" t="s">
        <v>472</v>
      </c>
      <c r="F5" s="118" t="s">
        <v>473</v>
      </c>
      <c r="G5" s="120">
        <v>0</v>
      </c>
      <c r="H5" s="120"/>
      <c r="I5" s="120">
        <v>0</v>
      </c>
      <c r="J5" s="120"/>
      <c r="K5" s="120">
        <v>139307432</v>
      </c>
      <c r="L5" s="120">
        <v>31441319</v>
      </c>
      <c r="M5" s="120">
        <f t="shared" si="0"/>
        <v>170748751</v>
      </c>
      <c r="N5" s="328"/>
      <c r="O5" s="114"/>
      <c r="P5" s="114"/>
      <c r="Q5" s="114"/>
      <c r="R5" s="114"/>
      <c r="S5" s="168">
        <f t="shared" si="1"/>
        <v>0</v>
      </c>
      <c r="T5" s="116"/>
      <c r="U5" s="116"/>
      <c r="V5" s="116"/>
      <c r="W5" s="116"/>
      <c r="X5" s="116"/>
      <c r="Y5" s="116"/>
    </row>
    <row r="6" spans="1:25" ht="108" x14ac:dyDescent="0.25">
      <c r="A6" s="323"/>
      <c r="B6" s="323"/>
      <c r="C6" s="352"/>
      <c r="D6" s="352"/>
      <c r="E6" s="118" t="s">
        <v>474</v>
      </c>
      <c r="F6" s="118" t="s">
        <v>475</v>
      </c>
      <c r="G6" s="120">
        <v>36660000</v>
      </c>
      <c r="H6" s="120"/>
      <c r="I6" s="120"/>
      <c r="J6" s="120"/>
      <c r="K6" s="120"/>
      <c r="L6" s="120"/>
      <c r="M6" s="136">
        <f t="shared" si="0"/>
        <v>36660000</v>
      </c>
      <c r="N6" s="330"/>
      <c r="O6" s="169" t="s">
        <v>1477</v>
      </c>
      <c r="P6" s="169" t="s">
        <v>91</v>
      </c>
      <c r="Q6" s="169" t="s">
        <v>1478</v>
      </c>
      <c r="R6" s="165">
        <v>36660000</v>
      </c>
      <c r="S6" s="170">
        <f t="shared" si="1"/>
        <v>1</v>
      </c>
      <c r="T6" s="99">
        <v>521</v>
      </c>
      <c r="U6" s="99" t="s">
        <v>1595</v>
      </c>
      <c r="V6" s="238">
        <v>36660000</v>
      </c>
      <c r="W6" s="239">
        <v>2944</v>
      </c>
      <c r="X6" s="239" t="s">
        <v>1588</v>
      </c>
      <c r="Y6" s="240">
        <v>24000000</v>
      </c>
    </row>
    <row r="7" spans="1:25" ht="21.75" hidden="1" thickBot="1" x14ac:dyDescent="0.4">
      <c r="L7" s="65" t="s">
        <v>637</v>
      </c>
      <c r="M7" s="65">
        <f>SUM(M2:M6)</f>
        <v>551517942</v>
      </c>
      <c r="N7" s="59"/>
      <c r="O7" s="59"/>
      <c r="P7" s="59"/>
      <c r="Q7" s="59"/>
      <c r="R7" s="60">
        <f>SUM(R2:R6)</f>
        <v>140440480</v>
      </c>
      <c r="S7" s="66">
        <f>R7/M7</f>
        <v>0.2546435379612727</v>
      </c>
      <c r="V7" s="241">
        <f>SUM(V2:V6)</f>
        <v>139787650</v>
      </c>
      <c r="W7" s="235"/>
      <c r="X7" s="235"/>
      <c r="Y7" s="237">
        <f>SUM(Y3:Y6)</f>
        <v>56087160</v>
      </c>
    </row>
    <row r="8" spans="1:25" hidden="1" x14ac:dyDescent="0.25">
      <c r="S8"/>
    </row>
    <row r="9" spans="1:25" hidden="1" x14ac:dyDescent="0.25">
      <c r="S9"/>
    </row>
    <row r="10" spans="1:25" hidden="1" x14ac:dyDescent="0.25">
      <c r="S10"/>
    </row>
    <row r="11" spans="1:25" hidden="1" x14ac:dyDescent="0.25">
      <c r="S11"/>
    </row>
    <row r="12" spans="1:25" hidden="1" x14ac:dyDescent="0.25">
      <c r="S12"/>
    </row>
    <row r="13" spans="1:25" hidden="1" x14ac:dyDescent="0.25">
      <c r="S13"/>
    </row>
    <row r="14" spans="1:25" hidden="1" x14ac:dyDescent="0.25">
      <c r="S14"/>
    </row>
    <row r="15" spans="1:25" hidden="1" x14ac:dyDescent="0.25">
      <c r="S15"/>
    </row>
    <row r="16" spans="1:25" hidden="1" x14ac:dyDescent="0.25">
      <c r="S16"/>
    </row>
    <row r="17" spans="19:19" hidden="1" x14ac:dyDescent="0.25">
      <c r="S17"/>
    </row>
    <row r="18" spans="19:19" hidden="1" x14ac:dyDescent="0.25">
      <c r="S18"/>
    </row>
    <row r="19" spans="19:19" hidden="1" x14ac:dyDescent="0.25">
      <c r="S19"/>
    </row>
    <row r="20" spans="19:19" hidden="1" x14ac:dyDescent="0.25">
      <c r="S20"/>
    </row>
    <row r="21" spans="19:19" hidden="1" x14ac:dyDescent="0.25">
      <c r="S21"/>
    </row>
    <row r="22" spans="19:19" hidden="1" x14ac:dyDescent="0.25">
      <c r="S22"/>
    </row>
    <row r="23" spans="19:19" hidden="1" x14ac:dyDescent="0.25">
      <c r="S23"/>
    </row>
    <row r="24" spans="19:19" hidden="1" x14ac:dyDescent="0.25">
      <c r="S24"/>
    </row>
    <row r="25" spans="19:19" hidden="1" x14ac:dyDescent="0.25">
      <c r="S25"/>
    </row>
    <row r="26" spans="19:19" hidden="1" x14ac:dyDescent="0.25">
      <c r="S26"/>
    </row>
    <row r="27" spans="19:19" hidden="1" x14ac:dyDescent="0.25">
      <c r="S27"/>
    </row>
    <row r="28" spans="19:19" hidden="1" x14ac:dyDescent="0.25">
      <c r="S28"/>
    </row>
    <row r="29" spans="19:19" hidden="1" x14ac:dyDescent="0.25">
      <c r="S29"/>
    </row>
    <row r="30" spans="19:19" hidden="1" x14ac:dyDescent="0.25">
      <c r="S30"/>
    </row>
    <row r="31" spans="19:19" hidden="1" x14ac:dyDescent="0.25">
      <c r="S31"/>
    </row>
    <row r="32" spans="19:19" hidden="1" x14ac:dyDescent="0.25">
      <c r="S32"/>
    </row>
    <row r="33" spans="19:19" hidden="1" x14ac:dyDescent="0.25">
      <c r="S33"/>
    </row>
    <row r="34" spans="19:19" hidden="1" x14ac:dyDescent="0.25">
      <c r="S34"/>
    </row>
    <row r="35" spans="19:19" hidden="1" x14ac:dyDescent="0.25">
      <c r="S35"/>
    </row>
    <row r="36" spans="19:19" hidden="1" x14ac:dyDescent="0.25">
      <c r="S36"/>
    </row>
    <row r="37" spans="19:19" hidden="1" x14ac:dyDescent="0.25">
      <c r="S37"/>
    </row>
    <row r="38" spans="19:19" hidden="1" x14ac:dyDescent="0.25">
      <c r="S38"/>
    </row>
    <row r="39" spans="19:19" hidden="1" x14ac:dyDescent="0.25">
      <c r="S39"/>
    </row>
    <row r="40" spans="19:19" hidden="1" x14ac:dyDescent="0.25">
      <c r="S40"/>
    </row>
    <row r="41" spans="19:19" hidden="1" x14ac:dyDescent="0.25">
      <c r="S41"/>
    </row>
    <row r="42" spans="19:19" hidden="1" x14ac:dyDescent="0.25">
      <c r="S42"/>
    </row>
    <row r="43" spans="19:19" hidden="1" x14ac:dyDescent="0.25">
      <c r="S43"/>
    </row>
    <row r="44" spans="19:19" hidden="1" x14ac:dyDescent="0.25">
      <c r="S44"/>
    </row>
  </sheetData>
  <sheetProtection algorithmName="SHA-512" hashValue="O9xlc2diTyCI6FwATEqWP6vjwbAIYSiwYv+qDK74JYgj5hIzq/H7fi7arcNmBIBt+nml2L8vQieYZOopjmKO4g==" saltValue="5vKYI4x4kmHVQlcBtUDpCQ==" spinCount="100000" sheet="1" objects="1" scenarios="1" formatCells="0" formatColumns="0" formatRows="0"/>
  <mergeCells count="5">
    <mergeCell ref="N2:N6"/>
    <mergeCell ref="A2:A6"/>
    <mergeCell ref="B2:B6"/>
    <mergeCell ref="C2:C6"/>
    <mergeCell ref="D2:D6"/>
  </mergeCells>
  <conditionalFormatting sqref="S45:S1048576 S1:S7">
    <cfRule type="cellIs" dxfId="70" priority="1" operator="between">
      <formula>0.51</formula>
      <formula>0.69</formula>
    </cfRule>
    <cfRule type="cellIs" dxfId="69" priority="2" operator="lessThan">
      <formula>0.5</formula>
    </cfRule>
    <cfRule type="cellIs" dxfId="68" priority="3" operator="greaterThan">
      <formula>0.7</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Y44"/>
  <sheetViews>
    <sheetView zoomScale="60" zoomScaleNormal="60" workbookViewId="0">
      <pane ySplit="1" topLeftCell="A2" activePane="bottomLeft" state="frozen"/>
      <selection pane="bottomLeft"/>
    </sheetView>
  </sheetViews>
  <sheetFormatPr baseColWidth="10" defaultColWidth="0" defaultRowHeight="15" zeroHeight="1" x14ac:dyDescent="0.25"/>
  <cols>
    <col min="1" max="5" width="11.42578125" customWidth="1"/>
    <col min="6" max="6" width="30.42578125" customWidth="1"/>
    <col min="7" max="7" width="15.42578125" bestFit="1" customWidth="1"/>
    <col min="8" max="8" width="14.85546875" bestFit="1" customWidth="1"/>
    <col min="9" max="9" width="19.28515625" bestFit="1" customWidth="1"/>
    <col min="10" max="10" width="15.42578125" bestFit="1" customWidth="1"/>
    <col min="11" max="11" width="11.42578125" customWidth="1"/>
    <col min="12" max="12" width="11.5703125" bestFit="1" customWidth="1"/>
    <col min="13" max="13" width="23.7109375" bestFit="1" customWidth="1"/>
    <col min="14" max="14" width="15.28515625" customWidth="1"/>
    <col min="15" max="15" width="39.5703125" customWidth="1"/>
    <col min="16" max="17" width="11.42578125" customWidth="1"/>
    <col min="18" max="18" width="16.28515625" bestFit="1" customWidth="1"/>
    <col min="19" max="19" width="18.140625" style="38" customWidth="1"/>
    <col min="20" max="20" width="13.28515625" customWidth="1"/>
    <col min="21" max="21" width="11.5703125" customWidth="1"/>
    <col min="22" max="22" width="19.42578125" bestFit="1" customWidth="1"/>
    <col min="23" max="23" width="11.42578125" customWidth="1"/>
    <col min="24" max="24" width="11" bestFit="1" customWidth="1"/>
    <col min="25" max="25" width="19.42578125" bestFit="1" customWidth="1"/>
    <col min="26" max="16384" width="11.42578125" hidden="1"/>
  </cols>
  <sheetData>
    <row r="1" spans="1:25" ht="89.25" x14ac:dyDescent="0.25">
      <c r="A1" s="107" t="s">
        <v>0</v>
      </c>
      <c r="B1" s="107" t="s">
        <v>1</v>
      </c>
      <c r="C1" s="107" t="s">
        <v>2</v>
      </c>
      <c r="D1" s="107" t="s">
        <v>3</v>
      </c>
      <c r="E1" s="107" t="s">
        <v>4</v>
      </c>
      <c r="F1" s="107" t="s">
        <v>5</v>
      </c>
      <c r="G1" s="107" t="s">
        <v>6</v>
      </c>
      <c r="H1" s="107" t="s">
        <v>7</v>
      </c>
      <c r="I1" s="107" t="s">
        <v>8</v>
      </c>
      <c r="J1" s="107" t="s">
        <v>9</v>
      </c>
      <c r="K1" s="107" t="s">
        <v>10</v>
      </c>
      <c r="L1" s="107" t="s">
        <v>11</v>
      </c>
      <c r="M1" s="107" t="s">
        <v>12</v>
      </c>
      <c r="N1" s="107" t="s">
        <v>13</v>
      </c>
      <c r="O1" s="107" t="s">
        <v>636</v>
      </c>
      <c r="P1" s="107" t="s">
        <v>1604</v>
      </c>
      <c r="Q1" s="107" t="s">
        <v>1554</v>
      </c>
      <c r="R1" s="107" t="s">
        <v>722</v>
      </c>
      <c r="S1" s="168" t="s">
        <v>1535</v>
      </c>
      <c r="T1" s="107" t="s">
        <v>1605</v>
      </c>
      <c r="U1" s="107" t="s">
        <v>1606</v>
      </c>
      <c r="V1" s="107" t="s">
        <v>1607</v>
      </c>
      <c r="W1" s="107" t="s">
        <v>633</v>
      </c>
      <c r="X1" s="107" t="s">
        <v>1608</v>
      </c>
      <c r="Y1" s="107" t="s">
        <v>1609</v>
      </c>
    </row>
    <row r="2" spans="1:25" ht="139.5" customHeight="1" x14ac:dyDescent="0.25">
      <c r="A2" s="323" t="s">
        <v>31</v>
      </c>
      <c r="B2" s="327" t="s">
        <v>32</v>
      </c>
      <c r="C2" s="327" t="s">
        <v>33</v>
      </c>
      <c r="D2" s="327" t="s">
        <v>34</v>
      </c>
      <c r="E2" s="327" t="s">
        <v>35</v>
      </c>
      <c r="F2" s="327" t="s">
        <v>36</v>
      </c>
      <c r="G2" s="327">
        <f>250000000</f>
        <v>250000000</v>
      </c>
      <c r="H2" s="327">
        <v>32401108</v>
      </c>
      <c r="I2" s="327"/>
      <c r="J2" s="327">
        <v>405421040</v>
      </c>
      <c r="K2" s="327"/>
      <c r="L2" s="327">
        <v>0</v>
      </c>
      <c r="M2" s="327">
        <f t="shared" ref="M2:M40" si="0">SUM(G2:L2)</f>
        <v>687822148</v>
      </c>
      <c r="N2" s="328">
        <f>SUM(M2:M40)</f>
        <v>737822148</v>
      </c>
      <c r="O2" s="151" t="s">
        <v>997</v>
      </c>
      <c r="P2" s="151" t="s">
        <v>998</v>
      </c>
      <c r="Q2" s="123" t="s">
        <v>999</v>
      </c>
      <c r="R2" s="113">
        <v>17000000</v>
      </c>
      <c r="S2" s="353">
        <f>R38/M2</f>
        <v>0.91990280022212956</v>
      </c>
      <c r="T2" s="267">
        <v>134</v>
      </c>
      <c r="U2" s="267" t="s">
        <v>1596</v>
      </c>
      <c r="V2" s="115">
        <v>17000000</v>
      </c>
      <c r="W2" s="267">
        <v>448</v>
      </c>
      <c r="X2" s="267" t="s">
        <v>1597</v>
      </c>
      <c r="Y2" s="115">
        <v>17000000</v>
      </c>
    </row>
    <row r="3" spans="1:25" ht="139.5" customHeight="1" x14ac:dyDescent="0.25">
      <c r="A3" s="323"/>
      <c r="B3" s="327"/>
      <c r="C3" s="327"/>
      <c r="D3" s="327"/>
      <c r="E3" s="327"/>
      <c r="F3" s="327"/>
      <c r="G3" s="327"/>
      <c r="H3" s="327"/>
      <c r="I3" s="327"/>
      <c r="J3" s="327"/>
      <c r="K3" s="327"/>
      <c r="L3" s="327"/>
      <c r="M3" s="327"/>
      <c r="N3" s="328"/>
      <c r="O3" s="151" t="s">
        <v>1000</v>
      </c>
      <c r="P3" s="151" t="s">
        <v>1001</v>
      </c>
      <c r="Q3" s="123" t="s">
        <v>1002</v>
      </c>
      <c r="R3" s="113">
        <v>18000000</v>
      </c>
      <c r="S3" s="353"/>
      <c r="T3" s="267">
        <v>135</v>
      </c>
      <c r="U3" s="267" t="s">
        <v>1596</v>
      </c>
      <c r="V3" s="115">
        <v>18000000</v>
      </c>
      <c r="W3" s="267">
        <v>450</v>
      </c>
      <c r="X3" s="267" t="s">
        <v>1597</v>
      </c>
      <c r="Y3" s="115">
        <v>18000000</v>
      </c>
    </row>
    <row r="4" spans="1:25" ht="139.5" customHeight="1" x14ac:dyDescent="0.25">
      <c r="A4" s="323"/>
      <c r="B4" s="327"/>
      <c r="C4" s="327"/>
      <c r="D4" s="327"/>
      <c r="E4" s="327"/>
      <c r="F4" s="327"/>
      <c r="G4" s="327"/>
      <c r="H4" s="327"/>
      <c r="I4" s="327"/>
      <c r="J4" s="327"/>
      <c r="K4" s="327"/>
      <c r="L4" s="327"/>
      <c r="M4" s="327"/>
      <c r="N4" s="328"/>
      <c r="O4" s="151" t="s">
        <v>1003</v>
      </c>
      <c r="P4" s="151" t="s">
        <v>1004</v>
      </c>
      <c r="Q4" s="123" t="s">
        <v>1005</v>
      </c>
      <c r="R4" s="113">
        <v>19500000</v>
      </c>
      <c r="S4" s="353"/>
      <c r="T4" s="267">
        <v>131</v>
      </c>
      <c r="U4" s="267" t="s">
        <v>1596</v>
      </c>
      <c r="V4" s="115">
        <v>19500000</v>
      </c>
      <c r="W4" s="267">
        <v>447</v>
      </c>
      <c r="X4" s="267" t="s">
        <v>1597</v>
      </c>
      <c r="Y4" s="115">
        <v>19500000</v>
      </c>
    </row>
    <row r="5" spans="1:25" ht="139.5" customHeight="1" x14ac:dyDescent="0.25">
      <c r="A5" s="323"/>
      <c r="B5" s="327"/>
      <c r="C5" s="327"/>
      <c r="D5" s="327"/>
      <c r="E5" s="327"/>
      <c r="F5" s="327"/>
      <c r="G5" s="327"/>
      <c r="H5" s="327"/>
      <c r="I5" s="327"/>
      <c r="J5" s="327"/>
      <c r="K5" s="327"/>
      <c r="L5" s="327"/>
      <c r="M5" s="327"/>
      <c r="N5" s="328"/>
      <c r="O5" s="151" t="s">
        <v>1006</v>
      </c>
      <c r="P5" s="151" t="s">
        <v>1007</v>
      </c>
      <c r="Q5" s="123" t="s">
        <v>1008</v>
      </c>
      <c r="R5" s="113">
        <v>18510000</v>
      </c>
      <c r="S5" s="353"/>
      <c r="T5" s="267">
        <v>129</v>
      </c>
      <c r="U5" s="267" t="s">
        <v>1596</v>
      </c>
      <c r="V5" s="115">
        <v>18510000</v>
      </c>
      <c r="W5" s="267">
        <v>368</v>
      </c>
      <c r="X5" s="267" t="s">
        <v>1557</v>
      </c>
      <c r="Y5" s="115">
        <v>18510000</v>
      </c>
    </row>
    <row r="6" spans="1:25" ht="139.5" customHeight="1" x14ac:dyDescent="0.25">
      <c r="A6" s="323"/>
      <c r="B6" s="327"/>
      <c r="C6" s="327"/>
      <c r="D6" s="327"/>
      <c r="E6" s="327"/>
      <c r="F6" s="327"/>
      <c r="G6" s="327"/>
      <c r="H6" s="327"/>
      <c r="I6" s="327"/>
      <c r="J6" s="327"/>
      <c r="K6" s="327"/>
      <c r="L6" s="327"/>
      <c r="M6" s="327"/>
      <c r="N6" s="328"/>
      <c r="O6" s="151" t="s">
        <v>1009</v>
      </c>
      <c r="P6" s="151" t="s">
        <v>1010</v>
      </c>
      <c r="Q6" s="123" t="s">
        <v>1011</v>
      </c>
      <c r="R6" s="113">
        <v>16000000</v>
      </c>
      <c r="S6" s="353"/>
      <c r="T6" s="267">
        <v>127</v>
      </c>
      <c r="U6" s="267" t="s">
        <v>1596</v>
      </c>
      <c r="V6" s="115">
        <v>16000000</v>
      </c>
      <c r="W6" s="267">
        <v>17</v>
      </c>
      <c r="X6" s="267" t="s">
        <v>1561</v>
      </c>
      <c r="Y6" s="115">
        <v>16000000</v>
      </c>
    </row>
    <row r="7" spans="1:25" ht="139.5" customHeight="1" x14ac:dyDescent="0.25">
      <c r="A7" s="323"/>
      <c r="B7" s="327"/>
      <c r="C7" s="327"/>
      <c r="D7" s="327"/>
      <c r="E7" s="327"/>
      <c r="F7" s="327"/>
      <c r="G7" s="327"/>
      <c r="H7" s="327"/>
      <c r="I7" s="327"/>
      <c r="J7" s="327"/>
      <c r="K7" s="327"/>
      <c r="L7" s="327"/>
      <c r="M7" s="327"/>
      <c r="N7" s="328"/>
      <c r="O7" s="151" t="s">
        <v>1012</v>
      </c>
      <c r="P7" s="151" t="s">
        <v>1013</v>
      </c>
      <c r="Q7" s="123" t="s">
        <v>1014</v>
      </c>
      <c r="R7" s="113">
        <v>16000000</v>
      </c>
      <c r="S7" s="353"/>
      <c r="T7" s="267">
        <v>128</v>
      </c>
      <c r="U7" s="267" t="s">
        <v>1596</v>
      </c>
      <c r="V7" s="115">
        <v>16000000</v>
      </c>
      <c r="W7" s="267">
        <v>271</v>
      </c>
      <c r="X7" s="267" t="s">
        <v>1561</v>
      </c>
      <c r="Y7" s="115">
        <v>16000000</v>
      </c>
    </row>
    <row r="8" spans="1:25" ht="139.5" customHeight="1" x14ac:dyDescent="0.25">
      <c r="A8" s="323"/>
      <c r="B8" s="327"/>
      <c r="C8" s="327"/>
      <c r="D8" s="327"/>
      <c r="E8" s="327"/>
      <c r="F8" s="327"/>
      <c r="G8" s="327"/>
      <c r="H8" s="327"/>
      <c r="I8" s="327"/>
      <c r="J8" s="327"/>
      <c r="K8" s="327"/>
      <c r="L8" s="327"/>
      <c r="M8" s="327"/>
      <c r="N8" s="328"/>
      <c r="O8" s="151" t="s">
        <v>1015</v>
      </c>
      <c r="P8" s="151" t="s">
        <v>1016</v>
      </c>
      <c r="Q8" s="123" t="s">
        <v>1017</v>
      </c>
      <c r="R8" s="113">
        <v>23500000</v>
      </c>
      <c r="S8" s="353"/>
      <c r="T8" s="267">
        <v>130</v>
      </c>
      <c r="U8" s="267" t="s">
        <v>1596</v>
      </c>
      <c r="V8" s="115">
        <v>23500000</v>
      </c>
      <c r="W8" s="267">
        <v>367</v>
      </c>
      <c r="X8" s="267" t="s">
        <v>1557</v>
      </c>
      <c r="Y8" s="115">
        <v>23500000</v>
      </c>
    </row>
    <row r="9" spans="1:25" ht="139.5" customHeight="1" x14ac:dyDescent="0.25">
      <c r="A9" s="323"/>
      <c r="B9" s="327"/>
      <c r="C9" s="327"/>
      <c r="D9" s="327"/>
      <c r="E9" s="327"/>
      <c r="F9" s="327"/>
      <c r="G9" s="327"/>
      <c r="H9" s="327"/>
      <c r="I9" s="327"/>
      <c r="J9" s="327"/>
      <c r="K9" s="327"/>
      <c r="L9" s="327"/>
      <c r="M9" s="327"/>
      <c r="N9" s="328"/>
      <c r="O9" s="151" t="s">
        <v>1018</v>
      </c>
      <c r="P9" s="151" t="s">
        <v>1019</v>
      </c>
      <c r="Q9" s="123" t="s">
        <v>1020</v>
      </c>
      <c r="R9" s="113">
        <v>13710000</v>
      </c>
      <c r="S9" s="353"/>
      <c r="T9" s="267">
        <v>133</v>
      </c>
      <c r="U9" s="267" t="s">
        <v>1596</v>
      </c>
      <c r="V9" s="115">
        <v>13710000</v>
      </c>
      <c r="W9" s="267">
        <v>366</v>
      </c>
      <c r="X9" s="267" t="s">
        <v>1557</v>
      </c>
      <c r="Y9" s="115">
        <v>13710000</v>
      </c>
    </row>
    <row r="10" spans="1:25" ht="139.5" customHeight="1" x14ac:dyDescent="0.25">
      <c r="A10" s="323"/>
      <c r="B10" s="327"/>
      <c r="C10" s="327"/>
      <c r="D10" s="327"/>
      <c r="E10" s="327"/>
      <c r="F10" s="327"/>
      <c r="G10" s="327"/>
      <c r="H10" s="327"/>
      <c r="I10" s="327"/>
      <c r="J10" s="327"/>
      <c r="K10" s="327"/>
      <c r="L10" s="327"/>
      <c r="M10" s="327"/>
      <c r="N10" s="328"/>
      <c r="O10" s="151" t="s">
        <v>1021</v>
      </c>
      <c r="P10" s="151" t="s">
        <v>1022</v>
      </c>
      <c r="Q10" s="123" t="s">
        <v>1023</v>
      </c>
      <c r="R10" s="113">
        <v>13700000</v>
      </c>
      <c r="S10" s="353"/>
      <c r="T10" s="267">
        <v>132</v>
      </c>
      <c r="U10" s="267" t="s">
        <v>1596</v>
      </c>
      <c r="V10" s="115">
        <v>13700000</v>
      </c>
      <c r="W10" s="267">
        <v>369</v>
      </c>
      <c r="X10" s="267" t="s">
        <v>1557</v>
      </c>
      <c r="Y10" s="115">
        <v>13700000</v>
      </c>
    </row>
    <row r="11" spans="1:25" ht="139.5" customHeight="1" x14ac:dyDescent="0.25">
      <c r="A11" s="323"/>
      <c r="B11" s="327"/>
      <c r="C11" s="327"/>
      <c r="D11" s="327"/>
      <c r="E11" s="327"/>
      <c r="F11" s="327"/>
      <c r="G11" s="327"/>
      <c r="H11" s="327"/>
      <c r="I11" s="327"/>
      <c r="J11" s="327"/>
      <c r="K11" s="327"/>
      <c r="L11" s="327"/>
      <c r="M11" s="327"/>
      <c r="N11" s="328"/>
      <c r="O11" s="151" t="s">
        <v>1024</v>
      </c>
      <c r="P11" s="151" t="s">
        <v>1025</v>
      </c>
      <c r="Q11" s="123" t="s">
        <v>1026</v>
      </c>
      <c r="R11" s="113">
        <v>18170520</v>
      </c>
      <c r="S11" s="353"/>
      <c r="T11" s="267">
        <v>271</v>
      </c>
      <c r="U11" s="267" t="s">
        <v>1598</v>
      </c>
      <c r="V11" s="115">
        <v>18170520</v>
      </c>
      <c r="W11" s="267">
        <v>693</v>
      </c>
      <c r="X11" s="267" t="s">
        <v>1599</v>
      </c>
      <c r="Y11" s="115">
        <v>18170520</v>
      </c>
    </row>
    <row r="12" spans="1:25" ht="139.5" customHeight="1" x14ac:dyDescent="0.25">
      <c r="A12" s="323"/>
      <c r="B12" s="327"/>
      <c r="C12" s="327"/>
      <c r="D12" s="327"/>
      <c r="E12" s="327"/>
      <c r="F12" s="327"/>
      <c r="G12" s="327"/>
      <c r="H12" s="327"/>
      <c r="I12" s="327"/>
      <c r="J12" s="327"/>
      <c r="K12" s="327"/>
      <c r="L12" s="327"/>
      <c r="M12" s="327"/>
      <c r="N12" s="328"/>
      <c r="O12" s="151" t="s">
        <v>1027</v>
      </c>
      <c r="P12" s="151" t="s">
        <v>1028</v>
      </c>
      <c r="Q12" s="123" t="s">
        <v>1029</v>
      </c>
      <c r="R12" s="113">
        <v>17425000</v>
      </c>
      <c r="S12" s="353"/>
      <c r="T12" s="267">
        <v>303</v>
      </c>
      <c r="U12" s="267" t="s">
        <v>1600</v>
      </c>
      <c r="V12" s="115">
        <v>17425000</v>
      </c>
      <c r="W12" s="267">
        <v>84</v>
      </c>
      <c r="X12" s="267" t="s">
        <v>1601</v>
      </c>
      <c r="Y12" s="115">
        <v>17425000</v>
      </c>
    </row>
    <row r="13" spans="1:25" ht="139.5" customHeight="1" x14ac:dyDescent="0.25">
      <c r="A13" s="323"/>
      <c r="B13" s="327"/>
      <c r="C13" s="327"/>
      <c r="D13" s="327"/>
      <c r="E13" s="327"/>
      <c r="F13" s="327"/>
      <c r="G13" s="327"/>
      <c r="H13" s="327"/>
      <c r="I13" s="327"/>
      <c r="J13" s="327"/>
      <c r="K13" s="327"/>
      <c r="L13" s="327"/>
      <c r="M13" s="327"/>
      <c r="N13" s="328"/>
      <c r="O13" s="151" t="s">
        <v>1030</v>
      </c>
      <c r="P13" s="151" t="s">
        <v>1031</v>
      </c>
      <c r="Q13" s="123" t="s">
        <v>1032</v>
      </c>
      <c r="R13" s="113">
        <v>17425000</v>
      </c>
      <c r="S13" s="353"/>
      <c r="T13" s="267">
        <v>301</v>
      </c>
      <c r="U13" s="267" t="s">
        <v>1600</v>
      </c>
      <c r="V13" s="115">
        <v>17425000</v>
      </c>
      <c r="W13" s="267">
        <v>83</v>
      </c>
      <c r="X13" s="267" t="s">
        <v>1601</v>
      </c>
      <c r="Y13" s="115">
        <v>17425000</v>
      </c>
    </row>
    <row r="14" spans="1:25" ht="139.5" customHeight="1" x14ac:dyDescent="0.25">
      <c r="A14" s="323"/>
      <c r="B14" s="327"/>
      <c r="C14" s="327"/>
      <c r="D14" s="327"/>
      <c r="E14" s="327"/>
      <c r="F14" s="327"/>
      <c r="G14" s="327"/>
      <c r="H14" s="327"/>
      <c r="I14" s="327"/>
      <c r="J14" s="327"/>
      <c r="K14" s="327"/>
      <c r="L14" s="327"/>
      <c r="M14" s="327"/>
      <c r="N14" s="328"/>
      <c r="O14" s="151" t="s">
        <v>1033</v>
      </c>
      <c r="P14" s="151" t="s">
        <v>1034</v>
      </c>
      <c r="Q14" s="123" t="s">
        <v>1035</v>
      </c>
      <c r="R14" s="113">
        <v>15170000</v>
      </c>
      <c r="S14" s="353"/>
      <c r="T14" s="267">
        <v>302</v>
      </c>
      <c r="U14" s="267" t="s">
        <v>1600</v>
      </c>
      <c r="V14" s="115">
        <v>15170000</v>
      </c>
      <c r="W14" s="267">
        <v>82</v>
      </c>
      <c r="X14" s="267" t="s">
        <v>1601</v>
      </c>
      <c r="Y14" s="115">
        <v>15170000</v>
      </c>
    </row>
    <row r="15" spans="1:25" ht="139.5" customHeight="1" x14ac:dyDescent="0.25">
      <c r="A15" s="323"/>
      <c r="B15" s="327"/>
      <c r="C15" s="327"/>
      <c r="D15" s="327"/>
      <c r="E15" s="327"/>
      <c r="F15" s="327"/>
      <c r="G15" s="327"/>
      <c r="H15" s="327"/>
      <c r="I15" s="327"/>
      <c r="J15" s="327"/>
      <c r="K15" s="327"/>
      <c r="L15" s="327"/>
      <c r="M15" s="327"/>
      <c r="N15" s="328"/>
      <c r="O15" s="151" t="s">
        <v>1036</v>
      </c>
      <c r="P15" s="151" t="s">
        <v>1037</v>
      </c>
      <c r="Q15" s="123" t="s">
        <v>1038</v>
      </c>
      <c r="R15" s="113">
        <v>15375000</v>
      </c>
      <c r="S15" s="353"/>
      <c r="T15" s="267">
        <v>299</v>
      </c>
      <c r="U15" s="267" t="s">
        <v>1600</v>
      </c>
      <c r="V15" s="115">
        <v>15375000</v>
      </c>
      <c r="W15" s="267">
        <v>85</v>
      </c>
      <c r="X15" s="267" t="s">
        <v>1601</v>
      </c>
      <c r="Y15" s="115">
        <v>15375000</v>
      </c>
    </row>
    <row r="16" spans="1:25" ht="139.5" customHeight="1" x14ac:dyDescent="0.25">
      <c r="A16" s="323"/>
      <c r="B16" s="327"/>
      <c r="C16" s="327"/>
      <c r="D16" s="327"/>
      <c r="E16" s="327"/>
      <c r="F16" s="327"/>
      <c r="G16" s="327"/>
      <c r="H16" s="327"/>
      <c r="I16" s="327"/>
      <c r="J16" s="327"/>
      <c r="K16" s="327"/>
      <c r="L16" s="327"/>
      <c r="M16" s="327"/>
      <c r="N16" s="328"/>
      <c r="O16" s="151" t="s">
        <v>1039</v>
      </c>
      <c r="P16" s="151" t="s">
        <v>1040</v>
      </c>
      <c r="Q16" s="123" t="s">
        <v>1041</v>
      </c>
      <c r="R16" s="113">
        <v>10500000</v>
      </c>
      <c r="S16" s="353"/>
      <c r="T16" s="267">
        <v>300</v>
      </c>
      <c r="U16" s="267" t="s">
        <v>1600</v>
      </c>
      <c r="V16" s="115">
        <v>10500000</v>
      </c>
      <c r="W16" s="267">
        <v>1381</v>
      </c>
      <c r="X16" s="267" t="s">
        <v>1602</v>
      </c>
      <c r="Y16" s="115">
        <v>10500000</v>
      </c>
    </row>
    <row r="17" spans="1:25" ht="139.5" customHeight="1" x14ac:dyDescent="0.25">
      <c r="A17" s="323"/>
      <c r="B17" s="327"/>
      <c r="C17" s="327"/>
      <c r="D17" s="327"/>
      <c r="E17" s="327"/>
      <c r="F17" s="327"/>
      <c r="G17" s="327"/>
      <c r="H17" s="327"/>
      <c r="I17" s="327"/>
      <c r="J17" s="327"/>
      <c r="K17" s="327"/>
      <c r="L17" s="327"/>
      <c r="M17" s="327"/>
      <c r="N17" s="328"/>
      <c r="O17" s="151" t="s">
        <v>1042</v>
      </c>
      <c r="P17" s="151" t="s">
        <v>1043</v>
      </c>
      <c r="Q17" s="123" t="s">
        <v>1044</v>
      </c>
      <c r="R17" s="113">
        <v>12060000</v>
      </c>
      <c r="S17" s="353"/>
      <c r="T17" s="267">
        <v>385</v>
      </c>
      <c r="U17" s="267" t="s">
        <v>1572</v>
      </c>
      <c r="V17" s="115">
        <v>12060000</v>
      </c>
      <c r="W17" s="267">
        <v>1418</v>
      </c>
      <c r="X17" s="267" t="s">
        <v>1603</v>
      </c>
      <c r="Y17" s="115">
        <v>12060000</v>
      </c>
    </row>
    <row r="18" spans="1:25" ht="139.5" customHeight="1" x14ac:dyDescent="0.25">
      <c r="A18" s="323"/>
      <c r="B18" s="327"/>
      <c r="C18" s="327"/>
      <c r="D18" s="327"/>
      <c r="E18" s="327"/>
      <c r="F18" s="327"/>
      <c r="G18" s="327"/>
      <c r="H18" s="327"/>
      <c r="I18" s="327"/>
      <c r="J18" s="327"/>
      <c r="K18" s="327"/>
      <c r="L18" s="327"/>
      <c r="M18" s="327"/>
      <c r="N18" s="328"/>
      <c r="O18" s="151" t="s">
        <v>1045</v>
      </c>
      <c r="P18" s="151" t="s">
        <v>327</v>
      </c>
      <c r="Q18" s="123" t="s">
        <v>1046</v>
      </c>
      <c r="R18" s="113">
        <v>14400000</v>
      </c>
      <c r="S18" s="353"/>
      <c r="T18" s="267">
        <v>381</v>
      </c>
      <c r="U18" s="267" t="s">
        <v>1572</v>
      </c>
      <c r="V18" s="115">
        <v>14400000</v>
      </c>
      <c r="W18" s="267">
        <v>1421</v>
      </c>
      <c r="X18" s="267" t="s">
        <v>1590</v>
      </c>
      <c r="Y18" s="115">
        <v>14400000</v>
      </c>
    </row>
    <row r="19" spans="1:25" ht="139.5" customHeight="1" x14ac:dyDescent="0.25">
      <c r="A19" s="323"/>
      <c r="B19" s="327"/>
      <c r="C19" s="327"/>
      <c r="D19" s="327"/>
      <c r="E19" s="327"/>
      <c r="F19" s="327"/>
      <c r="G19" s="327"/>
      <c r="H19" s="327"/>
      <c r="I19" s="327"/>
      <c r="J19" s="327"/>
      <c r="K19" s="327"/>
      <c r="L19" s="327"/>
      <c r="M19" s="327"/>
      <c r="N19" s="328"/>
      <c r="O19" s="151" t="s">
        <v>1047</v>
      </c>
      <c r="P19" s="151" t="s">
        <v>1048</v>
      </c>
      <c r="Q19" s="123" t="s">
        <v>1049</v>
      </c>
      <c r="R19" s="113">
        <v>3384000</v>
      </c>
      <c r="S19" s="353"/>
      <c r="T19" s="267">
        <v>646</v>
      </c>
      <c r="U19" s="267" t="s">
        <v>1581</v>
      </c>
      <c r="V19" s="115">
        <v>3384000</v>
      </c>
      <c r="W19" s="116">
        <v>2340</v>
      </c>
      <c r="X19" s="116" t="s">
        <v>1592</v>
      </c>
      <c r="Y19" s="117">
        <v>3384000</v>
      </c>
    </row>
    <row r="20" spans="1:25" ht="139.5" customHeight="1" x14ac:dyDescent="0.25">
      <c r="A20" s="323"/>
      <c r="B20" s="327"/>
      <c r="C20" s="327"/>
      <c r="D20" s="327"/>
      <c r="E20" s="327"/>
      <c r="F20" s="327"/>
      <c r="G20" s="327"/>
      <c r="H20" s="327"/>
      <c r="I20" s="327"/>
      <c r="J20" s="327"/>
      <c r="K20" s="327"/>
      <c r="L20" s="327"/>
      <c r="M20" s="327"/>
      <c r="N20" s="328"/>
      <c r="O20" s="151" t="s">
        <v>1050</v>
      </c>
      <c r="P20" s="151" t="s">
        <v>1051</v>
      </c>
      <c r="Q20" s="123" t="s">
        <v>1052</v>
      </c>
      <c r="R20" s="113">
        <v>3734000</v>
      </c>
      <c r="S20" s="353"/>
      <c r="T20" s="113"/>
      <c r="U20" s="116"/>
      <c r="V20" s="116"/>
      <c r="W20" s="116"/>
      <c r="X20" s="116"/>
      <c r="Y20" s="116"/>
    </row>
    <row r="21" spans="1:25" ht="139.5" customHeight="1" x14ac:dyDescent="0.25">
      <c r="A21" s="323"/>
      <c r="B21" s="327"/>
      <c r="C21" s="327"/>
      <c r="D21" s="327"/>
      <c r="E21" s="327"/>
      <c r="F21" s="327"/>
      <c r="G21" s="327"/>
      <c r="H21" s="327"/>
      <c r="I21" s="327"/>
      <c r="J21" s="327"/>
      <c r="K21" s="327"/>
      <c r="L21" s="327"/>
      <c r="M21" s="327"/>
      <c r="N21" s="328"/>
      <c r="O21" s="151" t="s">
        <v>1053</v>
      </c>
      <c r="P21" s="151" t="s">
        <v>1054</v>
      </c>
      <c r="Q21" s="123" t="s">
        <v>1055</v>
      </c>
      <c r="R21" s="113">
        <v>21734000</v>
      </c>
      <c r="S21" s="353"/>
      <c r="T21" s="267">
        <v>773</v>
      </c>
      <c r="U21" s="267" t="s">
        <v>1584</v>
      </c>
      <c r="V21" s="115">
        <v>21734000</v>
      </c>
      <c r="W21" s="116">
        <v>2876</v>
      </c>
      <c r="X21" s="116" t="s">
        <v>1571</v>
      </c>
      <c r="Y21" s="117">
        <v>21734000</v>
      </c>
    </row>
    <row r="22" spans="1:25" ht="139.5" customHeight="1" x14ac:dyDescent="0.25">
      <c r="A22" s="323"/>
      <c r="B22" s="327"/>
      <c r="C22" s="327"/>
      <c r="D22" s="327"/>
      <c r="E22" s="327"/>
      <c r="F22" s="327"/>
      <c r="G22" s="327"/>
      <c r="H22" s="327"/>
      <c r="I22" s="327"/>
      <c r="J22" s="327"/>
      <c r="K22" s="327"/>
      <c r="L22" s="327"/>
      <c r="M22" s="327"/>
      <c r="N22" s="328"/>
      <c r="O22" s="151" t="s">
        <v>1056</v>
      </c>
      <c r="P22" s="151" t="s">
        <v>1057</v>
      </c>
      <c r="Q22" s="123" t="s">
        <v>1058</v>
      </c>
      <c r="R22" s="113">
        <v>21600000</v>
      </c>
      <c r="S22" s="353"/>
      <c r="T22" s="267">
        <v>759</v>
      </c>
      <c r="U22" s="267" t="s">
        <v>1584</v>
      </c>
      <c r="V22" s="115">
        <v>21600000</v>
      </c>
      <c r="W22" s="116">
        <v>2646</v>
      </c>
      <c r="X22" s="116" t="s">
        <v>1594</v>
      </c>
      <c r="Y22" s="117">
        <v>21600000</v>
      </c>
    </row>
    <row r="23" spans="1:25" ht="139.5" customHeight="1" x14ac:dyDescent="0.25">
      <c r="A23" s="323"/>
      <c r="B23" s="327"/>
      <c r="C23" s="327"/>
      <c r="D23" s="327"/>
      <c r="E23" s="327"/>
      <c r="F23" s="327"/>
      <c r="G23" s="327"/>
      <c r="H23" s="327"/>
      <c r="I23" s="327"/>
      <c r="J23" s="327"/>
      <c r="K23" s="327"/>
      <c r="L23" s="327"/>
      <c r="M23" s="327"/>
      <c r="N23" s="328"/>
      <c r="O23" s="151" t="s">
        <v>1059</v>
      </c>
      <c r="P23" s="151" t="s">
        <v>1060</v>
      </c>
      <c r="Q23" s="123" t="s">
        <v>1061</v>
      </c>
      <c r="R23" s="113">
        <v>25266000</v>
      </c>
      <c r="S23" s="353"/>
      <c r="T23" s="267">
        <v>758</v>
      </c>
      <c r="U23" s="267" t="s">
        <v>1584</v>
      </c>
      <c r="V23" s="115">
        <v>25266000</v>
      </c>
      <c r="W23" s="116">
        <v>2641</v>
      </c>
      <c r="X23" s="116" t="s">
        <v>1594</v>
      </c>
      <c r="Y23" s="117">
        <v>25266000</v>
      </c>
    </row>
    <row r="24" spans="1:25" ht="139.5" customHeight="1" x14ac:dyDescent="0.25">
      <c r="A24" s="323"/>
      <c r="B24" s="327"/>
      <c r="C24" s="327"/>
      <c r="D24" s="327"/>
      <c r="E24" s="327"/>
      <c r="F24" s="327"/>
      <c r="G24" s="327"/>
      <c r="H24" s="327"/>
      <c r="I24" s="327"/>
      <c r="J24" s="327"/>
      <c r="K24" s="327"/>
      <c r="L24" s="327"/>
      <c r="M24" s="327"/>
      <c r="N24" s="328"/>
      <c r="O24" s="151" t="s">
        <v>1062</v>
      </c>
      <c r="P24" s="151" t="s">
        <v>1063</v>
      </c>
      <c r="Q24" s="123" t="s">
        <v>1064</v>
      </c>
      <c r="R24" s="113">
        <v>18360000</v>
      </c>
      <c r="S24" s="353"/>
      <c r="T24" s="267">
        <v>751</v>
      </c>
      <c r="U24" s="267" t="s">
        <v>1589</v>
      </c>
      <c r="V24" s="115">
        <v>18360000</v>
      </c>
      <c r="W24" s="116">
        <v>2649</v>
      </c>
      <c r="X24" s="116" t="s">
        <v>1594</v>
      </c>
      <c r="Y24" s="117">
        <v>18360000</v>
      </c>
    </row>
    <row r="25" spans="1:25" ht="139.5" customHeight="1" x14ac:dyDescent="0.25">
      <c r="A25" s="323"/>
      <c r="B25" s="327"/>
      <c r="C25" s="327"/>
      <c r="D25" s="327"/>
      <c r="E25" s="327"/>
      <c r="F25" s="327"/>
      <c r="G25" s="327"/>
      <c r="H25" s="327"/>
      <c r="I25" s="327"/>
      <c r="J25" s="327"/>
      <c r="K25" s="327"/>
      <c r="L25" s="327"/>
      <c r="M25" s="327"/>
      <c r="N25" s="328"/>
      <c r="O25" s="151" t="s">
        <v>1065</v>
      </c>
      <c r="P25" s="151" t="s">
        <v>1066</v>
      </c>
      <c r="Q25" s="123" t="s">
        <v>1067</v>
      </c>
      <c r="R25" s="113">
        <v>19832000</v>
      </c>
      <c r="S25" s="353"/>
      <c r="T25" s="267">
        <v>826</v>
      </c>
      <c r="U25" s="267" t="s">
        <v>1570</v>
      </c>
      <c r="V25" s="115">
        <v>19832000</v>
      </c>
      <c r="W25" s="116">
        <v>2931</v>
      </c>
      <c r="X25" s="116" t="s">
        <v>1571</v>
      </c>
      <c r="Y25" s="117">
        <v>19832000</v>
      </c>
    </row>
    <row r="26" spans="1:25" ht="139.5" customHeight="1" x14ac:dyDescent="0.25">
      <c r="A26" s="323"/>
      <c r="B26" s="327"/>
      <c r="C26" s="327"/>
      <c r="D26" s="327"/>
      <c r="E26" s="327"/>
      <c r="F26" s="327"/>
      <c r="G26" s="327"/>
      <c r="H26" s="327"/>
      <c r="I26" s="327"/>
      <c r="J26" s="327"/>
      <c r="K26" s="327"/>
      <c r="L26" s="327"/>
      <c r="M26" s="327"/>
      <c r="N26" s="328"/>
      <c r="O26" s="151" t="s">
        <v>1068</v>
      </c>
      <c r="P26" s="151" t="s">
        <v>1069</v>
      </c>
      <c r="Q26" s="123" t="s">
        <v>1070</v>
      </c>
      <c r="R26" s="113">
        <v>16700000</v>
      </c>
      <c r="S26" s="353"/>
      <c r="T26" s="267">
        <v>838</v>
      </c>
      <c r="U26" s="267" t="s">
        <v>1570</v>
      </c>
      <c r="V26" s="115">
        <v>16700000</v>
      </c>
      <c r="W26" s="116">
        <v>2871</v>
      </c>
      <c r="X26" s="116" t="s">
        <v>1571</v>
      </c>
      <c r="Y26" s="117">
        <v>16700000</v>
      </c>
    </row>
    <row r="27" spans="1:25" ht="139.5" customHeight="1" x14ac:dyDescent="0.25">
      <c r="A27" s="323"/>
      <c r="B27" s="327"/>
      <c r="C27" s="327"/>
      <c r="D27" s="327"/>
      <c r="E27" s="327"/>
      <c r="F27" s="327"/>
      <c r="G27" s="327"/>
      <c r="H27" s="327"/>
      <c r="I27" s="327"/>
      <c r="J27" s="327"/>
      <c r="K27" s="327"/>
      <c r="L27" s="327"/>
      <c r="M27" s="327"/>
      <c r="N27" s="328"/>
      <c r="O27" s="151" t="s">
        <v>1071</v>
      </c>
      <c r="P27" s="151" t="s">
        <v>1072</v>
      </c>
      <c r="Q27" s="123" t="s">
        <v>1073</v>
      </c>
      <c r="R27" s="113">
        <v>25920000</v>
      </c>
      <c r="S27" s="353"/>
      <c r="T27" s="267">
        <v>846</v>
      </c>
      <c r="U27" s="267" t="s">
        <v>1570</v>
      </c>
      <c r="V27" s="115">
        <v>25920000</v>
      </c>
      <c r="W27" s="116">
        <v>2951</v>
      </c>
      <c r="X27" s="116" t="s">
        <v>1588</v>
      </c>
      <c r="Y27" s="117">
        <v>25920000</v>
      </c>
    </row>
    <row r="28" spans="1:25" ht="139.5" customHeight="1" x14ac:dyDescent="0.25">
      <c r="A28" s="323"/>
      <c r="B28" s="327"/>
      <c r="C28" s="327"/>
      <c r="D28" s="327"/>
      <c r="E28" s="327"/>
      <c r="F28" s="327"/>
      <c r="G28" s="327"/>
      <c r="H28" s="327"/>
      <c r="I28" s="327"/>
      <c r="J28" s="327"/>
      <c r="K28" s="327"/>
      <c r="L28" s="327"/>
      <c r="M28" s="327"/>
      <c r="N28" s="328"/>
      <c r="O28" s="151" t="s">
        <v>1074</v>
      </c>
      <c r="P28" s="151" t="s">
        <v>1075</v>
      </c>
      <c r="Q28" s="123" t="s">
        <v>1076</v>
      </c>
      <c r="R28" s="113">
        <v>20350000</v>
      </c>
      <c r="S28" s="353"/>
      <c r="T28" s="267">
        <v>840</v>
      </c>
      <c r="U28" s="267" t="s">
        <v>1570</v>
      </c>
      <c r="V28" s="115">
        <v>20350000</v>
      </c>
      <c r="W28" s="116">
        <v>2913</v>
      </c>
      <c r="X28" s="116" t="s">
        <v>1571</v>
      </c>
      <c r="Y28" s="117">
        <v>20350000</v>
      </c>
    </row>
    <row r="29" spans="1:25" ht="139.5" customHeight="1" x14ac:dyDescent="0.25">
      <c r="A29" s="323"/>
      <c r="B29" s="327"/>
      <c r="C29" s="327"/>
      <c r="D29" s="327"/>
      <c r="E29" s="327"/>
      <c r="F29" s="327"/>
      <c r="G29" s="327"/>
      <c r="H29" s="327"/>
      <c r="I29" s="327"/>
      <c r="J29" s="327"/>
      <c r="K29" s="327"/>
      <c r="L29" s="327"/>
      <c r="M29" s="327"/>
      <c r="N29" s="328"/>
      <c r="O29" s="151" t="s">
        <v>1077</v>
      </c>
      <c r="P29" s="151" t="s">
        <v>1078</v>
      </c>
      <c r="Q29" s="123" t="s">
        <v>1079</v>
      </c>
      <c r="R29" s="113">
        <v>19440000</v>
      </c>
      <c r="S29" s="353"/>
      <c r="T29" s="267">
        <v>847</v>
      </c>
      <c r="U29" s="267" t="s">
        <v>1570</v>
      </c>
      <c r="V29" s="115">
        <v>19440000</v>
      </c>
      <c r="W29" s="116">
        <v>2950</v>
      </c>
      <c r="X29" s="116" t="s">
        <v>1588</v>
      </c>
      <c r="Y29" s="117">
        <v>19440000</v>
      </c>
    </row>
    <row r="30" spans="1:25" ht="139.5" customHeight="1" x14ac:dyDescent="0.25">
      <c r="A30" s="323"/>
      <c r="B30" s="327"/>
      <c r="C30" s="327"/>
      <c r="D30" s="327"/>
      <c r="E30" s="327"/>
      <c r="F30" s="327"/>
      <c r="G30" s="327"/>
      <c r="H30" s="327"/>
      <c r="I30" s="327"/>
      <c r="J30" s="327"/>
      <c r="K30" s="327"/>
      <c r="L30" s="327"/>
      <c r="M30" s="327"/>
      <c r="N30" s="328"/>
      <c r="O30" s="151" t="s">
        <v>1080</v>
      </c>
      <c r="P30" s="151" t="s">
        <v>1081</v>
      </c>
      <c r="Q30" s="123" t="s">
        <v>1082</v>
      </c>
      <c r="R30" s="113">
        <v>21154000</v>
      </c>
      <c r="S30" s="353"/>
      <c r="T30" s="267">
        <v>830</v>
      </c>
      <c r="U30" s="267" t="s">
        <v>1570</v>
      </c>
      <c r="V30" s="115">
        <v>21154000</v>
      </c>
      <c r="W30" s="116">
        <v>2873</v>
      </c>
      <c r="X30" s="116" t="s">
        <v>1571</v>
      </c>
      <c r="Y30" s="117">
        <v>21154000</v>
      </c>
    </row>
    <row r="31" spans="1:25" ht="139.5" customHeight="1" x14ac:dyDescent="0.25">
      <c r="A31" s="323"/>
      <c r="B31" s="327"/>
      <c r="C31" s="327"/>
      <c r="D31" s="327"/>
      <c r="E31" s="327"/>
      <c r="F31" s="327"/>
      <c r="G31" s="327"/>
      <c r="H31" s="327"/>
      <c r="I31" s="327"/>
      <c r="J31" s="327"/>
      <c r="K31" s="327"/>
      <c r="L31" s="327"/>
      <c r="M31" s="327"/>
      <c r="N31" s="328"/>
      <c r="O31" s="151" t="s">
        <v>1083</v>
      </c>
      <c r="P31" s="151" t="s">
        <v>1084</v>
      </c>
      <c r="Q31" s="123" t="s">
        <v>1085</v>
      </c>
      <c r="R31" s="113">
        <v>19440000</v>
      </c>
      <c r="S31" s="353"/>
      <c r="T31" s="267">
        <v>880</v>
      </c>
      <c r="U31" s="267" t="s">
        <v>1587</v>
      </c>
      <c r="V31" s="115">
        <v>19440000</v>
      </c>
      <c r="W31" s="116">
        <v>2949</v>
      </c>
      <c r="X31" s="116" t="s">
        <v>1588</v>
      </c>
      <c r="Y31" s="117">
        <v>19440000</v>
      </c>
    </row>
    <row r="32" spans="1:25" ht="139.5" customHeight="1" x14ac:dyDescent="0.25">
      <c r="A32" s="323"/>
      <c r="B32" s="327"/>
      <c r="C32" s="327"/>
      <c r="D32" s="327"/>
      <c r="E32" s="327"/>
      <c r="F32" s="327"/>
      <c r="G32" s="327"/>
      <c r="H32" s="327"/>
      <c r="I32" s="327"/>
      <c r="J32" s="327"/>
      <c r="K32" s="327"/>
      <c r="L32" s="327"/>
      <c r="M32" s="327"/>
      <c r="N32" s="328"/>
      <c r="O32" s="151" t="s">
        <v>1086</v>
      </c>
      <c r="P32" s="151" t="s">
        <v>1087</v>
      </c>
      <c r="Q32" s="123" t="s">
        <v>1088</v>
      </c>
      <c r="R32" s="113">
        <v>19017000</v>
      </c>
      <c r="S32" s="353"/>
      <c r="T32" s="267">
        <v>836</v>
      </c>
      <c r="U32" s="267" t="s">
        <v>1570</v>
      </c>
      <c r="V32" s="115">
        <v>19017000</v>
      </c>
      <c r="W32" s="116">
        <v>2930</v>
      </c>
      <c r="X32" s="116" t="s">
        <v>1571</v>
      </c>
      <c r="Y32" s="117">
        <v>19017000</v>
      </c>
    </row>
    <row r="33" spans="1:25" ht="139.5" customHeight="1" x14ac:dyDescent="0.25">
      <c r="A33" s="323"/>
      <c r="B33" s="327"/>
      <c r="C33" s="327"/>
      <c r="D33" s="327"/>
      <c r="E33" s="327"/>
      <c r="F33" s="327"/>
      <c r="G33" s="327"/>
      <c r="H33" s="327"/>
      <c r="I33" s="327"/>
      <c r="J33" s="327"/>
      <c r="K33" s="327"/>
      <c r="L33" s="327"/>
      <c r="M33" s="327"/>
      <c r="N33" s="328"/>
      <c r="O33" s="151" t="s">
        <v>1089</v>
      </c>
      <c r="P33" s="151" t="s">
        <v>1090</v>
      </c>
      <c r="Q33" s="123" t="s">
        <v>1091</v>
      </c>
      <c r="R33" s="113">
        <v>19017000</v>
      </c>
      <c r="S33" s="353"/>
      <c r="T33" s="267">
        <v>839</v>
      </c>
      <c r="U33" s="267" t="s">
        <v>1570</v>
      </c>
      <c r="V33" s="115">
        <v>19017000</v>
      </c>
      <c r="W33" s="116">
        <v>2915</v>
      </c>
      <c r="X33" s="116" t="s">
        <v>1571</v>
      </c>
      <c r="Y33" s="117">
        <v>19017000</v>
      </c>
    </row>
    <row r="34" spans="1:25" ht="139.5" customHeight="1" x14ac:dyDescent="0.25">
      <c r="A34" s="323"/>
      <c r="B34" s="327"/>
      <c r="C34" s="327"/>
      <c r="D34" s="327"/>
      <c r="E34" s="327"/>
      <c r="F34" s="327"/>
      <c r="G34" s="327"/>
      <c r="H34" s="327"/>
      <c r="I34" s="327"/>
      <c r="J34" s="327"/>
      <c r="K34" s="327"/>
      <c r="L34" s="327"/>
      <c r="M34" s="327"/>
      <c r="N34" s="328"/>
      <c r="O34" s="151" t="s">
        <v>1092</v>
      </c>
      <c r="P34" s="151" t="s">
        <v>1093</v>
      </c>
      <c r="Q34" s="123" t="s">
        <v>1094</v>
      </c>
      <c r="R34" s="113">
        <v>18090000</v>
      </c>
      <c r="S34" s="353"/>
      <c r="T34" s="267">
        <v>844</v>
      </c>
      <c r="U34" s="267" t="s">
        <v>1570</v>
      </c>
      <c r="V34" s="115">
        <v>18090000</v>
      </c>
      <c r="W34" s="116">
        <v>2952</v>
      </c>
      <c r="X34" s="116" t="s">
        <v>1588</v>
      </c>
      <c r="Y34" s="117">
        <v>18090000</v>
      </c>
    </row>
    <row r="35" spans="1:25" ht="139.5" customHeight="1" x14ac:dyDescent="0.25">
      <c r="A35" s="323"/>
      <c r="B35" s="327"/>
      <c r="C35" s="327"/>
      <c r="D35" s="327"/>
      <c r="E35" s="327"/>
      <c r="F35" s="327"/>
      <c r="G35" s="327"/>
      <c r="H35" s="327"/>
      <c r="I35" s="327"/>
      <c r="J35" s="327"/>
      <c r="K35" s="327"/>
      <c r="L35" s="327"/>
      <c r="M35" s="327"/>
      <c r="N35" s="328"/>
      <c r="O35" s="151" t="s">
        <v>1095</v>
      </c>
      <c r="P35" s="151" t="s">
        <v>1096</v>
      </c>
      <c r="Q35" s="123" t="s">
        <v>1097</v>
      </c>
      <c r="R35" s="113">
        <v>18156000</v>
      </c>
      <c r="S35" s="353"/>
      <c r="T35" s="267">
        <v>842</v>
      </c>
      <c r="U35" s="267" t="s">
        <v>1570</v>
      </c>
      <c r="V35" s="115">
        <v>18156000</v>
      </c>
      <c r="W35" s="116">
        <v>2914</v>
      </c>
      <c r="X35" s="116" t="s">
        <v>1571</v>
      </c>
      <c r="Y35" s="117">
        <v>18156000</v>
      </c>
    </row>
    <row r="36" spans="1:25" ht="139.5" customHeight="1" x14ac:dyDescent="0.25">
      <c r="A36" s="323"/>
      <c r="B36" s="327"/>
      <c r="C36" s="327"/>
      <c r="D36" s="327"/>
      <c r="E36" s="327"/>
      <c r="F36" s="327"/>
      <c r="G36" s="327"/>
      <c r="H36" s="327"/>
      <c r="I36" s="327"/>
      <c r="J36" s="327"/>
      <c r="K36" s="327"/>
      <c r="L36" s="327"/>
      <c r="M36" s="327"/>
      <c r="N36" s="328"/>
      <c r="O36" s="151" t="s">
        <v>1098</v>
      </c>
      <c r="P36" s="151" t="s">
        <v>1099</v>
      </c>
      <c r="Q36" s="123" t="s">
        <v>1100</v>
      </c>
      <c r="R36" s="113">
        <v>20520000</v>
      </c>
      <c r="S36" s="353"/>
      <c r="T36" s="267">
        <v>845</v>
      </c>
      <c r="U36" s="267" t="s">
        <v>1570</v>
      </c>
      <c r="V36" s="115">
        <v>20520000</v>
      </c>
      <c r="W36" s="116">
        <v>2965</v>
      </c>
      <c r="X36" s="116" t="s">
        <v>1588</v>
      </c>
      <c r="Y36" s="117">
        <v>20520000</v>
      </c>
    </row>
    <row r="37" spans="1:25" ht="139.5" customHeight="1" x14ac:dyDescent="0.25">
      <c r="A37" s="323"/>
      <c r="B37" s="327"/>
      <c r="C37" s="327"/>
      <c r="D37" s="327"/>
      <c r="E37" s="327"/>
      <c r="F37" s="327"/>
      <c r="G37" s="327"/>
      <c r="H37" s="327"/>
      <c r="I37" s="327"/>
      <c r="J37" s="327"/>
      <c r="K37" s="327"/>
      <c r="L37" s="327"/>
      <c r="M37" s="327"/>
      <c r="N37" s="328"/>
      <c r="O37" s="151" t="s">
        <v>1101</v>
      </c>
      <c r="P37" s="151" t="s">
        <v>1102</v>
      </c>
      <c r="Q37" s="123" t="s">
        <v>1103</v>
      </c>
      <c r="R37" s="113">
        <v>24570000</v>
      </c>
      <c r="S37" s="353"/>
      <c r="T37" s="267">
        <v>884</v>
      </c>
      <c r="U37" s="267" t="s">
        <v>1587</v>
      </c>
      <c r="V37" s="115">
        <v>24570000</v>
      </c>
      <c r="W37" s="116">
        <v>2947</v>
      </c>
      <c r="X37" s="116" t="s">
        <v>1588</v>
      </c>
      <c r="Y37" s="117">
        <v>24570000</v>
      </c>
    </row>
    <row r="38" spans="1:25" ht="24.75" customHeight="1" x14ac:dyDescent="0.25">
      <c r="A38" s="323"/>
      <c r="B38" s="327"/>
      <c r="C38" s="327"/>
      <c r="D38" s="327"/>
      <c r="E38" s="327"/>
      <c r="F38" s="327"/>
      <c r="G38" s="327"/>
      <c r="H38" s="327"/>
      <c r="I38" s="327"/>
      <c r="J38" s="327"/>
      <c r="K38" s="327"/>
      <c r="L38" s="327"/>
      <c r="M38" s="327"/>
      <c r="N38" s="328"/>
      <c r="O38" s="172" t="s">
        <v>637</v>
      </c>
      <c r="P38" s="172"/>
      <c r="Q38" s="172"/>
      <c r="R38" s="128">
        <f>SUM(R2:R37)</f>
        <v>632729520</v>
      </c>
      <c r="S38" s="353"/>
      <c r="T38" s="128"/>
      <c r="U38" s="116"/>
      <c r="V38" s="116"/>
      <c r="W38" s="116"/>
      <c r="X38" s="116"/>
      <c r="Y38" s="116"/>
    </row>
    <row r="39" spans="1:25" ht="81" x14ac:dyDescent="0.25">
      <c r="A39" s="323"/>
      <c r="B39" s="327"/>
      <c r="C39" s="327"/>
      <c r="D39" s="327"/>
      <c r="E39" s="273" t="s">
        <v>399</v>
      </c>
      <c r="F39" s="273" t="s">
        <v>400</v>
      </c>
      <c r="G39" s="269">
        <v>0</v>
      </c>
      <c r="H39" s="269"/>
      <c r="I39" s="269">
        <v>0</v>
      </c>
      <c r="J39" s="269">
        <v>50000000</v>
      </c>
      <c r="K39" s="269"/>
      <c r="L39" s="269">
        <v>0</v>
      </c>
      <c r="M39" s="269">
        <f t="shared" si="0"/>
        <v>50000000</v>
      </c>
      <c r="N39" s="328"/>
      <c r="O39" s="116"/>
      <c r="P39" s="116"/>
      <c r="Q39" s="116"/>
      <c r="R39" s="116"/>
      <c r="S39" s="168">
        <f>R39/M39</f>
        <v>0</v>
      </c>
      <c r="T39" s="116"/>
      <c r="U39" s="116"/>
      <c r="V39" s="116"/>
      <c r="W39" s="116"/>
      <c r="X39" s="116"/>
      <c r="Y39" s="116"/>
    </row>
    <row r="40" spans="1:25" ht="36" customHeight="1" x14ac:dyDescent="0.25">
      <c r="A40" s="323"/>
      <c r="B40" s="327"/>
      <c r="C40" s="327"/>
      <c r="D40" s="327"/>
      <c r="E40" s="273" t="s">
        <v>401</v>
      </c>
      <c r="F40" s="273" t="s">
        <v>402</v>
      </c>
      <c r="G40" s="269">
        <f>52921108</f>
        <v>52921108</v>
      </c>
      <c r="H40" s="269">
        <v>-52921108</v>
      </c>
      <c r="I40" s="269"/>
      <c r="J40" s="269"/>
      <c r="K40" s="269"/>
      <c r="L40" s="269">
        <v>0</v>
      </c>
      <c r="M40" s="269">
        <f t="shared" si="0"/>
        <v>0</v>
      </c>
      <c r="N40" s="328"/>
      <c r="O40" s="116"/>
      <c r="P40" s="116"/>
      <c r="Q40" s="116"/>
      <c r="R40" s="116"/>
      <c r="S40" s="292"/>
      <c r="T40" s="116"/>
      <c r="U40" s="116"/>
      <c r="V40" s="116"/>
      <c r="W40" s="116"/>
      <c r="X40" s="116"/>
      <c r="Y40" s="116"/>
    </row>
    <row r="41" spans="1:25" ht="36" customHeight="1" x14ac:dyDescent="0.25">
      <c r="A41" s="267" t="s">
        <v>1711</v>
      </c>
      <c r="B41" s="267" t="s">
        <v>1712</v>
      </c>
      <c r="C41" s="269" t="s">
        <v>1708</v>
      </c>
      <c r="D41" s="269" t="s">
        <v>34</v>
      </c>
      <c r="E41" s="273" t="s">
        <v>1713</v>
      </c>
      <c r="F41" s="273" t="s">
        <v>1714</v>
      </c>
      <c r="G41" s="269"/>
      <c r="H41" s="269"/>
      <c r="I41" s="119">
        <v>166000000</v>
      </c>
      <c r="J41" s="269"/>
      <c r="K41" s="269"/>
      <c r="L41" s="269"/>
      <c r="M41" s="119">
        <v>166000000</v>
      </c>
      <c r="N41" s="270"/>
      <c r="O41" s="116"/>
      <c r="P41" s="116"/>
      <c r="Q41" s="116"/>
      <c r="R41" s="116"/>
      <c r="S41" s="292"/>
      <c r="T41" s="116"/>
      <c r="U41" s="116"/>
      <c r="V41" s="116"/>
      <c r="W41" s="116"/>
      <c r="X41" s="116"/>
      <c r="Y41" s="116"/>
    </row>
    <row r="42" spans="1:25" ht="15" customHeight="1" thickBot="1" x14ac:dyDescent="0.3">
      <c r="A42" s="174"/>
      <c r="B42" s="174"/>
      <c r="C42" s="174"/>
      <c r="D42" s="174"/>
      <c r="E42" s="174"/>
      <c r="F42" s="174"/>
      <c r="G42" s="174"/>
      <c r="H42" s="174"/>
      <c r="I42" s="174"/>
      <c r="J42" s="174"/>
      <c r="K42" s="174"/>
      <c r="L42" s="285" t="s">
        <v>637</v>
      </c>
      <c r="M42" s="286">
        <f>SUM(M2:M41)</f>
        <v>903822148</v>
      </c>
      <c r="N42" s="287"/>
      <c r="O42" s="287"/>
      <c r="P42" s="287"/>
      <c r="Q42" s="287"/>
      <c r="R42" s="288">
        <f>SUM(R38:R40)</f>
        <v>632729520</v>
      </c>
      <c r="S42" s="289">
        <f>R42/M42</f>
        <v>0.70005976441285434</v>
      </c>
      <c r="T42" s="174"/>
      <c r="U42" s="174"/>
      <c r="V42" s="290">
        <f>SUM(V2:V40)</f>
        <v>628995520</v>
      </c>
      <c r="W42" s="287"/>
      <c r="X42" s="287"/>
      <c r="Y42" s="291">
        <f>SUM(Y2:Y40)</f>
        <v>628995520</v>
      </c>
    </row>
    <row r="43" spans="1:25" ht="14.45" hidden="1" customHeight="1" x14ac:dyDescent="0.25">
      <c r="S43"/>
    </row>
    <row r="44" spans="1:25" hidden="1" x14ac:dyDescent="0.25">
      <c r="S44"/>
    </row>
  </sheetData>
  <sheetProtection algorithmName="SHA-512" hashValue="wWTAQRbugrwmXcud2mz+lM8tg+bWjXd6RynRciYxhq0i/V5wM2fIo3k4JC04YmO66nelyxykvN7lz5DFcoH6eA==" saltValue="dhNqTRnSPhgHr5n4f6T/WQ==" spinCount="100000" sheet="1" objects="1" scenarios="1" formatCells="0" formatColumns="0" formatRows="0"/>
  <mergeCells count="15">
    <mergeCell ref="S2:S38"/>
    <mergeCell ref="N2:N40"/>
    <mergeCell ref="A2:A40"/>
    <mergeCell ref="B2:B40"/>
    <mergeCell ref="C2:C40"/>
    <mergeCell ref="D2:D40"/>
    <mergeCell ref="M2:M38"/>
    <mergeCell ref="L2:L38"/>
    <mergeCell ref="K2:K38"/>
    <mergeCell ref="J2:J38"/>
    <mergeCell ref="I2:I38"/>
    <mergeCell ref="H2:H38"/>
    <mergeCell ref="G2:G38"/>
    <mergeCell ref="F2:F38"/>
    <mergeCell ref="E2:E38"/>
  </mergeCells>
  <conditionalFormatting sqref="S45:S1048576 S39:S42 S1:S2">
    <cfRule type="cellIs" dxfId="67" priority="4" operator="between">
      <formula>0.51</formula>
      <formula>0.69</formula>
    </cfRule>
    <cfRule type="cellIs" dxfId="66" priority="5" operator="lessThan">
      <formula>0.5</formula>
    </cfRule>
    <cfRule type="cellIs" dxfId="65" priority="6" operator="greaterThan">
      <formula>0.7</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Y797"/>
  <sheetViews>
    <sheetView zoomScale="60" zoomScaleNormal="60" workbookViewId="0">
      <pane ySplit="1" topLeftCell="A2" activePane="bottomLeft" state="frozen"/>
      <selection pane="bottomLeft" activeCell="K15" sqref="K15"/>
    </sheetView>
  </sheetViews>
  <sheetFormatPr baseColWidth="10" defaultColWidth="0" defaultRowHeight="15" zeroHeight="1" x14ac:dyDescent="0.25"/>
  <cols>
    <col min="1" max="5" width="11.42578125" customWidth="1"/>
    <col min="6" max="6" width="24.7109375" customWidth="1"/>
    <col min="7" max="7" width="17.28515625" bestFit="1" customWidth="1"/>
    <col min="8" max="8" width="16" bestFit="1" customWidth="1"/>
    <col min="9" max="9" width="11.7109375" bestFit="1" customWidth="1"/>
    <col min="10" max="10" width="15.28515625" bestFit="1" customWidth="1"/>
    <col min="11" max="11" width="12.7109375" bestFit="1" customWidth="1"/>
    <col min="12" max="12" width="11.42578125" customWidth="1"/>
    <col min="13" max="13" width="35.5703125" style="2" bestFit="1" customWidth="1"/>
    <col min="14" max="14" width="15.28515625" bestFit="1" customWidth="1"/>
    <col min="15" max="17" width="11.42578125" customWidth="1"/>
    <col min="18" max="18" width="19" style="2" bestFit="1" customWidth="1"/>
    <col min="19" max="19" width="18.140625" style="38" customWidth="1"/>
    <col min="20" max="21" width="11.42578125" customWidth="1"/>
    <col min="22" max="22" width="12.7109375" bestFit="1" customWidth="1"/>
    <col min="23" max="23" width="11.42578125" customWidth="1"/>
    <col min="24" max="24" width="10.7109375" bestFit="1" customWidth="1"/>
    <col min="25" max="25" width="12.7109375" bestFit="1" customWidth="1"/>
    <col min="26" max="16384" width="11.42578125" hidden="1"/>
  </cols>
  <sheetData>
    <row r="1" spans="1:25" ht="89.25" x14ac:dyDescent="0.25">
      <c r="A1" s="175" t="s">
        <v>0</v>
      </c>
      <c r="B1" s="175" t="s">
        <v>1</v>
      </c>
      <c r="C1" s="175" t="s">
        <v>2</v>
      </c>
      <c r="D1" s="175" t="s">
        <v>3</v>
      </c>
      <c r="E1" s="175" t="s">
        <v>4</v>
      </c>
      <c r="F1" s="175" t="s">
        <v>5</v>
      </c>
      <c r="G1" s="175" t="s">
        <v>6</v>
      </c>
      <c r="H1" s="175" t="s">
        <v>7</v>
      </c>
      <c r="I1" s="175" t="s">
        <v>8</v>
      </c>
      <c r="J1" s="175" t="s">
        <v>9</v>
      </c>
      <c r="K1" s="175" t="s">
        <v>10</v>
      </c>
      <c r="L1" s="175" t="s">
        <v>11</v>
      </c>
      <c r="M1" s="176" t="s">
        <v>12</v>
      </c>
      <c r="N1" s="175" t="s">
        <v>13</v>
      </c>
      <c r="O1" s="177" t="s">
        <v>636</v>
      </c>
      <c r="P1" s="177" t="s">
        <v>628</v>
      </c>
      <c r="Q1" s="177" t="s">
        <v>629</v>
      </c>
      <c r="R1" s="178" t="s">
        <v>722</v>
      </c>
      <c r="S1" s="179" t="s">
        <v>1535</v>
      </c>
      <c r="T1" s="177" t="s">
        <v>630</v>
      </c>
      <c r="U1" s="177" t="s">
        <v>631</v>
      </c>
      <c r="V1" s="177" t="s">
        <v>632</v>
      </c>
      <c r="W1" s="177" t="s">
        <v>633</v>
      </c>
      <c r="X1" s="177" t="s">
        <v>634</v>
      </c>
      <c r="Y1" s="177" t="s">
        <v>635</v>
      </c>
    </row>
    <row r="2" spans="1:25" ht="231.75" customHeight="1" x14ac:dyDescent="0.25">
      <c r="A2" s="114" t="s">
        <v>37</v>
      </c>
      <c r="B2" s="114" t="s">
        <v>38</v>
      </c>
      <c r="C2" s="114" t="s">
        <v>39</v>
      </c>
      <c r="D2" s="114" t="s">
        <v>40</v>
      </c>
      <c r="E2" s="118" t="s">
        <v>41</v>
      </c>
      <c r="F2" s="118" t="s">
        <v>42</v>
      </c>
      <c r="G2" s="119">
        <v>450000000</v>
      </c>
      <c r="H2" s="119"/>
      <c r="I2" s="119"/>
      <c r="J2" s="119"/>
      <c r="K2" s="119"/>
      <c r="L2" s="119"/>
      <c r="M2" s="180">
        <f t="shared" ref="M2:M15" si="0">SUM(G2:L2)</f>
        <v>450000000</v>
      </c>
      <c r="N2" s="120">
        <f>+M2</f>
        <v>450000000</v>
      </c>
      <c r="O2" s="125"/>
      <c r="P2" s="125"/>
      <c r="Q2" s="125"/>
      <c r="R2" s="183"/>
      <c r="S2" s="166"/>
      <c r="T2" s="125"/>
      <c r="U2" s="125"/>
      <c r="V2" s="125"/>
      <c r="W2" s="125"/>
      <c r="X2" s="125"/>
      <c r="Y2" s="125"/>
    </row>
    <row r="3" spans="1:25" ht="231.75" customHeight="1" x14ac:dyDescent="0.25">
      <c r="A3" s="323" t="s">
        <v>43</v>
      </c>
      <c r="B3" s="323" t="s">
        <v>44</v>
      </c>
      <c r="C3" s="323" t="s">
        <v>45</v>
      </c>
      <c r="D3" s="323" t="s">
        <v>40</v>
      </c>
      <c r="E3" s="118" t="s">
        <v>46</v>
      </c>
      <c r="F3" s="118" t="s">
        <v>47</v>
      </c>
      <c r="G3" s="119">
        <f>1139772503</f>
        <v>1139772503</v>
      </c>
      <c r="H3" s="119">
        <f>-(450000000+258642343)</f>
        <v>-708642343</v>
      </c>
      <c r="I3" s="119"/>
      <c r="J3" s="119">
        <v>208617407</v>
      </c>
      <c r="K3" s="119"/>
      <c r="L3" s="119"/>
      <c r="M3" s="180">
        <f t="shared" si="0"/>
        <v>639747567</v>
      </c>
      <c r="N3" s="327">
        <f>SUM(M3:M4)</f>
        <v>799671365</v>
      </c>
      <c r="O3" s="125"/>
      <c r="P3" s="125"/>
      <c r="Q3" s="125"/>
      <c r="R3" s="183"/>
      <c r="S3" s="166"/>
      <c r="T3" s="125"/>
      <c r="U3" s="125"/>
      <c r="V3" s="125"/>
      <c r="W3" s="125"/>
      <c r="X3" s="125"/>
      <c r="Y3" s="125"/>
    </row>
    <row r="4" spans="1:25" ht="231.75" customHeight="1" x14ac:dyDescent="0.25">
      <c r="A4" s="323"/>
      <c r="B4" s="323"/>
      <c r="C4" s="323"/>
      <c r="D4" s="323"/>
      <c r="E4" s="118" t="s">
        <v>542</v>
      </c>
      <c r="F4" s="118" t="s">
        <v>543</v>
      </c>
      <c r="G4" s="120">
        <v>0</v>
      </c>
      <c r="H4" s="120"/>
      <c r="I4" s="120">
        <v>0</v>
      </c>
      <c r="J4" s="119">
        <v>159923798</v>
      </c>
      <c r="K4" s="119"/>
      <c r="L4" s="119"/>
      <c r="M4" s="180">
        <f t="shared" si="0"/>
        <v>159923798</v>
      </c>
      <c r="N4" s="327"/>
      <c r="O4" s="184"/>
      <c r="P4" s="184"/>
      <c r="Q4" s="184"/>
      <c r="R4" s="185"/>
      <c r="S4" s="166"/>
      <c r="T4" s="184"/>
      <c r="U4" s="125"/>
      <c r="V4" s="125"/>
      <c r="W4" s="125"/>
      <c r="X4" s="125"/>
      <c r="Y4" s="125"/>
    </row>
    <row r="5" spans="1:25" ht="231.75" customHeight="1" x14ac:dyDescent="0.25">
      <c r="A5" s="323" t="s">
        <v>48</v>
      </c>
      <c r="B5" s="323" t="s">
        <v>49</v>
      </c>
      <c r="C5" s="351" t="s">
        <v>50</v>
      </c>
      <c r="D5" s="351" t="s">
        <v>51</v>
      </c>
      <c r="E5" s="118" t="s">
        <v>52</v>
      </c>
      <c r="F5" s="118" t="s">
        <v>53</v>
      </c>
      <c r="G5" s="120">
        <v>0</v>
      </c>
      <c r="H5" s="120"/>
      <c r="I5" s="120">
        <v>0</v>
      </c>
      <c r="J5" s="119">
        <v>350000000</v>
      </c>
      <c r="K5" s="119"/>
      <c r="L5" s="119"/>
      <c r="M5" s="180">
        <f t="shared" si="0"/>
        <v>350000000</v>
      </c>
      <c r="N5" s="354">
        <f>SUM(G5:L7)</f>
        <v>683000000</v>
      </c>
      <c r="O5" s="125"/>
      <c r="P5" s="125"/>
      <c r="Q5" s="125"/>
      <c r="R5" s="183"/>
      <c r="S5" s="166"/>
      <c r="T5" s="125"/>
      <c r="U5" s="125"/>
      <c r="V5" s="125"/>
      <c r="W5" s="125"/>
      <c r="X5" s="125"/>
      <c r="Y5" s="125"/>
    </row>
    <row r="6" spans="1:25" ht="231.75" customHeight="1" x14ac:dyDescent="0.25">
      <c r="A6" s="323"/>
      <c r="B6" s="323"/>
      <c r="C6" s="351"/>
      <c r="D6" s="351"/>
      <c r="E6" s="118" t="s">
        <v>613</v>
      </c>
      <c r="F6" s="118" t="s">
        <v>614</v>
      </c>
      <c r="G6" s="120">
        <v>0</v>
      </c>
      <c r="H6" s="120"/>
      <c r="I6" s="120">
        <v>0</v>
      </c>
      <c r="J6" s="119">
        <v>33000000</v>
      </c>
      <c r="K6" s="119"/>
      <c r="L6" s="119"/>
      <c r="M6" s="180">
        <f t="shared" si="0"/>
        <v>33000000</v>
      </c>
      <c r="N6" s="354"/>
      <c r="O6" s="125"/>
      <c r="P6" s="125"/>
      <c r="Q6" s="125"/>
      <c r="R6" s="183"/>
      <c r="S6" s="166"/>
      <c r="T6" s="125"/>
      <c r="U6" s="125"/>
      <c r="V6" s="125"/>
      <c r="W6" s="125"/>
      <c r="X6" s="125"/>
      <c r="Y6" s="125"/>
    </row>
    <row r="7" spans="1:25" ht="231.75" customHeight="1" x14ac:dyDescent="0.25">
      <c r="A7" s="323"/>
      <c r="B7" s="323"/>
      <c r="C7" s="351"/>
      <c r="D7" s="351"/>
      <c r="E7" s="118" t="s">
        <v>615</v>
      </c>
      <c r="F7" s="118" t="s">
        <v>616</v>
      </c>
      <c r="G7" s="120">
        <v>0</v>
      </c>
      <c r="H7" s="120"/>
      <c r="I7" s="120">
        <v>0</v>
      </c>
      <c r="J7" s="119"/>
      <c r="K7" s="119">
        <v>300000000</v>
      </c>
      <c r="L7" s="119"/>
      <c r="M7" s="180">
        <f t="shared" si="0"/>
        <v>300000000</v>
      </c>
      <c r="N7" s="354"/>
      <c r="O7" s="125"/>
      <c r="P7" s="125"/>
      <c r="Q7" s="125"/>
      <c r="R7" s="183"/>
      <c r="S7" s="166"/>
      <c r="T7" s="125"/>
      <c r="U7" s="125"/>
      <c r="V7" s="125"/>
      <c r="W7" s="125"/>
      <c r="X7" s="125"/>
      <c r="Y7" s="125"/>
    </row>
    <row r="8" spans="1:25" ht="231.75" customHeight="1" x14ac:dyDescent="0.25">
      <c r="A8" s="351" t="s">
        <v>54</v>
      </c>
      <c r="B8" s="351"/>
      <c r="C8" s="351" t="s">
        <v>55</v>
      </c>
      <c r="D8" s="351" t="s">
        <v>51</v>
      </c>
      <c r="E8" s="118" t="s">
        <v>56</v>
      </c>
      <c r="F8" s="118" t="s">
        <v>57</v>
      </c>
      <c r="G8" s="120">
        <v>0</v>
      </c>
      <c r="H8" s="120"/>
      <c r="I8" s="120">
        <v>0</v>
      </c>
      <c r="J8" s="119">
        <v>682601002</v>
      </c>
      <c r="K8" s="119">
        <v>387398998</v>
      </c>
      <c r="L8" s="119"/>
      <c r="M8" s="180">
        <f t="shared" si="0"/>
        <v>1070000000</v>
      </c>
      <c r="N8" s="354">
        <f>SUM(G8:L9)</f>
        <v>1103805820</v>
      </c>
      <c r="O8" s="125"/>
      <c r="P8" s="125"/>
      <c r="Q8" s="125"/>
      <c r="R8" s="183"/>
      <c r="S8" s="166"/>
      <c r="T8" s="125"/>
      <c r="U8" s="125"/>
      <c r="V8" s="125"/>
      <c r="W8" s="125"/>
      <c r="X8" s="125"/>
      <c r="Y8" s="125"/>
    </row>
    <row r="9" spans="1:25" ht="231.75" customHeight="1" x14ac:dyDescent="0.25">
      <c r="A9" s="351"/>
      <c r="B9" s="351"/>
      <c r="C9" s="351"/>
      <c r="D9" s="351"/>
      <c r="E9" s="118" t="s">
        <v>617</v>
      </c>
      <c r="F9" s="118" t="s">
        <v>618</v>
      </c>
      <c r="G9" s="120">
        <v>0</v>
      </c>
      <c r="H9" s="120"/>
      <c r="I9" s="120">
        <v>0</v>
      </c>
      <c r="J9" s="119">
        <v>33805820</v>
      </c>
      <c r="K9" s="119"/>
      <c r="L9" s="119"/>
      <c r="M9" s="180">
        <f t="shared" si="0"/>
        <v>33805820</v>
      </c>
      <c r="N9" s="354"/>
      <c r="O9" s="125"/>
      <c r="P9" s="125"/>
      <c r="Q9" s="125"/>
      <c r="R9" s="183"/>
      <c r="S9" s="166"/>
      <c r="T9" s="125"/>
      <c r="U9" s="125"/>
      <c r="V9" s="125"/>
      <c r="W9" s="125"/>
      <c r="X9" s="125"/>
      <c r="Y9" s="125"/>
    </row>
    <row r="10" spans="1:25" ht="231.75" customHeight="1" x14ac:dyDescent="0.25">
      <c r="A10" s="351" t="s">
        <v>58</v>
      </c>
      <c r="B10" s="351" t="s">
        <v>59</v>
      </c>
      <c r="C10" s="351" t="s">
        <v>60</v>
      </c>
      <c r="D10" s="351" t="s">
        <v>51</v>
      </c>
      <c r="E10" s="118" t="s">
        <v>61</v>
      </c>
      <c r="F10" s="118" t="s">
        <v>62</v>
      </c>
      <c r="G10" s="120">
        <v>0</v>
      </c>
      <c r="H10" s="120"/>
      <c r="I10" s="120">
        <v>0</v>
      </c>
      <c r="J10" s="119">
        <v>219762777</v>
      </c>
      <c r="K10" s="119">
        <v>54237223</v>
      </c>
      <c r="L10" s="119"/>
      <c r="M10" s="180">
        <f t="shared" si="0"/>
        <v>274000000</v>
      </c>
      <c r="N10" s="354">
        <f>SUM(G10:L11)</f>
        <v>342500000</v>
      </c>
      <c r="O10" s="125"/>
      <c r="P10" s="125"/>
      <c r="Q10" s="125"/>
      <c r="R10" s="183"/>
      <c r="S10" s="166"/>
      <c r="T10" s="125"/>
      <c r="U10" s="125"/>
      <c r="V10" s="125"/>
      <c r="W10" s="125"/>
      <c r="X10" s="125"/>
      <c r="Y10" s="125"/>
    </row>
    <row r="11" spans="1:25" ht="231.75" customHeight="1" x14ac:dyDescent="0.25">
      <c r="A11" s="351"/>
      <c r="B11" s="351"/>
      <c r="C11" s="351"/>
      <c r="D11" s="351"/>
      <c r="E11" s="118" t="s">
        <v>61</v>
      </c>
      <c r="F11" s="118" t="s">
        <v>619</v>
      </c>
      <c r="G11" s="120">
        <v>0</v>
      </c>
      <c r="H11" s="120"/>
      <c r="I11" s="120">
        <v>0</v>
      </c>
      <c r="J11" s="119"/>
      <c r="K11" s="119">
        <v>68500000</v>
      </c>
      <c r="L11" s="119"/>
      <c r="M11" s="180">
        <f t="shared" si="0"/>
        <v>68500000</v>
      </c>
      <c r="N11" s="354"/>
      <c r="O11" s="125"/>
      <c r="P11" s="125"/>
      <c r="Q11" s="125"/>
      <c r="R11" s="183"/>
      <c r="S11" s="166"/>
      <c r="T11" s="125"/>
      <c r="U11" s="125"/>
      <c r="V11" s="125"/>
      <c r="W11" s="125"/>
      <c r="X11" s="125"/>
      <c r="Y11" s="125"/>
    </row>
    <row r="12" spans="1:25" ht="231.75" customHeight="1" x14ac:dyDescent="0.25">
      <c r="A12" s="114" t="s">
        <v>63</v>
      </c>
      <c r="B12" s="118"/>
      <c r="C12" s="118" t="s">
        <v>64</v>
      </c>
      <c r="D12" s="118" t="s">
        <v>51</v>
      </c>
      <c r="E12" s="118" t="s">
        <v>61</v>
      </c>
      <c r="F12" s="118" t="s">
        <v>65</v>
      </c>
      <c r="G12" s="120">
        <v>0</v>
      </c>
      <c r="H12" s="120"/>
      <c r="I12" s="120">
        <v>0</v>
      </c>
      <c r="J12" s="119">
        <v>800000000</v>
      </c>
      <c r="K12" s="119"/>
      <c r="L12" s="119"/>
      <c r="M12" s="180">
        <f t="shared" si="0"/>
        <v>800000000</v>
      </c>
      <c r="N12" s="133">
        <f>SUM(G12:L12)</f>
        <v>800000000</v>
      </c>
      <c r="O12" s="125"/>
      <c r="P12" s="125"/>
      <c r="Q12" s="125"/>
      <c r="R12" s="183"/>
      <c r="S12" s="166"/>
      <c r="T12" s="125"/>
      <c r="U12" s="125"/>
      <c r="V12" s="125"/>
      <c r="W12" s="125"/>
      <c r="X12" s="125"/>
      <c r="Y12" s="125"/>
    </row>
    <row r="13" spans="1:25" ht="231.75" customHeight="1" x14ac:dyDescent="0.25">
      <c r="A13" s="114" t="s">
        <v>66</v>
      </c>
      <c r="B13" s="114"/>
      <c r="C13" s="118" t="s">
        <v>67</v>
      </c>
      <c r="D13" s="118" t="s">
        <v>51</v>
      </c>
      <c r="E13" s="118" t="s">
        <v>61</v>
      </c>
      <c r="F13" s="118" t="s">
        <v>68</v>
      </c>
      <c r="G13" s="120">
        <v>0</v>
      </c>
      <c r="H13" s="120"/>
      <c r="I13" s="120">
        <v>0</v>
      </c>
      <c r="J13" s="119">
        <v>258277720</v>
      </c>
      <c r="K13" s="119">
        <v>441722280</v>
      </c>
      <c r="L13" s="119"/>
      <c r="M13" s="180">
        <f t="shared" si="0"/>
        <v>700000000</v>
      </c>
      <c r="N13" s="133">
        <f>SUM(G13:L13)</f>
        <v>700000000</v>
      </c>
      <c r="O13" s="125"/>
      <c r="P13" s="125"/>
      <c r="Q13" s="125"/>
      <c r="R13" s="183"/>
      <c r="S13" s="166"/>
      <c r="T13" s="125"/>
      <c r="U13" s="125"/>
      <c r="V13" s="125"/>
      <c r="W13" s="125"/>
      <c r="X13" s="125"/>
      <c r="Y13" s="125"/>
    </row>
    <row r="14" spans="1:25" ht="231.75" customHeight="1" x14ac:dyDescent="0.25">
      <c r="A14" s="114" t="s">
        <v>69</v>
      </c>
      <c r="B14" s="114"/>
      <c r="C14" s="118" t="s">
        <v>70</v>
      </c>
      <c r="D14" s="118" t="s">
        <v>51</v>
      </c>
      <c r="E14" s="118" t="s">
        <v>61</v>
      </c>
      <c r="F14" s="118" t="s">
        <v>71</v>
      </c>
      <c r="G14" s="120">
        <v>0</v>
      </c>
      <c r="H14" s="120"/>
      <c r="I14" s="120">
        <v>0</v>
      </c>
      <c r="J14" s="120">
        <v>0</v>
      </c>
      <c r="K14" s="119">
        <v>300000000</v>
      </c>
      <c r="L14" s="119"/>
      <c r="M14" s="180">
        <f t="shared" si="0"/>
        <v>300000000</v>
      </c>
      <c r="N14" s="133">
        <f>SUM(G14:L14)</f>
        <v>300000000</v>
      </c>
      <c r="O14" s="125"/>
      <c r="P14" s="125"/>
      <c r="Q14" s="125"/>
      <c r="R14" s="183"/>
      <c r="S14" s="166"/>
      <c r="T14" s="125"/>
      <c r="U14" s="125"/>
      <c r="V14" s="125"/>
      <c r="W14" s="125"/>
      <c r="X14" s="125"/>
      <c r="Y14" s="125"/>
    </row>
    <row r="15" spans="1:25" ht="231.75" customHeight="1" thickBot="1" x14ac:dyDescent="0.3">
      <c r="A15" s="114" t="s">
        <v>72</v>
      </c>
      <c r="B15" s="114" t="s">
        <v>73</v>
      </c>
      <c r="C15" s="118" t="s">
        <v>74</v>
      </c>
      <c r="D15" s="118" t="s">
        <v>51</v>
      </c>
      <c r="E15" s="118" t="s">
        <v>75</v>
      </c>
      <c r="F15" s="118" t="s">
        <v>76</v>
      </c>
      <c r="G15" s="120">
        <v>0</v>
      </c>
      <c r="H15" s="120"/>
      <c r="I15" s="120">
        <v>0</v>
      </c>
      <c r="J15" s="120">
        <v>0</v>
      </c>
      <c r="K15" s="119">
        <v>8000000</v>
      </c>
      <c r="L15" s="135"/>
      <c r="M15" s="181">
        <f t="shared" si="0"/>
        <v>8000000</v>
      </c>
      <c r="N15" s="137">
        <f>SUM(G15:L15)</f>
        <v>8000000</v>
      </c>
      <c r="O15" s="163" t="s">
        <v>939</v>
      </c>
      <c r="P15" s="163" t="s">
        <v>940</v>
      </c>
      <c r="Q15" s="163" t="s">
        <v>941</v>
      </c>
      <c r="R15" s="182">
        <v>7456752</v>
      </c>
      <c r="S15" s="167">
        <f>R15/N15</f>
        <v>0.93209399999999998</v>
      </c>
      <c r="T15" s="114">
        <v>709</v>
      </c>
      <c r="U15" s="114" t="s">
        <v>1610</v>
      </c>
      <c r="V15" s="115">
        <v>7456752</v>
      </c>
      <c r="W15" s="116">
        <v>115</v>
      </c>
      <c r="X15" s="116" t="s">
        <v>1611</v>
      </c>
      <c r="Y15" s="117">
        <v>7456752</v>
      </c>
    </row>
    <row r="16" spans="1:25" ht="19.5" thickBot="1" x14ac:dyDescent="0.35">
      <c r="L16" s="48" t="s">
        <v>637</v>
      </c>
      <c r="M16" s="73">
        <f>SUM(M2:M15)</f>
        <v>5186977185</v>
      </c>
      <c r="N16" s="50"/>
      <c r="O16" s="50"/>
      <c r="P16" s="50"/>
      <c r="Q16" s="50"/>
      <c r="R16" s="73">
        <f>SUM(R2:R15)</f>
        <v>7456752</v>
      </c>
      <c r="S16" s="74">
        <f>R16/M16</f>
        <v>1.4375910542972631E-3</v>
      </c>
      <c r="V16">
        <f>SUM(V2:V15)</f>
        <v>7456752</v>
      </c>
      <c r="Y16">
        <f>SUM(Y2:Y15)</f>
        <v>7456752</v>
      </c>
    </row>
    <row r="17" spans="19:22" hidden="1" x14ac:dyDescent="0.25">
      <c r="S17"/>
    </row>
    <row r="18" spans="19:22" hidden="1" x14ac:dyDescent="0.25">
      <c r="S18"/>
    </row>
    <row r="19" spans="19:22" hidden="1" x14ac:dyDescent="0.25">
      <c r="S19"/>
    </row>
    <row r="20" spans="19:22" hidden="1" x14ac:dyDescent="0.25">
      <c r="S20"/>
      <c r="V20" s="23"/>
    </row>
    <row r="21" spans="19:22" hidden="1" x14ac:dyDescent="0.25">
      <c r="S21"/>
    </row>
    <row r="22" spans="19:22" hidden="1" x14ac:dyDescent="0.25">
      <c r="S22"/>
    </row>
    <row r="23" spans="19:22" hidden="1" x14ac:dyDescent="0.25">
      <c r="S23"/>
    </row>
    <row r="24" spans="19:22" hidden="1" x14ac:dyDescent="0.25">
      <c r="S24"/>
    </row>
    <row r="25" spans="19:22" hidden="1" x14ac:dyDescent="0.25">
      <c r="S25"/>
    </row>
    <row r="26" spans="19:22" hidden="1" x14ac:dyDescent="0.25">
      <c r="S26"/>
    </row>
    <row r="27" spans="19:22" hidden="1" x14ac:dyDescent="0.25">
      <c r="S27"/>
    </row>
    <row r="28" spans="19:22" hidden="1" x14ac:dyDescent="0.25">
      <c r="S28"/>
    </row>
    <row r="29" spans="19:22" hidden="1" x14ac:dyDescent="0.25">
      <c r="S29"/>
    </row>
    <row r="30" spans="19:22" hidden="1" x14ac:dyDescent="0.25">
      <c r="S30"/>
    </row>
    <row r="31" spans="19:22" hidden="1" x14ac:dyDescent="0.25">
      <c r="S31"/>
    </row>
    <row r="32" spans="19:22" hidden="1" x14ac:dyDescent="0.25">
      <c r="S32"/>
    </row>
    <row r="33" spans="19:19" hidden="1" x14ac:dyDescent="0.25">
      <c r="S33"/>
    </row>
    <row r="34" spans="19:19" hidden="1" x14ac:dyDescent="0.25">
      <c r="S34"/>
    </row>
    <row r="35" spans="19:19" hidden="1" x14ac:dyDescent="0.25">
      <c r="S35"/>
    </row>
    <row r="36" spans="19:19" hidden="1" x14ac:dyDescent="0.25">
      <c r="S36"/>
    </row>
    <row r="37" spans="19:19" hidden="1" x14ac:dyDescent="0.25">
      <c r="S37"/>
    </row>
    <row r="38" spans="19:19" hidden="1" x14ac:dyDescent="0.25">
      <c r="S38"/>
    </row>
    <row r="39" spans="19:19" hidden="1" x14ac:dyDescent="0.25">
      <c r="S39"/>
    </row>
    <row r="40" spans="19:19" hidden="1" x14ac:dyDescent="0.25">
      <c r="S40"/>
    </row>
    <row r="41" spans="19:19" hidden="1" x14ac:dyDescent="0.25">
      <c r="S41"/>
    </row>
    <row r="42" spans="19:19" hidden="1" x14ac:dyDescent="0.25">
      <c r="S42"/>
    </row>
    <row r="43" spans="19:19" hidden="1" x14ac:dyDescent="0.25">
      <c r="S43"/>
    </row>
    <row r="44" spans="19:19" hidden="1" x14ac:dyDescent="0.25">
      <c r="S44"/>
    </row>
    <row r="45" spans="19:19" hidden="1" x14ac:dyDescent="0.25">
      <c r="S45"/>
    </row>
    <row r="46" spans="19:19" hidden="1" x14ac:dyDescent="0.25">
      <c r="S46"/>
    </row>
    <row r="47" spans="19:19" hidden="1" x14ac:dyDescent="0.25">
      <c r="S47"/>
    </row>
    <row r="48" spans="19:19" hidden="1" x14ac:dyDescent="0.25">
      <c r="S48"/>
    </row>
    <row r="49" spans="19:19" hidden="1" x14ac:dyDescent="0.25">
      <c r="S49"/>
    </row>
    <row r="50" spans="19:19" hidden="1" x14ac:dyDescent="0.25">
      <c r="S50"/>
    </row>
    <row r="51" spans="19:19" hidden="1" x14ac:dyDescent="0.25">
      <c r="S51"/>
    </row>
    <row r="52" spans="19:19" hidden="1" x14ac:dyDescent="0.25">
      <c r="S52"/>
    </row>
    <row r="53" spans="19:19" hidden="1" x14ac:dyDescent="0.25">
      <c r="S53"/>
    </row>
    <row r="54" spans="19:19" hidden="1" x14ac:dyDescent="0.25">
      <c r="S54"/>
    </row>
    <row r="55" spans="19:19" hidden="1" x14ac:dyDescent="0.25">
      <c r="S55"/>
    </row>
    <row r="56" spans="19:19" hidden="1" x14ac:dyDescent="0.25">
      <c r="S56"/>
    </row>
    <row r="57" spans="19:19" hidden="1" x14ac:dyDescent="0.25">
      <c r="S57"/>
    </row>
    <row r="58" spans="19:19" hidden="1" x14ac:dyDescent="0.25">
      <c r="S58"/>
    </row>
    <row r="59" spans="19:19" hidden="1" x14ac:dyDescent="0.25">
      <c r="S59"/>
    </row>
    <row r="60" spans="19:19" hidden="1" x14ac:dyDescent="0.25">
      <c r="S60"/>
    </row>
    <row r="61" spans="19:19" hidden="1" x14ac:dyDescent="0.25">
      <c r="S61"/>
    </row>
    <row r="62" spans="19:19" hidden="1" x14ac:dyDescent="0.25">
      <c r="S62"/>
    </row>
    <row r="63" spans="19:19" hidden="1" x14ac:dyDescent="0.25">
      <c r="S63"/>
    </row>
    <row r="64" spans="19:19" hidden="1" x14ac:dyDescent="0.25">
      <c r="S64"/>
    </row>
    <row r="65" spans="19:19" hidden="1" x14ac:dyDescent="0.25">
      <c r="S65"/>
    </row>
    <row r="66" spans="19:19" hidden="1" x14ac:dyDescent="0.25">
      <c r="S66"/>
    </row>
    <row r="67" spans="19:19" hidden="1" x14ac:dyDescent="0.25">
      <c r="S67"/>
    </row>
    <row r="68" spans="19:19" hidden="1" x14ac:dyDescent="0.25">
      <c r="S68"/>
    </row>
    <row r="69" spans="19:19" hidden="1" x14ac:dyDescent="0.25">
      <c r="S69"/>
    </row>
    <row r="70" spans="19:19" hidden="1" x14ac:dyDescent="0.25">
      <c r="S70"/>
    </row>
    <row r="71" spans="19:19" hidden="1" x14ac:dyDescent="0.25">
      <c r="S71"/>
    </row>
    <row r="72" spans="19:19" hidden="1" x14ac:dyDescent="0.25">
      <c r="S72"/>
    </row>
    <row r="73" spans="19:19" hidden="1" x14ac:dyDescent="0.25">
      <c r="S73"/>
    </row>
    <row r="74" spans="19:19" hidden="1" x14ac:dyDescent="0.25">
      <c r="S74"/>
    </row>
    <row r="75" spans="19:19" hidden="1" x14ac:dyDescent="0.25">
      <c r="S75"/>
    </row>
    <row r="76" spans="19:19" hidden="1" x14ac:dyDescent="0.25">
      <c r="S76"/>
    </row>
    <row r="77" spans="19:19" hidden="1" x14ac:dyDescent="0.25">
      <c r="S77"/>
    </row>
    <row r="78" spans="19:19" hidden="1" x14ac:dyDescent="0.25">
      <c r="S78"/>
    </row>
    <row r="79" spans="19:19" hidden="1" x14ac:dyDescent="0.25">
      <c r="S79"/>
    </row>
    <row r="80" spans="19:19" hidden="1" x14ac:dyDescent="0.25">
      <c r="S80"/>
    </row>
    <row r="81" spans="19:19" hidden="1" x14ac:dyDescent="0.25">
      <c r="S81"/>
    </row>
    <row r="82" spans="19:19" hidden="1" x14ac:dyDescent="0.25">
      <c r="S82"/>
    </row>
    <row r="83" spans="19:19" hidden="1" x14ac:dyDescent="0.25">
      <c r="S83"/>
    </row>
    <row r="84" spans="19:19" hidden="1" x14ac:dyDescent="0.25">
      <c r="S84"/>
    </row>
    <row r="85" spans="19:19" hidden="1" x14ac:dyDescent="0.25">
      <c r="S85"/>
    </row>
    <row r="86" spans="19:19" hidden="1" x14ac:dyDescent="0.25">
      <c r="S86"/>
    </row>
    <row r="87" spans="19:19" hidden="1" x14ac:dyDescent="0.25">
      <c r="S87"/>
    </row>
    <row r="88" spans="19:19" hidden="1" x14ac:dyDescent="0.25">
      <c r="S88"/>
    </row>
    <row r="89" spans="19:19" hidden="1" x14ac:dyDescent="0.25">
      <c r="S89"/>
    </row>
    <row r="90" spans="19:19" hidden="1" x14ac:dyDescent="0.25">
      <c r="S90"/>
    </row>
    <row r="91" spans="19:19" hidden="1" x14ac:dyDescent="0.25">
      <c r="S91"/>
    </row>
    <row r="92" spans="19:19" hidden="1" x14ac:dyDescent="0.25">
      <c r="S92"/>
    </row>
    <row r="93" spans="19:19" hidden="1" x14ac:dyDescent="0.25">
      <c r="S93"/>
    </row>
    <row r="94" spans="19:19" hidden="1" x14ac:dyDescent="0.25">
      <c r="S94"/>
    </row>
    <row r="95" spans="19:19" hidden="1" x14ac:dyDescent="0.25">
      <c r="S95"/>
    </row>
    <row r="96" spans="19:19" hidden="1" x14ac:dyDescent="0.25">
      <c r="S96"/>
    </row>
    <row r="97" spans="19:19" hidden="1" x14ac:dyDescent="0.25">
      <c r="S97"/>
    </row>
    <row r="98" spans="19:19" hidden="1" x14ac:dyDescent="0.25">
      <c r="S98"/>
    </row>
    <row r="99" spans="19:19" hidden="1" x14ac:dyDescent="0.25">
      <c r="S99"/>
    </row>
    <row r="100" spans="19:19" hidden="1" x14ac:dyDescent="0.25">
      <c r="S100"/>
    </row>
    <row r="101" spans="19:19" hidden="1" x14ac:dyDescent="0.25">
      <c r="S101"/>
    </row>
    <row r="102" spans="19:19" hidden="1" x14ac:dyDescent="0.25">
      <c r="S102"/>
    </row>
    <row r="103" spans="19:19" hidden="1" x14ac:dyDescent="0.25">
      <c r="S103"/>
    </row>
    <row r="104" spans="19:19" hidden="1" x14ac:dyDescent="0.25">
      <c r="S104"/>
    </row>
    <row r="105" spans="19:19" hidden="1" x14ac:dyDescent="0.25">
      <c r="S105"/>
    </row>
    <row r="106" spans="19:19" hidden="1" x14ac:dyDescent="0.25">
      <c r="S106"/>
    </row>
    <row r="107" spans="19:19" hidden="1" x14ac:dyDescent="0.25">
      <c r="S107"/>
    </row>
    <row r="108" spans="19:19" hidden="1" x14ac:dyDescent="0.25">
      <c r="S108"/>
    </row>
    <row r="109" spans="19:19" hidden="1" x14ac:dyDescent="0.25">
      <c r="S109"/>
    </row>
    <row r="110" spans="19:19" hidden="1" x14ac:dyDescent="0.25">
      <c r="S110"/>
    </row>
    <row r="111" spans="19:19" hidden="1" x14ac:dyDescent="0.25">
      <c r="S111"/>
    </row>
    <row r="112" spans="19:19" hidden="1" x14ac:dyDescent="0.25">
      <c r="S112"/>
    </row>
    <row r="113" spans="19:19" hidden="1" x14ac:dyDescent="0.25">
      <c r="S113"/>
    </row>
    <row r="114" spans="19:19" hidden="1" x14ac:dyDescent="0.25">
      <c r="S114"/>
    </row>
    <row r="115" spans="19:19" hidden="1" x14ac:dyDescent="0.25">
      <c r="S115"/>
    </row>
    <row r="116" spans="19:19" hidden="1" x14ac:dyDescent="0.25">
      <c r="S116"/>
    </row>
    <row r="117" spans="19:19" hidden="1" x14ac:dyDescent="0.25">
      <c r="S117"/>
    </row>
    <row r="118" spans="19:19" hidden="1" x14ac:dyDescent="0.25">
      <c r="S118"/>
    </row>
    <row r="119" spans="19:19" hidden="1" x14ac:dyDescent="0.25">
      <c r="S119"/>
    </row>
    <row r="120" spans="19:19" hidden="1" x14ac:dyDescent="0.25">
      <c r="S120"/>
    </row>
    <row r="121" spans="19:19" hidden="1" x14ac:dyDescent="0.25">
      <c r="S121"/>
    </row>
    <row r="122" spans="19:19" hidden="1" x14ac:dyDescent="0.25">
      <c r="S122"/>
    </row>
    <row r="123" spans="19:19" hidden="1" x14ac:dyDescent="0.25">
      <c r="S123"/>
    </row>
    <row r="124" spans="19:19" hidden="1" x14ac:dyDescent="0.25">
      <c r="S124"/>
    </row>
    <row r="125" spans="19:19" hidden="1" x14ac:dyDescent="0.25">
      <c r="S125"/>
    </row>
    <row r="126" spans="19:19" hidden="1" x14ac:dyDescent="0.25">
      <c r="S126"/>
    </row>
    <row r="127" spans="19:19" hidden="1" x14ac:dyDescent="0.25">
      <c r="S127"/>
    </row>
    <row r="128" spans="19:19" hidden="1" x14ac:dyDescent="0.25">
      <c r="S128"/>
    </row>
    <row r="129" spans="19:19" hidden="1" x14ac:dyDescent="0.25">
      <c r="S129"/>
    </row>
    <row r="130" spans="19:19" hidden="1" x14ac:dyDescent="0.25">
      <c r="S130"/>
    </row>
    <row r="131" spans="19:19" hidden="1" x14ac:dyDescent="0.25">
      <c r="S131"/>
    </row>
    <row r="132" spans="19:19" hidden="1" x14ac:dyDescent="0.25">
      <c r="S132"/>
    </row>
    <row r="133" spans="19:19" hidden="1" x14ac:dyDescent="0.25">
      <c r="S133"/>
    </row>
    <row r="134" spans="19:19" hidden="1" x14ac:dyDescent="0.25">
      <c r="S134"/>
    </row>
    <row r="135" spans="19:19" hidden="1" x14ac:dyDescent="0.25">
      <c r="S135"/>
    </row>
    <row r="136" spans="19:19" hidden="1" x14ac:dyDescent="0.25">
      <c r="S136"/>
    </row>
    <row r="137" spans="19:19" hidden="1" x14ac:dyDescent="0.25">
      <c r="S137"/>
    </row>
    <row r="138" spans="19:19" hidden="1" x14ac:dyDescent="0.25">
      <c r="S138"/>
    </row>
    <row r="139" spans="19:19" hidden="1" x14ac:dyDescent="0.25">
      <c r="S139"/>
    </row>
    <row r="140" spans="19:19" hidden="1" x14ac:dyDescent="0.25">
      <c r="S140"/>
    </row>
    <row r="141" spans="19:19" hidden="1" x14ac:dyDescent="0.25">
      <c r="S141"/>
    </row>
    <row r="142" spans="19:19" hidden="1" x14ac:dyDescent="0.25">
      <c r="S142"/>
    </row>
    <row r="143" spans="19:19" hidden="1" x14ac:dyDescent="0.25">
      <c r="S143"/>
    </row>
    <row r="144" spans="19:19" hidden="1" x14ac:dyDescent="0.25">
      <c r="S144"/>
    </row>
    <row r="145" spans="19:19" hidden="1" x14ac:dyDescent="0.25">
      <c r="S145"/>
    </row>
    <row r="146" spans="19:19" hidden="1" x14ac:dyDescent="0.25">
      <c r="S146"/>
    </row>
    <row r="147" spans="19:19" hidden="1" x14ac:dyDescent="0.25">
      <c r="S147"/>
    </row>
    <row r="148" spans="19:19" hidden="1" x14ac:dyDescent="0.25">
      <c r="S148"/>
    </row>
    <row r="149" spans="19:19" hidden="1" x14ac:dyDescent="0.25">
      <c r="S149"/>
    </row>
    <row r="150" spans="19:19" hidden="1" x14ac:dyDescent="0.25">
      <c r="S150"/>
    </row>
    <row r="151" spans="19:19" hidden="1" x14ac:dyDescent="0.25">
      <c r="S151"/>
    </row>
    <row r="152" spans="19:19" hidden="1" x14ac:dyDescent="0.25">
      <c r="S152"/>
    </row>
    <row r="153" spans="19:19" hidden="1" x14ac:dyDescent="0.25">
      <c r="S153"/>
    </row>
    <row r="154" spans="19:19" hidden="1" x14ac:dyDescent="0.25">
      <c r="S154"/>
    </row>
    <row r="155" spans="19:19" hidden="1" x14ac:dyDescent="0.25">
      <c r="S155"/>
    </row>
    <row r="156" spans="19:19" hidden="1" x14ac:dyDescent="0.25">
      <c r="S156"/>
    </row>
    <row r="157" spans="19:19" hidden="1" x14ac:dyDescent="0.25">
      <c r="S157"/>
    </row>
    <row r="158" spans="19:19" hidden="1" x14ac:dyDescent="0.25">
      <c r="S158"/>
    </row>
    <row r="159" spans="19:19" hidden="1" x14ac:dyDescent="0.25">
      <c r="S159"/>
    </row>
    <row r="160" spans="19:19" hidden="1" x14ac:dyDescent="0.25">
      <c r="S160"/>
    </row>
    <row r="161" spans="19:19" hidden="1" x14ac:dyDescent="0.25">
      <c r="S161"/>
    </row>
    <row r="162" spans="19:19" hidden="1" x14ac:dyDescent="0.25">
      <c r="S162"/>
    </row>
    <row r="163" spans="19:19" hidden="1" x14ac:dyDescent="0.25">
      <c r="S163"/>
    </row>
    <row r="164" spans="19:19" hidden="1" x14ac:dyDescent="0.25">
      <c r="S164"/>
    </row>
    <row r="165" spans="19:19" hidden="1" x14ac:dyDescent="0.25">
      <c r="S165"/>
    </row>
    <row r="166" spans="19:19" hidden="1" x14ac:dyDescent="0.25">
      <c r="S166"/>
    </row>
    <row r="167" spans="19:19" hidden="1" x14ac:dyDescent="0.25">
      <c r="S167"/>
    </row>
    <row r="168" spans="19:19" hidden="1" x14ac:dyDescent="0.25">
      <c r="S168"/>
    </row>
    <row r="169" spans="19:19" hidden="1" x14ac:dyDescent="0.25">
      <c r="S169"/>
    </row>
    <row r="170" spans="19:19" hidden="1" x14ac:dyDescent="0.25">
      <c r="S170"/>
    </row>
    <row r="171" spans="19:19" hidden="1" x14ac:dyDescent="0.25">
      <c r="S171"/>
    </row>
    <row r="172" spans="19:19" hidden="1" x14ac:dyDescent="0.25">
      <c r="S172"/>
    </row>
    <row r="173" spans="19:19" hidden="1" x14ac:dyDescent="0.25">
      <c r="S173"/>
    </row>
    <row r="174" spans="19:19" hidden="1" x14ac:dyDescent="0.25">
      <c r="S174"/>
    </row>
    <row r="175" spans="19:19" hidden="1" x14ac:dyDescent="0.25">
      <c r="S175"/>
    </row>
    <row r="176" spans="19:19" hidden="1" x14ac:dyDescent="0.25">
      <c r="S176"/>
    </row>
    <row r="177" spans="19:19" hidden="1" x14ac:dyDescent="0.25">
      <c r="S177"/>
    </row>
    <row r="178" spans="19:19" hidden="1" x14ac:dyDescent="0.25">
      <c r="S178"/>
    </row>
    <row r="179" spans="19:19" hidden="1" x14ac:dyDescent="0.25">
      <c r="S179"/>
    </row>
    <row r="180" spans="19:19" hidden="1" x14ac:dyDescent="0.25">
      <c r="S180"/>
    </row>
    <row r="181" spans="19:19" hidden="1" x14ac:dyDescent="0.25">
      <c r="S181"/>
    </row>
    <row r="182" spans="19:19" hidden="1" x14ac:dyDescent="0.25">
      <c r="S182"/>
    </row>
    <row r="183" spans="19:19" hidden="1" x14ac:dyDescent="0.25">
      <c r="S183"/>
    </row>
    <row r="184" spans="19:19" hidden="1" x14ac:dyDescent="0.25">
      <c r="S184"/>
    </row>
    <row r="185" spans="19:19" hidden="1" x14ac:dyDescent="0.25">
      <c r="S185"/>
    </row>
    <row r="186" spans="19:19" hidden="1" x14ac:dyDescent="0.25">
      <c r="S186"/>
    </row>
    <row r="187" spans="19:19" hidden="1" x14ac:dyDescent="0.25">
      <c r="S187"/>
    </row>
    <row r="188" spans="19:19" hidden="1" x14ac:dyDescent="0.25">
      <c r="S188"/>
    </row>
    <row r="189" spans="19:19" hidden="1" x14ac:dyDescent="0.25">
      <c r="S189"/>
    </row>
    <row r="190" spans="19:19" hidden="1" x14ac:dyDescent="0.25">
      <c r="S190"/>
    </row>
    <row r="191" spans="19:19" hidden="1" x14ac:dyDescent="0.25">
      <c r="S191"/>
    </row>
    <row r="192" spans="19:19" hidden="1" x14ac:dyDescent="0.25">
      <c r="S192"/>
    </row>
    <row r="193" spans="19:19" hidden="1" x14ac:dyDescent="0.25">
      <c r="S193"/>
    </row>
    <row r="194" spans="19:19" hidden="1" x14ac:dyDescent="0.25">
      <c r="S194"/>
    </row>
    <row r="195" spans="19:19" hidden="1" x14ac:dyDescent="0.25">
      <c r="S195"/>
    </row>
    <row r="196" spans="19:19" hidden="1" x14ac:dyDescent="0.25">
      <c r="S196"/>
    </row>
    <row r="197" spans="19:19" hidden="1" x14ac:dyDescent="0.25">
      <c r="S197"/>
    </row>
    <row r="198" spans="19:19" hidden="1" x14ac:dyDescent="0.25">
      <c r="S198"/>
    </row>
    <row r="199" spans="19:19" hidden="1" x14ac:dyDescent="0.25">
      <c r="S199"/>
    </row>
    <row r="200" spans="19:19" hidden="1" x14ac:dyDescent="0.25">
      <c r="S200"/>
    </row>
    <row r="201" spans="19:19" hidden="1" x14ac:dyDescent="0.25">
      <c r="S201"/>
    </row>
    <row r="202" spans="19:19" hidden="1" x14ac:dyDescent="0.25">
      <c r="S202"/>
    </row>
    <row r="203" spans="19:19" hidden="1" x14ac:dyDescent="0.25">
      <c r="S203"/>
    </row>
    <row r="204" spans="19:19" hidden="1" x14ac:dyDescent="0.25">
      <c r="S204"/>
    </row>
    <row r="205" spans="19:19" hidden="1" x14ac:dyDescent="0.25">
      <c r="S205"/>
    </row>
    <row r="206" spans="19:19" hidden="1" x14ac:dyDescent="0.25">
      <c r="S206"/>
    </row>
    <row r="207" spans="19:19" hidden="1" x14ac:dyDescent="0.25">
      <c r="S207"/>
    </row>
    <row r="208" spans="19:19" hidden="1" x14ac:dyDescent="0.25">
      <c r="S208"/>
    </row>
    <row r="209" spans="19:19" hidden="1" x14ac:dyDescent="0.25">
      <c r="S209"/>
    </row>
    <row r="210" spans="19:19" hidden="1" x14ac:dyDescent="0.25">
      <c r="S210"/>
    </row>
    <row r="211" spans="19:19" hidden="1" x14ac:dyDescent="0.25">
      <c r="S211"/>
    </row>
    <row r="212" spans="19:19" hidden="1" x14ac:dyDescent="0.25">
      <c r="S212"/>
    </row>
    <row r="213" spans="19:19" hidden="1" x14ac:dyDescent="0.25">
      <c r="S213"/>
    </row>
    <row r="214" spans="19:19" hidden="1" x14ac:dyDescent="0.25">
      <c r="S214"/>
    </row>
    <row r="215" spans="19:19" hidden="1" x14ac:dyDescent="0.25">
      <c r="S215"/>
    </row>
    <row r="216" spans="19:19" hidden="1" x14ac:dyDescent="0.25">
      <c r="S216"/>
    </row>
    <row r="217" spans="19:19" hidden="1" x14ac:dyDescent="0.25">
      <c r="S217"/>
    </row>
    <row r="218" spans="19:19" hidden="1" x14ac:dyDescent="0.25">
      <c r="S218"/>
    </row>
    <row r="219" spans="19:19" hidden="1" x14ac:dyDescent="0.25">
      <c r="S219"/>
    </row>
    <row r="220" spans="19:19" hidden="1" x14ac:dyDescent="0.25">
      <c r="S220"/>
    </row>
    <row r="221" spans="19:19" hidden="1" x14ac:dyDescent="0.25">
      <c r="S221"/>
    </row>
    <row r="222" spans="19:19" hidden="1" x14ac:dyDescent="0.25">
      <c r="S222"/>
    </row>
    <row r="223" spans="19:19" hidden="1" x14ac:dyDescent="0.25">
      <c r="S223"/>
    </row>
    <row r="224" spans="19:19" hidden="1" x14ac:dyDescent="0.25">
      <c r="S224"/>
    </row>
    <row r="225" spans="19:19" hidden="1" x14ac:dyDescent="0.25">
      <c r="S225"/>
    </row>
    <row r="226" spans="19:19" hidden="1" x14ac:dyDescent="0.25">
      <c r="S226"/>
    </row>
    <row r="227" spans="19:19" hidden="1" x14ac:dyDescent="0.25">
      <c r="S227"/>
    </row>
    <row r="228" spans="19:19" hidden="1" x14ac:dyDescent="0.25">
      <c r="S228"/>
    </row>
    <row r="229" spans="19:19" hidden="1" x14ac:dyDescent="0.25">
      <c r="S229"/>
    </row>
    <row r="230" spans="19:19" hidden="1" x14ac:dyDescent="0.25">
      <c r="S230"/>
    </row>
    <row r="231" spans="19:19" hidden="1" x14ac:dyDescent="0.25">
      <c r="S231"/>
    </row>
    <row r="232" spans="19:19" hidden="1" x14ac:dyDescent="0.25">
      <c r="S232"/>
    </row>
    <row r="233" spans="19:19" hidden="1" x14ac:dyDescent="0.25">
      <c r="S233"/>
    </row>
    <row r="234" spans="19:19" hidden="1" x14ac:dyDescent="0.25">
      <c r="S234"/>
    </row>
    <row r="235" spans="19:19" hidden="1" x14ac:dyDescent="0.25">
      <c r="S235"/>
    </row>
    <row r="236" spans="19:19" hidden="1" x14ac:dyDescent="0.25">
      <c r="S236"/>
    </row>
    <row r="237" spans="19:19" hidden="1" x14ac:dyDescent="0.25">
      <c r="S237"/>
    </row>
    <row r="238" spans="19:19" hidden="1" x14ac:dyDescent="0.25">
      <c r="S238"/>
    </row>
    <row r="239" spans="19:19" hidden="1" x14ac:dyDescent="0.25">
      <c r="S239"/>
    </row>
    <row r="240" spans="19:19" hidden="1" x14ac:dyDescent="0.25">
      <c r="S240"/>
    </row>
    <row r="241" spans="19:19" hidden="1" x14ac:dyDescent="0.25">
      <c r="S241"/>
    </row>
    <row r="242" spans="19:19" hidden="1" x14ac:dyDescent="0.25">
      <c r="S242"/>
    </row>
    <row r="243" spans="19:19" hidden="1" x14ac:dyDescent="0.25">
      <c r="S243"/>
    </row>
    <row r="244" spans="19:19" hidden="1" x14ac:dyDescent="0.25">
      <c r="S244"/>
    </row>
    <row r="245" spans="19:19" hidden="1" x14ac:dyDescent="0.25">
      <c r="S245"/>
    </row>
    <row r="246" spans="19:19" hidden="1" x14ac:dyDescent="0.25">
      <c r="S246"/>
    </row>
    <row r="247" spans="19:19" hidden="1" x14ac:dyDescent="0.25">
      <c r="S247"/>
    </row>
    <row r="248" spans="19:19" hidden="1" x14ac:dyDescent="0.25">
      <c r="S248"/>
    </row>
    <row r="249" spans="19:19" hidden="1" x14ac:dyDescent="0.25">
      <c r="S249"/>
    </row>
    <row r="250" spans="19:19" hidden="1" x14ac:dyDescent="0.25">
      <c r="S250"/>
    </row>
    <row r="251" spans="19:19" hidden="1" x14ac:dyDescent="0.25">
      <c r="S251"/>
    </row>
    <row r="252" spans="19:19" hidden="1" x14ac:dyDescent="0.25">
      <c r="S252"/>
    </row>
    <row r="253" spans="19:19" hidden="1" x14ac:dyDescent="0.25">
      <c r="S253"/>
    </row>
    <row r="254" spans="19:19" hidden="1" x14ac:dyDescent="0.25">
      <c r="S254"/>
    </row>
    <row r="255" spans="19:19" hidden="1" x14ac:dyDescent="0.25">
      <c r="S255"/>
    </row>
    <row r="256" spans="19:19" hidden="1" x14ac:dyDescent="0.25">
      <c r="S256"/>
    </row>
    <row r="257" spans="19:19" hidden="1" x14ac:dyDescent="0.25">
      <c r="S257"/>
    </row>
    <row r="258" spans="19:19" hidden="1" x14ac:dyDescent="0.25">
      <c r="S258"/>
    </row>
    <row r="259" spans="19:19" hidden="1" x14ac:dyDescent="0.25">
      <c r="S259"/>
    </row>
    <row r="260" spans="19:19" hidden="1" x14ac:dyDescent="0.25">
      <c r="S260"/>
    </row>
    <row r="261" spans="19:19" hidden="1" x14ac:dyDescent="0.25">
      <c r="S261"/>
    </row>
    <row r="262" spans="19:19" hidden="1" x14ac:dyDescent="0.25">
      <c r="S262"/>
    </row>
    <row r="263" spans="19:19" hidden="1" x14ac:dyDescent="0.25">
      <c r="S263"/>
    </row>
    <row r="264" spans="19:19" hidden="1" x14ac:dyDescent="0.25">
      <c r="S264"/>
    </row>
    <row r="265" spans="19:19" hidden="1" x14ac:dyDescent="0.25">
      <c r="S265"/>
    </row>
    <row r="266" spans="19:19" hidden="1" x14ac:dyDescent="0.25">
      <c r="S266"/>
    </row>
    <row r="267" spans="19:19" hidden="1" x14ac:dyDescent="0.25">
      <c r="S267"/>
    </row>
    <row r="268" spans="19:19" hidden="1" x14ac:dyDescent="0.25">
      <c r="S268"/>
    </row>
    <row r="269" spans="19:19" hidden="1" x14ac:dyDescent="0.25">
      <c r="S269"/>
    </row>
    <row r="270" spans="19:19" hidden="1" x14ac:dyDescent="0.25">
      <c r="S270"/>
    </row>
    <row r="271" spans="19:19" hidden="1" x14ac:dyDescent="0.25">
      <c r="S271"/>
    </row>
    <row r="272" spans="19:19" hidden="1" x14ac:dyDescent="0.25">
      <c r="S272"/>
    </row>
    <row r="273" spans="19:19" hidden="1" x14ac:dyDescent="0.25">
      <c r="S273"/>
    </row>
    <row r="274" spans="19:19" hidden="1" x14ac:dyDescent="0.25">
      <c r="S274"/>
    </row>
    <row r="275" spans="19:19" hidden="1" x14ac:dyDescent="0.25">
      <c r="S275"/>
    </row>
    <row r="276" spans="19:19" hidden="1" x14ac:dyDescent="0.25">
      <c r="S276"/>
    </row>
    <row r="277" spans="19:19" hidden="1" x14ac:dyDescent="0.25">
      <c r="S277"/>
    </row>
    <row r="278" spans="19:19" hidden="1" x14ac:dyDescent="0.25">
      <c r="S278"/>
    </row>
    <row r="279" spans="19:19" hidden="1" x14ac:dyDescent="0.25">
      <c r="S279"/>
    </row>
    <row r="280" spans="19:19" hidden="1" x14ac:dyDescent="0.25">
      <c r="S280"/>
    </row>
    <row r="281" spans="19:19" hidden="1" x14ac:dyDescent="0.25">
      <c r="S281"/>
    </row>
    <row r="282" spans="19:19" hidden="1" x14ac:dyDescent="0.25">
      <c r="S282"/>
    </row>
    <row r="283" spans="19:19" hidden="1" x14ac:dyDescent="0.25">
      <c r="S283"/>
    </row>
    <row r="284" spans="19:19" hidden="1" x14ac:dyDescent="0.25">
      <c r="S284"/>
    </row>
    <row r="285" spans="19:19" hidden="1" x14ac:dyDescent="0.25">
      <c r="S285"/>
    </row>
    <row r="286" spans="19:19" hidden="1" x14ac:dyDescent="0.25">
      <c r="S286"/>
    </row>
    <row r="287" spans="19:19" hidden="1" x14ac:dyDescent="0.25">
      <c r="S287"/>
    </row>
    <row r="288" spans="19:19" hidden="1" x14ac:dyDescent="0.25">
      <c r="S288"/>
    </row>
    <row r="289" spans="19:19" hidden="1" x14ac:dyDescent="0.25">
      <c r="S289"/>
    </row>
    <row r="290" spans="19:19" hidden="1" x14ac:dyDescent="0.25">
      <c r="S290"/>
    </row>
    <row r="291" spans="19:19" hidden="1" x14ac:dyDescent="0.25">
      <c r="S291"/>
    </row>
    <row r="292" spans="19:19" hidden="1" x14ac:dyDescent="0.25">
      <c r="S292"/>
    </row>
    <row r="293" spans="19:19" hidden="1" x14ac:dyDescent="0.25">
      <c r="S293"/>
    </row>
    <row r="294" spans="19:19" hidden="1" x14ac:dyDescent="0.25">
      <c r="S294"/>
    </row>
    <row r="295" spans="19:19" hidden="1" x14ac:dyDescent="0.25">
      <c r="S295"/>
    </row>
    <row r="296" spans="19:19" hidden="1" x14ac:dyDescent="0.25">
      <c r="S296"/>
    </row>
    <row r="297" spans="19:19" hidden="1" x14ac:dyDescent="0.25">
      <c r="S297"/>
    </row>
    <row r="298" spans="19:19" hidden="1" x14ac:dyDescent="0.25">
      <c r="S298"/>
    </row>
    <row r="299" spans="19:19" hidden="1" x14ac:dyDescent="0.25">
      <c r="S299"/>
    </row>
    <row r="300" spans="19:19" hidden="1" x14ac:dyDescent="0.25">
      <c r="S300"/>
    </row>
    <row r="301" spans="19:19" hidden="1" x14ac:dyDescent="0.25">
      <c r="S301"/>
    </row>
    <row r="302" spans="19:19" hidden="1" x14ac:dyDescent="0.25">
      <c r="S302"/>
    </row>
    <row r="303" spans="19:19" hidden="1" x14ac:dyDescent="0.25">
      <c r="S303"/>
    </row>
    <row r="304" spans="19:19" hidden="1" x14ac:dyDescent="0.25">
      <c r="S304"/>
    </row>
    <row r="305" spans="19:19" hidden="1" x14ac:dyDescent="0.25">
      <c r="S305"/>
    </row>
    <row r="306" spans="19:19" hidden="1" x14ac:dyDescent="0.25">
      <c r="S306"/>
    </row>
    <row r="307" spans="19:19" hidden="1" x14ac:dyDescent="0.25">
      <c r="S307"/>
    </row>
    <row r="308" spans="19:19" hidden="1" x14ac:dyDescent="0.25">
      <c r="S308"/>
    </row>
    <row r="309" spans="19:19" hidden="1" x14ac:dyDescent="0.25">
      <c r="S309"/>
    </row>
    <row r="310" spans="19:19" hidden="1" x14ac:dyDescent="0.25">
      <c r="S310"/>
    </row>
    <row r="311" spans="19:19" hidden="1" x14ac:dyDescent="0.25">
      <c r="S311"/>
    </row>
    <row r="312" spans="19:19" hidden="1" x14ac:dyDescent="0.25">
      <c r="S312"/>
    </row>
    <row r="313" spans="19:19" hidden="1" x14ac:dyDescent="0.25">
      <c r="S313"/>
    </row>
    <row r="314" spans="19:19" hidden="1" x14ac:dyDescent="0.25">
      <c r="S314"/>
    </row>
    <row r="315" spans="19:19" hidden="1" x14ac:dyDescent="0.25">
      <c r="S315"/>
    </row>
    <row r="316" spans="19:19" hidden="1" x14ac:dyDescent="0.25">
      <c r="S316"/>
    </row>
    <row r="317" spans="19:19" hidden="1" x14ac:dyDescent="0.25">
      <c r="S317"/>
    </row>
    <row r="318" spans="19:19" hidden="1" x14ac:dyDescent="0.25">
      <c r="S318"/>
    </row>
    <row r="319" spans="19:19" hidden="1" x14ac:dyDescent="0.25">
      <c r="S319"/>
    </row>
    <row r="320" spans="19:19" hidden="1" x14ac:dyDescent="0.25">
      <c r="S320"/>
    </row>
    <row r="321" spans="19:19" hidden="1" x14ac:dyDescent="0.25">
      <c r="S321"/>
    </row>
    <row r="322" spans="19:19" hidden="1" x14ac:dyDescent="0.25">
      <c r="S322"/>
    </row>
    <row r="323" spans="19:19" hidden="1" x14ac:dyDescent="0.25">
      <c r="S323"/>
    </row>
    <row r="324" spans="19:19" hidden="1" x14ac:dyDescent="0.25">
      <c r="S324"/>
    </row>
    <row r="325" spans="19:19" hidden="1" x14ac:dyDescent="0.25">
      <c r="S325"/>
    </row>
    <row r="326" spans="19:19" hidden="1" x14ac:dyDescent="0.25">
      <c r="S326"/>
    </row>
    <row r="327" spans="19:19" hidden="1" x14ac:dyDescent="0.25">
      <c r="S327"/>
    </row>
    <row r="328" spans="19:19" hidden="1" x14ac:dyDescent="0.25">
      <c r="S328"/>
    </row>
    <row r="329" spans="19:19" hidden="1" x14ac:dyDescent="0.25">
      <c r="S329"/>
    </row>
    <row r="330" spans="19:19" hidden="1" x14ac:dyDescent="0.25">
      <c r="S330"/>
    </row>
    <row r="331" spans="19:19" hidden="1" x14ac:dyDescent="0.25">
      <c r="S331"/>
    </row>
    <row r="332" spans="19:19" hidden="1" x14ac:dyDescent="0.25">
      <c r="S332"/>
    </row>
    <row r="333" spans="19:19" hidden="1" x14ac:dyDescent="0.25">
      <c r="S333"/>
    </row>
    <row r="334" spans="19:19" hidden="1" x14ac:dyDescent="0.25">
      <c r="S334"/>
    </row>
    <row r="335" spans="19:19" hidden="1" x14ac:dyDescent="0.25">
      <c r="S335"/>
    </row>
    <row r="336" spans="19:19" hidden="1" x14ac:dyDescent="0.25">
      <c r="S336"/>
    </row>
    <row r="337" spans="19:19" hidden="1" x14ac:dyDescent="0.25">
      <c r="S337"/>
    </row>
    <row r="338" spans="19:19" hidden="1" x14ac:dyDescent="0.25">
      <c r="S338"/>
    </row>
    <row r="339" spans="19:19" hidden="1" x14ac:dyDescent="0.25">
      <c r="S339"/>
    </row>
    <row r="340" spans="19:19" hidden="1" x14ac:dyDescent="0.25">
      <c r="S340"/>
    </row>
    <row r="341" spans="19:19" hidden="1" x14ac:dyDescent="0.25">
      <c r="S341"/>
    </row>
    <row r="342" spans="19:19" hidden="1" x14ac:dyDescent="0.25">
      <c r="S342"/>
    </row>
    <row r="343" spans="19:19" hidden="1" x14ac:dyDescent="0.25">
      <c r="S343"/>
    </row>
    <row r="344" spans="19:19" hidden="1" x14ac:dyDescent="0.25">
      <c r="S344"/>
    </row>
    <row r="345" spans="19:19" hidden="1" x14ac:dyDescent="0.25">
      <c r="S345"/>
    </row>
    <row r="346" spans="19:19" hidden="1" x14ac:dyDescent="0.25">
      <c r="S346"/>
    </row>
    <row r="347" spans="19:19" hidden="1" x14ac:dyDescent="0.25">
      <c r="S347"/>
    </row>
    <row r="348" spans="19:19" hidden="1" x14ac:dyDescent="0.25">
      <c r="S348"/>
    </row>
    <row r="349" spans="19:19" hidden="1" x14ac:dyDescent="0.25">
      <c r="S349"/>
    </row>
    <row r="350" spans="19:19" hidden="1" x14ac:dyDescent="0.25">
      <c r="S350"/>
    </row>
    <row r="351" spans="19:19" hidden="1" x14ac:dyDescent="0.25">
      <c r="S351"/>
    </row>
    <row r="352" spans="19:19" hidden="1" x14ac:dyDescent="0.25">
      <c r="S352"/>
    </row>
    <row r="353" spans="19:19" hidden="1" x14ac:dyDescent="0.25">
      <c r="S353"/>
    </row>
    <row r="354" spans="19:19" hidden="1" x14ac:dyDescent="0.25">
      <c r="S354"/>
    </row>
    <row r="355" spans="19:19" hidden="1" x14ac:dyDescent="0.25">
      <c r="S355"/>
    </row>
    <row r="356" spans="19:19" hidden="1" x14ac:dyDescent="0.25">
      <c r="S356"/>
    </row>
    <row r="357" spans="19:19" hidden="1" x14ac:dyDescent="0.25">
      <c r="S357"/>
    </row>
    <row r="358" spans="19:19" hidden="1" x14ac:dyDescent="0.25">
      <c r="S358"/>
    </row>
    <row r="359" spans="19:19" hidden="1" x14ac:dyDescent="0.25">
      <c r="S359"/>
    </row>
    <row r="360" spans="19:19" hidden="1" x14ac:dyDescent="0.25">
      <c r="S360"/>
    </row>
    <row r="361" spans="19:19" hidden="1" x14ac:dyDescent="0.25">
      <c r="S361"/>
    </row>
    <row r="362" spans="19:19" hidden="1" x14ac:dyDescent="0.25">
      <c r="S362"/>
    </row>
    <row r="363" spans="19:19" hidden="1" x14ac:dyDescent="0.25">
      <c r="S363"/>
    </row>
    <row r="364" spans="19:19" hidden="1" x14ac:dyDescent="0.25">
      <c r="S364"/>
    </row>
    <row r="365" spans="19:19" hidden="1" x14ac:dyDescent="0.25">
      <c r="S365"/>
    </row>
    <row r="366" spans="19:19" hidden="1" x14ac:dyDescent="0.25">
      <c r="S366"/>
    </row>
    <row r="367" spans="19:19" hidden="1" x14ac:dyDescent="0.25">
      <c r="S367"/>
    </row>
    <row r="368" spans="19:19" hidden="1" x14ac:dyDescent="0.25">
      <c r="S368"/>
    </row>
    <row r="369" spans="19:19" hidden="1" x14ac:dyDescent="0.25">
      <c r="S369"/>
    </row>
    <row r="370" spans="19:19" hidden="1" x14ac:dyDescent="0.25">
      <c r="S370"/>
    </row>
    <row r="371" spans="19:19" hidden="1" x14ac:dyDescent="0.25">
      <c r="S371"/>
    </row>
    <row r="372" spans="19:19" hidden="1" x14ac:dyDescent="0.25">
      <c r="S372"/>
    </row>
    <row r="373" spans="19:19" hidden="1" x14ac:dyDescent="0.25">
      <c r="S373"/>
    </row>
    <row r="374" spans="19:19" hidden="1" x14ac:dyDescent="0.25">
      <c r="S374"/>
    </row>
    <row r="375" spans="19:19" hidden="1" x14ac:dyDescent="0.25">
      <c r="S375"/>
    </row>
    <row r="376" spans="19:19" hidden="1" x14ac:dyDescent="0.25">
      <c r="S376"/>
    </row>
    <row r="377" spans="19:19" hidden="1" x14ac:dyDescent="0.25">
      <c r="S377"/>
    </row>
    <row r="378" spans="19:19" hidden="1" x14ac:dyDescent="0.25">
      <c r="S378"/>
    </row>
    <row r="379" spans="19:19" hidden="1" x14ac:dyDescent="0.25">
      <c r="S379"/>
    </row>
    <row r="380" spans="19:19" hidden="1" x14ac:dyDescent="0.25">
      <c r="S380"/>
    </row>
    <row r="381" spans="19:19" hidden="1" x14ac:dyDescent="0.25">
      <c r="S381"/>
    </row>
    <row r="382" spans="19:19" hidden="1" x14ac:dyDescent="0.25">
      <c r="S382"/>
    </row>
    <row r="383" spans="19:19" hidden="1" x14ac:dyDescent="0.25">
      <c r="S383"/>
    </row>
    <row r="384" spans="19:19" hidden="1" x14ac:dyDescent="0.25">
      <c r="S384"/>
    </row>
    <row r="385" spans="19:19" hidden="1" x14ac:dyDescent="0.25">
      <c r="S385"/>
    </row>
    <row r="386" spans="19:19" hidden="1" x14ac:dyDescent="0.25">
      <c r="S386"/>
    </row>
    <row r="387" spans="19:19" hidden="1" x14ac:dyDescent="0.25">
      <c r="S387"/>
    </row>
    <row r="388" spans="19:19" hidden="1" x14ac:dyDescent="0.25">
      <c r="S388"/>
    </row>
    <row r="389" spans="19:19" hidden="1" x14ac:dyDescent="0.25">
      <c r="S389"/>
    </row>
    <row r="390" spans="19:19" hidden="1" x14ac:dyDescent="0.25">
      <c r="S390"/>
    </row>
    <row r="391" spans="19:19" hidden="1" x14ac:dyDescent="0.25">
      <c r="S391"/>
    </row>
    <row r="392" spans="19:19" hidden="1" x14ac:dyDescent="0.25">
      <c r="S392"/>
    </row>
    <row r="393" spans="19:19" hidden="1" x14ac:dyDescent="0.25">
      <c r="S393"/>
    </row>
    <row r="394" spans="19:19" hidden="1" x14ac:dyDescent="0.25">
      <c r="S394"/>
    </row>
    <row r="395" spans="19:19" hidden="1" x14ac:dyDescent="0.25">
      <c r="S395"/>
    </row>
    <row r="396" spans="19:19" hidden="1" x14ac:dyDescent="0.25">
      <c r="S396"/>
    </row>
    <row r="397" spans="19:19" hidden="1" x14ac:dyDescent="0.25">
      <c r="S397"/>
    </row>
    <row r="398" spans="19:19" hidden="1" x14ac:dyDescent="0.25">
      <c r="S398"/>
    </row>
    <row r="399" spans="19:19" hidden="1" x14ac:dyDescent="0.25">
      <c r="S399"/>
    </row>
    <row r="400" spans="19:19" hidden="1" x14ac:dyDescent="0.25">
      <c r="S400"/>
    </row>
    <row r="401" spans="19:19" hidden="1" x14ac:dyDescent="0.25">
      <c r="S401"/>
    </row>
    <row r="402" spans="19:19" hidden="1" x14ac:dyDescent="0.25">
      <c r="S402"/>
    </row>
    <row r="403" spans="19:19" hidden="1" x14ac:dyDescent="0.25">
      <c r="S403"/>
    </row>
    <row r="404" spans="19:19" hidden="1" x14ac:dyDescent="0.25">
      <c r="S404"/>
    </row>
    <row r="405" spans="19:19" hidden="1" x14ac:dyDescent="0.25">
      <c r="S405"/>
    </row>
    <row r="406" spans="19:19" hidden="1" x14ac:dyDescent="0.25">
      <c r="S406"/>
    </row>
    <row r="407" spans="19:19" hidden="1" x14ac:dyDescent="0.25">
      <c r="S407"/>
    </row>
    <row r="408" spans="19:19" hidden="1" x14ac:dyDescent="0.25">
      <c r="S408"/>
    </row>
    <row r="409" spans="19:19" hidden="1" x14ac:dyDescent="0.25">
      <c r="S409"/>
    </row>
    <row r="410" spans="19:19" hidden="1" x14ac:dyDescent="0.25">
      <c r="S410"/>
    </row>
    <row r="411" spans="19:19" hidden="1" x14ac:dyDescent="0.25">
      <c r="S411"/>
    </row>
    <row r="412" spans="19:19" hidden="1" x14ac:dyDescent="0.25">
      <c r="S412"/>
    </row>
    <row r="413" spans="19:19" hidden="1" x14ac:dyDescent="0.25">
      <c r="S413"/>
    </row>
    <row r="414" spans="19:19" hidden="1" x14ac:dyDescent="0.25">
      <c r="S414"/>
    </row>
    <row r="415" spans="19:19" hidden="1" x14ac:dyDescent="0.25">
      <c r="S415"/>
    </row>
    <row r="416" spans="19:19" hidden="1" x14ac:dyDescent="0.25">
      <c r="S416"/>
    </row>
    <row r="417" spans="19:19" hidden="1" x14ac:dyDescent="0.25">
      <c r="S417"/>
    </row>
    <row r="418" spans="19:19" hidden="1" x14ac:dyDescent="0.25">
      <c r="S418"/>
    </row>
    <row r="419" spans="19:19" hidden="1" x14ac:dyDescent="0.25">
      <c r="S419"/>
    </row>
    <row r="420" spans="19:19" hidden="1" x14ac:dyDescent="0.25">
      <c r="S420"/>
    </row>
    <row r="421" spans="19:19" hidden="1" x14ac:dyDescent="0.25">
      <c r="S421"/>
    </row>
    <row r="422" spans="19:19" hidden="1" x14ac:dyDescent="0.25">
      <c r="S422"/>
    </row>
    <row r="423" spans="19:19" hidden="1" x14ac:dyDescent="0.25">
      <c r="S423"/>
    </row>
    <row r="424" spans="19:19" hidden="1" x14ac:dyDescent="0.25">
      <c r="S424"/>
    </row>
    <row r="425" spans="19:19" hidden="1" x14ac:dyDescent="0.25">
      <c r="S425"/>
    </row>
    <row r="426" spans="19:19" hidden="1" x14ac:dyDescent="0.25">
      <c r="S426"/>
    </row>
    <row r="427" spans="19:19" hidden="1" x14ac:dyDescent="0.25">
      <c r="S427"/>
    </row>
    <row r="428" spans="19:19" hidden="1" x14ac:dyDescent="0.25">
      <c r="S428"/>
    </row>
    <row r="429" spans="19:19" hidden="1" x14ac:dyDescent="0.25">
      <c r="S429"/>
    </row>
    <row r="430" spans="19:19" hidden="1" x14ac:dyDescent="0.25">
      <c r="S430"/>
    </row>
    <row r="431" spans="19:19" hidden="1" x14ac:dyDescent="0.25">
      <c r="S431"/>
    </row>
    <row r="432" spans="19:19" hidden="1" x14ac:dyDescent="0.25">
      <c r="S432"/>
    </row>
    <row r="433" spans="19:19" hidden="1" x14ac:dyDescent="0.25">
      <c r="S433"/>
    </row>
    <row r="434" spans="19:19" hidden="1" x14ac:dyDescent="0.25">
      <c r="S434"/>
    </row>
    <row r="435" spans="19:19" hidden="1" x14ac:dyDescent="0.25">
      <c r="S435"/>
    </row>
    <row r="436" spans="19:19" hidden="1" x14ac:dyDescent="0.25">
      <c r="S436"/>
    </row>
    <row r="437" spans="19:19" hidden="1" x14ac:dyDescent="0.25">
      <c r="S437"/>
    </row>
    <row r="438" spans="19:19" hidden="1" x14ac:dyDescent="0.25">
      <c r="S438"/>
    </row>
    <row r="439" spans="19:19" hidden="1" x14ac:dyDescent="0.25">
      <c r="S439"/>
    </row>
    <row r="440" spans="19:19" hidden="1" x14ac:dyDescent="0.25">
      <c r="S440"/>
    </row>
    <row r="441" spans="19:19" hidden="1" x14ac:dyDescent="0.25">
      <c r="S441"/>
    </row>
    <row r="442" spans="19:19" hidden="1" x14ac:dyDescent="0.25">
      <c r="S442"/>
    </row>
    <row r="443" spans="19:19" hidden="1" x14ac:dyDescent="0.25">
      <c r="S443"/>
    </row>
    <row r="444" spans="19:19" hidden="1" x14ac:dyDescent="0.25">
      <c r="S444"/>
    </row>
    <row r="445" spans="19:19" hidden="1" x14ac:dyDescent="0.25">
      <c r="S445"/>
    </row>
    <row r="446" spans="19:19" hidden="1" x14ac:dyDescent="0.25">
      <c r="S446"/>
    </row>
    <row r="447" spans="19:19" hidden="1" x14ac:dyDescent="0.25">
      <c r="S447"/>
    </row>
    <row r="448" spans="19:19" hidden="1" x14ac:dyDescent="0.25">
      <c r="S448"/>
    </row>
    <row r="449" spans="19:19" hidden="1" x14ac:dyDescent="0.25">
      <c r="S449"/>
    </row>
    <row r="450" spans="19:19" hidden="1" x14ac:dyDescent="0.25">
      <c r="S450"/>
    </row>
    <row r="451" spans="19:19" hidden="1" x14ac:dyDescent="0.25">
      <c r="S451"/>
    </row>
    <row r="452" spans="19:19" hidden="1" x14ac:dyDescent="0.25">
      <c r="S452"/>
    </row>
    <row r="453" spans="19:19" hidden="1" x14ac:dyDescent="0.25">
      <c r="S453"/>
    </row>
    <row r="454" spans="19:19" hidden="1" x14ac:dyDescent="0.25">
      <c r="S454"/>
    </row>
    <row r="455" spans="19:19" hidden="1" x14ac:dyDescent="0.25">
      <c r="S455"/>
    </row>
    <row r="456" spans="19:19" hidden="1" x14ac:dyDescent="0.25">
      <c r="S456"/>
    </row>
    <row r="457" spans="19:19" hidden="1" x14ac:dyDescent="0.25">
      <c r="S457"/>
    </row>
    <row r="458" spans="19:19" hidden="1" x14ac:dyDescent="0.25">
      <c r="S458"/>
    </row>
    <row r="459" spans="19:19" hidden="1" x14ac:dyDescent="0.25">
      <c r="S459"/>
    </row>
    <row r="460" spans="19:19" hidden="1" x14ac:dyDescent="0.25">
      <c r="S460"/>
    </row>
    <row r="461" spans="19:19" hidden="1" x14ac:dyDescent="0.25">
      <c r="S461"/>
    </row>
    <row r="462" spans="19:19" hidden="1" x14ac:dyDescent="0.25">
      <c r="S462"/>
    </row>
    <row r="463" spans="19:19" hidden="1" x14ac:dyDescent="0.25">
      <c r="S463"/>
    </row>
    <row r="464" spans="19:19" hidden="1" x14ac:dyDescent="0.25">
      <c r="S464"/>
    </row>
    <row r="465" spans="19:19" hidden="1" x14ac:dyDescent="0.25">
      <c r="S465"/>
    </row>
    <row r="466" spans="19:19" hidden="1" x14ac:dyDescent="0.25">
      <c r="S466"/>
    </row>
    <row r="467" spans="19:19" hidden="1" x14ac:dyDescent="0.25">
      <c r="S467"/>
    </row>
    <row r="468" spans="19:19" hidden="1" x14ac:dyDescent="0.25">
      <c r="S468"/>
    </row>
    <row r="469" spans="19:19" hidden="1" x14ac:dyDescent="0.25">
      <c r="S469"/>
    </row>
    <row r="470" spans="19:19" hidden="1" x14ac:dyDescent="0.25">
      <c r="S470"/>
    </row>
    <row r="471" spans="19:19" hidden="1" x14ac:dyDescent="0.25">
      <c r="S471"/>
    </row>
    <row r="472" spans="19:19" hidden="1" x14ac:dyDescent="0.25">
      <c r="S472"/>
    </row>
    <row r="473" spans="19:19" hidden="1" x14ac:dyDescent="0.25">
      <c r="S473"/>
    </row>
    <row r="474" spans="19:19" hidden="1" x14ac:dyDescent="0.25">
      <c r="S474"/>
    </row>
    <row r="475" spans="19:19" hidden="1" x14ac:dyDescent="0.25">
      <c r="S475"/>
    </row>
    <row r="476" spans="19:19" hidden="1" x14ac:dyDescent="0.25">
      <c r="S476"/>
    </row>
    <row r="477" spans="19:19" hidden="1" x14ac:dyDescent="0.25">
      <c r="S477"/>
    </row>
    <row r="478" spans="19:19" hidden="1" x14ac:dyDescent="0.25">
      <c r="S478"/>
    </row>
    <row r="479" spans="19:19" hidden="1" x14ac:dyDescent="0.25">
      <c r="S479"/>
    </row>
    <row r="480" spans="19:19" hidden="1" x14ac:dyDescent="0.25">
      <c r="S480"/>
    </row>
    <row r="481" spans="19:19" hidden="1" x14ac:dyDescent="0.25">
      <c r="S481"/>
    </row>
    <row r="482" spans="19:19" hidden="1" x14ac:dyDescent="0.25">
      <c r="S482"/>
    </row>
    <row r="483" spans="19:19" hidden="1" x14ac:dyDescent="0.25">
      <c r="S483"/>
    </row>
    <row r="484" spans="19:19" hidden="1" x14ac:dyDescent="0.25">
      <c r="S484"/>
    </row>
    <row r="485" spans="19:19" hidden="1" x14ac:dyDescent="0.25">
      <c r="S485"/>
    </row>
    <row r="486" spans="19:19" hidden="1" x14ac:dyDescent="0.25">
      <c r="S486"/>
    </row>
    <row r="487" spans="19:19" hidden="1" x14ac:dyDescent="0.25">
      <c r="S487"/>
    </row>
    <row r="488" spans="19:19" hidden="1" x14ac:dyDescent="0.25">
      <c r="S488"/>
    </row>
    <row r="489" spans="19:19" hidden="1" x14ac:dyDescent="0.25">
      <c r="S489"/>
    </row>
    <row r="490" spans="19:19" hidden="1" x14ac:dyDescent="0.25">
      <c r="S490"/>
    </row>
    <row r="491" spans="19:19" hidden="1" x14ac:dyDescent="0.25">
      <c r="S491"/>
    </row>
    <row r="492" spans="19:19" hidden="1" x14ac:dyDescent="0.25">
      <c r="S492"/>
    </row>
    <row r="493" spans="19:19" hidden="1" x14ac:dyDescent="0.25">
      <c r="S493"/>
    </row>
    <row r="494" spans="19:19" hidden="1" x14ac:dyDescent="0.25">
      <c r="S494"/>
    </row>
    <row r="495" spans="19:19" hidden="1" x14ac:dyDescent="0.25">
      <c r="S495"/>
    </row>
    <row r="496" spans="19:19" hidden="1" x14ac:dyDescent="0.25">
      <c r="S496"/>
    </row>
    <row r="497" spans="19:19" hidden="1" x14ac:dyDescent="0.25">
      <c r="S497"/>
    </row>
    <row r="498" spans="19:19" hidden="1" x14ac:dyDescent="0.25">
      <c r="S498"/>
    </row>
    <row r="499" spans="19:19" hidden="1" x14ac:dyDescent="0.25">
      <c r="S499"/>
    </row>
    <row r="500" spans="19:19" hidden="1" x14ac:dyDescent="0.25">
      <c r="S500"/>
    </row>
    <row r="501" spans="19:19" hidden="1" x14ac:dyDescent="0.25">
      <c r="S501"/>
    </row>
    <row r="502" spans="19:19" hidden="1" x14ac:dyDescent="0.25">
      <c r="S502"/>
    </row>
    <row r="503" spans="19:19" hidden="1" x14ac:dyDescent="0.25">
      <c r="S503"/>
    </row>
    <row r="504" spans="19:19" hidden="1" x14ac:dyDescent="0.25">
      <c r="S504"/>
    </row>
    <row r="505" spans="19:19" hidden="1" x14ac:dyDescent="0.25">
      <c r="S505"/>
    </row>
    <row r="506" spans="19:19" hidden="1" x14ac:dyDescent="0.25">
      <c r="S506"/>
    </row>
    <row r="507" spans="19:19" hidden="1" x14ac:dyDescent="0.25">
      <c r="S507"/>
    </row>
    <row r="508" spans="19:19" hidden="1" x14ac:dyDescent="0.25">
      <c r="S508"/>
    </row>
    <row r="509" spans="19:19" hidden="1" x14ac:dyDescent="0.25">
      <c r="S509"/>
    </row>
    <row r="510" spans="19:19" hidden="1" x14ac:dyDescent="0.25">
      <c r="S510"/>
    </row>
    <row r="511" spans="19:19" hidden="1" x14ac:dyDescent="0.25">
      <c r="S511"/>
    </row>
    <row r="512" spans="19:19" hidden="1" x14ac:dyDescent="0.25">
      <c r="S512"/>
    </row>
    <row r="513" spans="19:19" hidden="1" x14ac:dyDescent="0.25">
      <c r="S513"/>
    </row>
    <row r="514" spans="19:19" hidden="1" x14ac:dyDescent="0.25">
      <c r="S514"/>
    </row>
    <row r="515" spans="19:19" hidden="1" x14ac:dyDescent="0.25">
      <c r="S515"/>
    </row>
    <row r="516" spans="19:19" hidden="1" x14ac:dyDescent="0.25">
      <c r="S516"/>
    </row>
    <row r="517" spans="19:19" hidden="1" x14ac:dyDescent="0.25">
      <c r="S517"/>
    </row>
    <row r="518" spans="19:19" hidden="1" x14ac:dyDescent="0.25">
      <c r="S518"/>
    </row>
    <row r="519" spans="19:19" hidden="1" x14ac:dyDescent="0.25">
      <c r="S519"/>
    </row>
    <row r="520" spans="19:19" hidden="1" x14ac:dyDescent="0.25">
      <c r="S520"/>
    </row>
    <row r="521" spans="19:19" hidden="1" x14ac:dyDescent="0.25">
      <c r="S521"/>
    </row>
    <row r="522" spans="19:19" hidden="1" x14ac:dyDescent="0.25">
      <c r="S522"/>
    </row>
    <row r="523" spans="19:19" hidden="1" x14ac:dyDescent="0.25">
      <c r="S523"/>
    </row>
    <row r="524" spans="19:19" hidden="1" x14ac:dyDescent="0.25">
      <c r="S524"/>
    </row>
    <row r="525" spans="19:19" hidden="1" x14ac:dyDescent="0.25">
      <c r="S525"/>
    </row>
    <row r="526" spans="19:19" hidden="1" x14ac:dyDescent="0.25">
      <c r="S526"/>
    </row>
    <row r="527" spans="19:19" hidden="1" x14ac:dyDescent="0.25">
      <c r="S527"/>
    </row>
    <row r="528" spans="19:19" hidden="1" x14ac:dyDescent="0.25">
      <c r="S528"/>
    </row>
    <row r="529" spans="19:19" hidden="1" x14ac:dyDescent="0.25">
      <c r="S529"/>
    </row>
    <row r="530" spans="19:19" hidden="1" x14ac:dyDescent="0.25">
      <c r="S530"/>
    </row>
    <row r="531" spans="19:19" hidden="1" x14ac:dyDescent="0.25">
      <c r="S531"/>
    </row>
    <row r="532" spans="19:19" hidden="1" x14ac:dyDescent="0.25">
      <c r="S532"/>
    </row>
    <row r="533" spans="19:19" hidden="1" x14ac:dyDescent="0.25">
      <c r="S533"/>
    </row>
    <row r="534" spans="19:19" hidden="1" x14ac:dyDescent="0.25">
      <c r="S534"/>
    </row>
    <row r="535" spans="19:19" hidden="1" x14ac:dyDescent="0.25">
      <c r="S535"/>
    </row>
    <row r="536" spans="19:19" hidden="1" x14ac:dyDescent="0.25">
      <c r="S536"/>
    </row>
    <row r="537" spans="19:19" hidden="1" x14ac:dyDescent="0.25">
      <c r="S537"/>
    </row>
    <row r="538" spans="19:19" hidden="1" x14ac:dyDescent="0.25">
      <c r="S538"/>
    </row>
    <row r="539" spans="19:19" hidden="1" x14ac:dyDescent="0.25">
      <c r="S539"/>
    </row>
    <row r="540" spans="19:19" hidden="1" x14ac:dyDescent="0.25">
      <c r="S540"/>
    </row>
    <row r="541" spans="19:19" hidden="1" x14ac:dyDescent="0.25">
      <c r="S541"/>
    </row>
    <row r="542" spans="19:19" hidden="1" x14ac:dyDescent="0.25">
      <c r="S542"/>
    </row>
    <row r="543" spans="19:19" hidden="1" x14ac:dyDescent="0.25">
      <c r="S543"/>
    </row>
    <row r="544" spans="19:19" hidden="1" x14ac:dyDescent="0.25">
      <c r="S544"/>
    </row>
    <row r="545" spans="19:19" hidden="1" x14ac:dyDescent="0.25">
      <c r="S545"/>
    </row>
    <row r="546" spans="19:19" hidden="1" x14ac:dyDescent="0.25">
      <c r="S546"/>
    </row>
    <row r="547" spans="19:19" hidden="1" x14ac:dyDescent="0.25">
      <c r="S547"/>
    </row>
    <row r="548" spans="19:19" hidden="1" x14ac:dyDescent="0.25">
      <c r="S548"/>
    </row>
    <row r="549" spans="19:19" hidden="1" x14ac:dyDescent="0.25">
      <c r="S549"/>
    </row>
    <row r="550" spans="19:19" hidden="1" x14ac:dyDescent="0.25">
      <c r="S550"/>
    </row>
    <row r="551" spans="19:19" hidden="1" x14ac:dyDescent="0.25">
      <c r="S551"/>
    </row>
    <row r="552" spans="19:19" hidden="1" x14ac:dyDescent="0.25">
      <c r="S552"/>
    </row>
    <row r="553" spans="19:19" hidden="1" x14ac:dyDescent="0.25">
      <c r="S553"/>
    </row>
    <row r="554" spans="19:19" hidden="1" x14ac:dyDescent="0.25">
      <c r="S554"/>
    </row>
    <row r="555" spans="19:19" hidden="1" x14ac:dyDescent="0.25">
      <c r="S555"/>
    </row>
    <row r="556" spans="19:19" hidden="1" x14ac:dyDescent="0.25">
      <c r="S556"/>
    </row>
    <row r="557" spans="19:19" hidden="1" x14ac:dyDescent="0.25">
      <c r="S557"/>
    </row>
    <row r="558" spans="19:19" hidden="1" x14ac:dyDescent="0.25">
      <c r="S558"/>
    </row>
    <row r="559" spans="19:19" hidden="1" x14ac:dyDescent="0.25">
      <c r="S559"/>
    </row>
    <row r="560" spans="19:19" hidden="1" x14ac:dyDescent="0.25">
      <c r="S560"/>
    </row>
    <row r="561" spans="19:19" hidden="1" x14ac:dyDescent="0.25">
      <c r="S561"/>
    </row>
    <row r="562" spans="19:19" hidden="1" x14ac:dyDescent="0.25">
      <c r="S562"/>
    </row>
    <row r="563" spans="19:19" hidden="1" x14ac:dyDescent="0.25">
      <c r="S563"/>
    </row>
    <row r="564" spans="19:19" hidden="1" x14ac:dyDescent="0.25">
      <c r="S564"/>
    </row>
    <row r="565" spans="19:19" hidden="1" x14ac:dyDescent="0.25">
      <c r="S565"/>
    </row>
    <row r="566" spans="19:19" hidden="1" x14ac:dyDescent="0.25">
      <c r="S566"/>
    </row>
    <row r="567" spans="19:19" hidden="1" x14ac:dyDescent="0.25">
      <c r="S567"/>
    </row>
    <row r="568" spans="19:19" hidden="1" x14ac:dyDescent="0.25">
      <c r="S568"/>
    </row>
    <row r="569" spans="19:19" hidden="1" x14ac:dyDescent="0.25">
      <c r="S569"/>
    </row>
    <row r="570" spans="19:19" hidden="1" x14ac:dyDescent="0.25">
      <c r="S570"/>
    </row>
    <row r="571" spans="19:19" hidden="1" x14ac:dyDescent="0.25">
      <c r="S571"/>
    </row>
    <row r="572" spans="19:19" hidden="1" x14ac:dyDescent="0.25">
      <c r="S572"/>
    </row>
    <row r="573" spans="19:19" hidden="1" x14ac:dyDescent="0.25">
      <c r="S573"/>
    </row>
    <row r="574" spans="19:19" hidden="1" x14ac:dyDescent="0.25">
      <c r="S574"/>
    </row>
    <row r="575" spans="19:19" hidden="1" x14ac:dyDescent="0.25">
      <c r="S575"/>
    </row>
    <row r="576" spans="19:19" hidden="1" x14ac:dyDescent="0.25">
      <c r="S576"/>
    </row>
    <row r="577" spans="19:19" hidden="1" x14ac:dyDescent="0.25">
      <c r="S577"/>
    </row>
    <row r="578" spans="19:19" hidden="1" x14ac:dyDescent="0.25">
      <c r="S578"/>
    </row>
    <row r="579" spans="19:19" hidden="1" x14ac:dyDescent="0.25">
      <c r="S579"/>
    </row>
    <row r="580" spans="19:19" hidden="1" x14ac:dyDescent="0.25">
      <c r="S580"/>
    </row>
    <row r="581" spans="19:19" hidden="1" x14ac:dyDescent="0.25">
      <c r="S581"/>
    </row>
    <row r="582" spans="19:19" hidden="1" x14ac:dyDescent="0.25">
      <c r="S582"/>
    </row>
    <row r="583" spans="19:19" hidden="1" x14ac:dyDescent="0.25">
      <c r="S583"/>
    </row>
    <row r="584" spans="19:19" hidden="1" x14ac:dyDescent="0.25">
      <c r="S584"/>
    </row>
    <row r="585" spans="19:19" hidden="1" x14ac:dyDescent="0.25">
      <c r="S585"/>
    </row>
    <row r="586" spans="19:19" hidden="1" x14ac:dyDescent="0.25">
      <c r="S586"/>
    </row>
    <row r="587" spans="19:19" hidden="1" x14ac:dyDescent="0.25">
      <c r="S587"/>
    </row>
    <row r="588" spans="19:19" hidden="1" x14ac:dyDescent="0.25">
      <c r="S588"/>
    </row>
    <row r="589" spans="19:19" hidden="1" x14ac:dyDescent="0.25">
      <c r="S589"/>
    </row>
    <row r="590" spans="19:19" hidden="1" x14ac:dyDescent="0.25">
      <c r="S590"/>
    </row>
    <row r="591" spans="19:19" hidden="1" x14ac:dyDescent="0.25">
      <c r="S591"/>
    </row>
    <row r="592" spans="19:19" hidden="1" x14ac:dyDescent="0.25">
      <c r="S592"/>
    </row>
    <row r="593" spans="19:19" hidden="1" x14ac:dyDescent="0.25">
      <c r="S593"/>
    </row>
    <row r="594" spans="19:19" hidden="1" x14ac:dyDescent="0.25">
      <c r="S594"/>
    </row>
    <row r="595" spans="19:19" hidden="1" x14ac:dyDescent="0.25">
      <c r="S595"/>
    </row>
    <row r="596" spans="19:19" hidden="1" x14ac:dyDescent="0.25">
      <c r="S596"/>
    </row>
    <row r="597" spans="19:19" hidden="1" x14ac:dyDescent="0.25">
      <c r="S597"/>
    </row>
    <row r="598" spans="19:19" hidden="1" x14ac:dyDescent="0.25">
      <c r="S598"/>
    </row>
    <row r="599" spans="19:19" hidden="1" x14ac:dyDescent="0.25">
      <c r="S599"/>
    </row>
    <row r="600" spans="19:19" hidden="1" x14ac:dyDescent="0.25">
      <c r="S600"/>
    </row>
    <row r="601" spans="19:19" hidden="1" x14ac:dyDescent="0.25">
      <c r="S601"/>
    </row>
    <row r="602" spans="19:19" hidden="1" x14ac:dyDescent="0.25">
      <c r="S602"/>
    </row>
    <row r="603" spans="19:19" hidden="1" x14ac:dyDescent="0.25">
      <c r="S603"/>
    </row>
    <row r="604" spans="19:19" hidden="1" x14ac:dyDescent="0.25">
      <c r="S604"/>
    </row>
    <row r="605" spans="19:19" hidden="1" x14ac:dyDescent="0.25">
      <c r="S605"/>
    </row>
    <row r="606" spans="19:19" hidden="1" x14ac:dyDescent="0.25">
      <c r="S606"/>
    </row>
    <row r="607" spans="19:19" hidden="1" x14ac:dyDescent="0.25">
      <c r="S607"/>
    </row>
    <row r="608" spans="19:19" hidden="1" x14ac:dyDescent="0.25">
      <c r="S608"/>
    </row>
    <row r="609" spans="19:19" hidden="1" x14ac:dyDescent="0.25">
      <c r="S609"/>
    </row>
    <row r="610" spans="19:19" hidden="1" x14ac:dyDescent="0.25">
      <c r="S610"/>
    </row>
    <row r="611" spans="19:19" hidden="1" x14ac:dyDescent="0.25">
      <c r="S611"/>
    </row>
    <row r="612" spans="19:19" hidden="1" x14ac:dyDescent="0.25">
      <c r="S612"/>
    </row>
    <row r="613" spans="19:19" hidden="1" x14ac:dyDescent="0.25">
      <c r="S613"/>
    </row>
    <row r="614" spans="19:19" hidden="1" x14ac:dyDescent="0.25">
      <c r="S614"/>
    </row>
    <row r="615" spans="19:19" hidden="1" x14ac:dyDescent="0.25">
      <c r="S615"/>
    </row>
    <row r="616" spans="19:19" hidden="1" x14ac:dyDescent="0.25">
      <c r="S616"/>
    </row>
    <row r="617" spans="19:19" hidden="1" x14ac:dyDescent="0.25">
      <c r="S617"/>
    </row>
    <row r="618" spans="19:19" hidden="1" x14ac:dyDescent="0.25">
      <c r="S618"/>
    </row>
    <row r="619" spans="19:19" hidden="1" x14ac:dyDescent="0.25">
      <c r="S619"/>
    </row>
    <row r="620" spans="19:19" hidden="1" x14ac:dyDescent="0.25">
      <c r="S620"/>
    </row>
    <row r="621" spans="19:19" hidden="1" x14ac:dyDescent="0.25">
      <c r="S621"/>
    </row>
    <row r="622" spans="19:19" hidden="1" x14ac:dyDescent="0.25">
      <c r="S622"/>
    </row>
    <row r="623" spans="19:19" hidden="1" x14ac:dyDescent="0.25">
      <c r="S623"/>
    </row>
    <row r="624" spans="19:19" hidden="1" x14ac:dyDescent="0.25">
      <c r="S624"/>
    </row>
    <row r="625" spans="19:19" hidden="1" x14ac:dyDescent="0.25">
      <c r="S625"/>
    </row>
    <row r="626" spans="19:19" hidden="1" x14ac:dyDescent="0.25">
      <c r="S626"/>
    </row>
    <row r="627" spans="19:19" hidden="1" x14ac:dyDescent="0.25">
      <c r="S627"/>
    </row>
    <row r="628" spans="19:19" hidden="1" x14ac:dyDescent="0.25">
      <c r="S628"/>
    </row>
    <row r="629" spans="19:19" hidden="1" x14ac:dyDescent="0.25">
      <c r="S629"/>
    </row>
    <row r="630" spans="19:19" hidden="1" x14ac:dyDescent="0.25">
      <c r="S630"/>
    </row>
    <row r="631" spans="19:19" hidden="1" x14ac:dyDescent="0.25">
      <c r="S631"/>
    </row>
    <row r="632" spans="19:19" hidden="1" x14ac:dyDescent="0.25">
      <c r="S632"/>
    </row>
    <row r="633" spans="19:19" hidden="1" x14ac:dyDescent="0.25">
      <c r="S633"/>
    </row>
    <row r="634" spans="19:19" hidden="1" x14ac:dyDescent="0.25">
      <c r="S634"/>
    </row>
    <row r="635" spans="19:19" hidden="1" x14ac:dyDescent="0.25">
      <c r="S635"/>
    </row>
    <row r="636" spans="19:19" hidden="1" x14ac:dyDescent="0.25">
      <c r="S636"/>
    </row>
    <row r="637" spans="19:19" hidden="1" x14ac:dyDescent="0.25">
      <c r="S637"/>
    </row>
    <row r="638" spans="19:19" hidden="1" x14ac:dyDescent="0.25">
      <c r="S638"/>
    </row>
    <row r="639" spans="19:19" hidden="1" x14ac:dyDescent="0.25">
      <c r="S639"/>
    </row>
    <row r="640" spans="19:19" hidden="1" x14ac:dyDescent="0.25">
      <c r="S640"/>
    </row>
    <row r="641" spans="19:19" hidden="1" x14ac:dyDescent="0.25">
      <c r="S641"/>
    </row>
    <row r="642" spans="19:19" hidden="1" x14ac:dyDescent="0.25">
      <c r="S642"/>
    </row>
    <row r="643" spans="19:19" hidden="1" x14ac:dyDescent="0.25">
      <c r="S643"/>
    </row>
    <row r="644" spans="19:19" hidden="1" x14ac:dyDescent="0.25">
      <c r="S644"/>
    </row>
    <row r="645" spans="19:19" hidden="1" x14ac:dyDescent="0.25">
      <c r="S645"/>
    </row>
    <row r="646" spans="19:19" hidden="1" x14ac:dyDescent="0.25">
      <c r="S646"/>
    </row>
    <row r="647" spans="19:19" hidden="1" x14ac:dyDescent="0.25">
      <c r="S647"/>
    </row>
    <row r="648" spans="19:19" hidden="1" x14ac:dyDescent="0.25">
      <c r="S648"/>
    </row>
    <row r="649" spans="19:19" hidden="1" x14ac:dyDescent="0.25">
      <c r="S649"/>
    </row>
    <row r="650" spans="19:19" hidden="1" x14ac:dyDescent="0.25">
      <c r="S650"/>
    </row>
    <row r="651" spans="19:19" hidden="1" x14ac:dyDescent="0.25">
      <c r="S651"/>
    </row>
    <row r="652" spans="19:19" hidden="1" x14ac:dyDescent="0.25">
      <c r="S652"/>
    </row>
    <row r="653" spans="19:19" hidden="1" x14ac:dyDescent="0.25">
      <c r="S653"/>
    </row>
    <row r="654" spans="19:19" hidden="1" x14ac:dyDescent="0.25">
      <c r="S654"/>
    </row>
    <row r="655" spans="19:19" hidden="1" x14ac:dyDescent="0.25">
      <c r="S655"/>
    </row>
    <row r="656" spans="19:19" hidden="1" x14ac:dyDescent="0.25">
      <c r="S656"/>
    </row>
    <row r="657" spans="19:19" hidden="1" x14ac:dyDescent="0.25">
      <c r="S657"/>
    </row>
    <row r="658" spans="19:19" hidden="1" x14ac:dyDescent="0.25">
      <c r="S658"/>
    </row>
    <row r="659" spans="19:19" hidden="1" x14ac:dyDescent="0.25">
      <c r="S659"/>
    </row>
    <row r="660" spans="19:19" hidden="1" x14ac:dyDescent="0.25">
      <c r="S660"/>
    </row>
    <row r="661" spans="19:19" hidden="1" x14ac:dyDescent="0.25">
      <c r="S661"/>
    </row>
    <row r="662" spans="19:19" hidden="1" x14ac:dyDescent="0.25">
      <c r="S662"/>
    </row>
    <row r="663" spans="19:19" hidden="1" x14ac:dyDescent="0.25">
      <c r="S663"/>
    </row>
    <row r="664" spans="19:19" hidden="1" x14ac:dyDescent="0.25">
      <c r="S664"/>
    </row>
    <row r="665" spans="19:19" hidden="1" x14ac:dyDescent="0.25">
      <c r="S665"/>
    </row>
    <row r="666" spans="19:19" hidden="1" x14ac:dyDescent="0.25">
      <c r="S666"/>
    </row>
    <row r="667" spans="19:19" hidden="1" x14ac:dyDescent="0.25">
      <c r="S667"/>
    </row>
    <row r="668" spans="19:19" hidden="1" x14ac:dyDescent="0.25">
      <c r="S668"/>
    </row>
    <row r="669" spans="19:19" hidden="1" x14ac:dyDescent="0.25">
      <c r="S669"/>
    </row>
    <row r="670" spans="19:19" hidden="1" x14ac:dyDescent="0.25">
      <c r="S670"/>
    </row>
    <row r="671" spans="19:19" hidden="1" x14ac:dyDescent="0.25">
      <c r="S671"/>
    </row>
    <row r="672" spans="19:19" hidden="1" x14ac:dyDescent="0.25">
      <c r="S672"/>
    </row>
    <row r="673" spans="19:19" hidden="1" x14ac:dyDescent="0.25">
      <c r="S673"/>
    </row>
    <row r="674" spans="19:19" hidden="1" x14ac:dyDescent="0.25">
      <c r="S674"/>
    </row>
    <row r="675" spans="19:19" hidden="1" x14ac:dyDescent="0.25">
      <c r="S675"/>
    </row>
    <row r="676" spans="19:19" hidden="1" x14ac:dyDescent="0.25">
      <c r="S676"/>
    </row>
    <row r="677" spans="19:19" hidden="1" x14ac:dyDescent="0.25">
      <c r="S677"/>
    </row>
    <row r="678" spans="19:19" hidden="1" x14ac:dyDescent="0.25">
      <c r="S678"/>
    </row>
    <row r="679" spans="19:19" hidden="1" x14ac:dyDescent="0.25">
      <c r="S679"/>
    </row>
    <row r="680" spans="19:19" hidden="1" x14ac:dyDescent="0.25">
      <c r="S680"/>
    </row>
    <row r="681" spans="19:19" hidden="1" x14ac:dyDescent="0.25">
      <c r="S681"/>
    </row>
    <row r="682" spans="19:19" hidden="1" x14ac:dyDescent="0.25">
      <c r="S682"/>
    </row>
    <row r="683" spans="19:19" hidden="1" x14ac:dyDescent="0.25">
      <c r="S683"/>
    </row>
    <row r="684" spans="19:19" hidden="1" x14ac:dyDescent="0.25">
      <c r="S684"/>
    </row>
    <row r="685" spans="19:19" hidden="1" x14ac:dyDescent="0.25">
      <c r="S685"/>
    </row>
    <row r="686" spans="19:19" hidden="1" x14ac:dyDescent="0.25">
      <c r="S686"/>
    </row>
    <row r="687" spans="19:19" hidden="1" x14ac:dyDescent="0.25">
      <c r="S687"/>
    </row>
    <row r="688" spans="19:19" hidden="1" x14ac:dyDescent="0.25">
      <c r="S688"/>
    </row>
    <row r="689" spans="19:19" hidden="1" x14ac:dyDescent="0.25">
      <c r="S689"/>
    </row>
    <row r="690" spans="19:19" hidden="1" x14ac:dyDescent="0.25">
      <c r="S690"/>
    </row>
    <row r="691" spans="19:19" hidden="1" x14ac:dyDescent="0.25">
      <c r="S691"/>
    </row>
    <row r="692" spans="19:19" hidden="1" x14ac:dyDescent="0.25">
      <c r="S692"/>
    </row>
    <row r="693" spans="19:19" hidden="1" x14ac:dyDescent="0.25">
      <c r="S693"/>
    </row>
    <row r="694" spans="19:19" hidden="1" x14ac:dyDescent="0.25">
      <c r="S694"/>
    </row>
    <row r="695" spans="19:19" hidden="1" x14ac:dyDescent="0.25">
      <c r="S695"/>
    </row>
    <row r="696" spans="19:19" hidden="1" x14ac:dyDescent="0.25">
      <c r="S696"/>
    </row>
    <row r="697" spans="19:19" hidden="1" x14ac:dyDescent="0.25">
      <c r="S697"/>
    </row>
    <row r="698" spans="19:19" hidden="1" x14ac:dyDescent="0.25">
      <c r="S698"/>
    </row>
    <row r="699" spans="19:19" hidden="1" x14ac:dyDescent="0.25">
      <c r="S699"/>
    </row>
    <row r="700" spans="19:19" hidden="1" x14ac:dyDescent="0.25">
      <c r="S700"/>
    </row>
    <row r="701" spans="19:19" hidden="1" x14ac:dyDescent="0.25">
      <c r="S701"/>
    </row>
    <row r="702" spans="19:19" hidden="1" x14ac:dyDescent="0.25">
      <c r="S702"/>
    </row>
    <row r="703" spans="19:19" hidden="1" x14ac:dyDescent="0.25">
      <c r="S703"/>
    </row>
    <row r="704" spans="19:19" hidden="1" x14ac:dyDescent="0.25">
      <c r="S704"/>
    </row>
    <row r="705" spans="19:19" hidden="1" x14ac:dyDescent="0.25">
      <c r="S705"/>
    </row>
    <row r="706" spans="19:19" hidden="1" x14ac:dyDescent="0.25">
      <c r="S706"/>
    </row>
    <row r="707" spans="19:19" hidden="1" x14ac:dyDescent="0.25">
      <c r="S707"/>
    </row>
    <row r="708" spans="19:19" hidden="1" x14ac:dyDescent="0.25">
      <c r="S708"/>
    </row>
    <row r="709" spans="19:19" hidden="1" x14ac:dyDescent="0.25">
      <c r="S709"/>
    </row>
    <row r="710" spans="19:19" hidden="1" x14ac:dyDescent="0.25">
      <c r="S710"/>
    </row>
    <row r="711" spans="19:19" hidden="1" x14ac:dyDescent="0.25">
      <c r="S711"/>
    </row>
    <row r="712" spans="19:19" hidden="1" x14ac:dyDescent="0.25">
      <c r="S712"/>
    </row>
    <row r="713" spans="19:19" hidden="1" x14ac:dyDescent="0.25">
      <c r="S713"/>
    </row>
    <row r="714" spans="19:19" hidden="1" x14ac:dyDescent="0.25">
      <c r="S714"/>
    </row>
    <row r="715" spans="19:19" hidden="1" x14ac:dyDescent="0.25">
      <c r="S715"/>
    </row>
    <row r="716" spans="19:19" hidden="1" x14ac:dyDescent="0.25">
      <c r="S716"/>
    </row>
    <row r="717" spans="19:19" hidden="1" x14ac:dyDescent="0.25">
      <c r="S717"/>
    </row>
    <row r="718" spans="19:19" hidden="1" x14ac:dyDescent="0.25">
      <c r="S718"/>
    </row>
    <row r="719" spans="19:19" hidden="1" x14ac:dyDescent="0.25">
      <c r="S719"/>
    </row>
    <row r="720" spans="19:19" hidden="1" x14ac:dyDescent="0.25">
      <c r="S720"/>
    </row>
    <row r="721" spans="19:19" hidden="1" x14ac:dyDescent="0.25">
      <c r="S721"/>
    </row>
    <row r="722" spans="19:19" hidden="1" x14ac:dyDescent="0.25">
      <c r="S722"/>
    </row>
    <row r="723" spans="19:19" hidden="1" x14ac:dyDescent="0.25">
      <c r="S723"/>
    </row>
    <row r="724" spans="19:19" hidden="1" x14ac:dyDescent="0.25">
      <c r="S724"/>
    </row>
    <row r="725" spans="19:19" hidden="1" x14ac:dyDescent="0.25">
      <c r="S725"/>
    </row>
    <row r="726" spans="19:19" hidden="1" x14ac:dyDescent="0.25">
      <c r="S726"/>
    </row>
    <row r="727" spans="19:19" hidden="1" x14ac:dyDescent="0.25">
      <c r="S727"/>
    </row>
    <row r="728" spans="19:19" hidden="1" x14ac:dyDescent="0.25">
      <c r="S728"/>
    </row>
    <row r="729" spans="19:19" hidden="1" x14ac:dyDescent="0.25">
      <c r="S729"/>
    </row>
    <row r="730" spans="19:19" hidden="1" x14ac:dyDescent="0.25">
      <c r="S730"/>
    </row>
    <row r="731" spans="19:19" hidden="1" x14ac:dyDescent="0.25">
      <c r="S731"/>
    </row>
    <row r="732" spans="19:19" hidden="1" x14ac:dyDescent="0.25">
      <c r="S732"/>
    </row>
    <row r="733" spans="19:19" hidden="1" x14ac:dyDescent="0.25">
      <c r="S733"/>
    </row>
    <row r="734" spans="19:19" hidden="1" x14ac:dyDescent="0.25">
      <c r="S734"/>
    </row>
    <row r="735" spans="19:19" hidden="1" x14ac:dyDescent="0.25">
      <c r="S735"/>
    </row>
    <row r="736" spans="19:19" hidden="1" x14ac:dyDescent="0.25">
      <c r="S736"/>
    </row>
    <row r="737" spans="19:19" hidden="1" x14ac:dyDescent="0.25">
      <c r="S737"/>
    </row>
    <row r="738" spans="19:19" hidden="1" x14ac:dyDescent="0.25">
      <c r="S738"/>
    </row>
    <row r="739" spans="19:19" hidden="1" x14ac:dyDescent="0.25">
      <c r="S739"/>
    </row>
    <row r="740" spans="19:19" hidden="1" x14ac:dyDescent="0.25">
      <c r="S740"/>
    </row>
    <row r="741" spans="19:19" hidden="1" x14ac:dyDescent="0.25">
      <c r="S741"/>
    </row>
    <row r="742" spans="19:19" hidden="1" x14ac:dyDescent="0.25">
      <c r="S742"/>
    </row>
    <row r="743" spans="19:19" hidden="1" x14ac:dyDescent="0.25">
      <c r="S743"/>
    </row>
    <row r="744" spans="19:19" hidden="1" x14ac:dyDescent="0.25">
      <c r="S744"/>
    </row>
    <row r="745" spans="19:19" hidden="1" x14ac:dyDescent="0.25">
      <c r="S745"/>
    </row>
    <row r="746" spans="19:19" hidden="1" x14ac:dyDescent="0.25">
      <c r="S746"/>
    </row>
    <row r="747" spans="19:19" hidden="1" x14ac:dyDescent="0.25">
      <c r="S747"/>
    </row>
    <row r="748" spans="19:19" hidden="1" x14ac:dyDescent="0.25">
      <c r="S748"/>
    </row>
    <row r="749" spans="19:19" hidden="1" x14ac:dyDescent="0.25">
      <c r="S749"/>
    </row>
    <row r="750" spans="19:19" hidden="1" x14ac:dyDescent="0.25">
      <c r="S750"/>
    </row>
    <row r="751" spans="19:19" hidden="1" x14ac:dyDescent="0.25">
      <c r="S751"/>
    </row>
    <row r="752" spans="19:19" hidden="1" x14ac:dyDescent="0.25">
      <c r="S752"/>
    </row>
    <row r="753" spans="19:19" hidden="1" x14ac:dyDescent="0.25">
      <c r="S753"/>
    </row>
    <row r="754" spans="19:19" hidden="1" x14ac:dyDescent="0.25">
      <c r="S754"/>
    </row>
    <row r="755" spans="19:19" hidden="1" x14ac:dyDescent="0.25">
      <c r="S755"/>
    </row>
    <row r="756" spans="19:19" hidden="1" x14ac:dyDescent="0.25">
      <c r="S756"/>
    </row>
    <row r="757" spans="19:19" hidden="1" x14ac:dyDescent="0.25">
      <c r="S757"/>
    </row>
    <row r="758" spans="19:19" hidden="1" x14ac:dyDescent="0.25">
      <c r="S758"/>
    </row>
    <row r="759" spans="19:19" hidden="1" x14ac:dyDescent="0.25">
      <c r="S759"/>
    </row>
    <row r="760" spans="19:19" hidden="1" x14ac:dyDescent="0.25">
      <c r="S760"/>
    </row>
    <row r="761" spans="19:19" hidden="1" x14ac:dyDescent="0.25">
      <c r="S761"/>
    </row>
    <row r="762" spans="19:19" hidden="1" x14ac:dyDescent="0.25">
      <c r="S762"/>
    </row>
    <row r="763" spans="19:19" hidden="1" x14ac:dyDescent="0.25">
      <c r="S763"/>
    </row>
    <row r="764" spans="19:19" hidden="1" x14ac:dyDescent="0.25">
      <c r="S764"/>
    </row>
    <row r="765" spans="19:19" hidden="1" x14ac:dyDescent="0.25">
      <c r="S765"/>
    </row>
    <row r="766" spans="19:19" hidden="1" x14ac:dyDescent="0.25">
      <c r="S766"/>
    </row>
    <row r="767" spans="19:19" hidden="1" x14ac:dyDescent="0.25">
      <c r="S767"/>
    </row>
    <row r="768" spans="19:19" hidden="1" x14ac:dyDescent="0.25">
      <c r="S768"/>
    </row>
    <row r="769" spans="19:19" hidden="1" x14ac:dyDescent="0.25">
      <c r="S769"/>
    </row>
    <row r="770" spans="19:19" hidden="1" x14ac:dyDescent="0.25">
      <c r="S770"/>
    </row>
    <row r="771" spans="19:19" hidden="1" x14ac:dyDescent="0.25">
      <c r="S771"/>
    </row>
    <row r="772" spans="19:19" hidden="1" x14ac:dyDescent="0.25">
      <c r="S772"/>
    </row>
    <row r="773" spans="19:19" hidden="1" x14ac:dyDescent="0.25">
      <c r="S773"/>
    </row>
    <row r="774" spans="19:19" hidden="1" x14ac:dyDescent="0.25">
      <c r="S774"/>
    </row>
    <row r="775" spans="19:19" hidden="1" x14ac:dyDescent="0.25">
      <c r="S775"/>
    </row>
    <row r="776" spans="19:19" hidden="1" x14ac:dyDescent="0.25">
      <c r="S776"/>
    </row>
    <row r="777" spans="19:19" hidden="1" x14ac:dyDescent="0.25">
      <c r="S777"/>
    </row>
    <row r="778" spans="19:19" hidden="1" x14ac:dyDescent="0.25">
      <c r="S778"/>
    </row>
    <row r="779" spans="19:19" hidden="1" x14ac:dyDescent="0.25">
      <c r="S779"/>
    </row>
    <row r="780" spans="19:19" hidden="1" x14ac:dyDescent="0.25">
      <c r="S780"/>
    </row>
    <row r="781" spans="19:19" hidden="1" x14ac:dyDescent="0.25">
      <c r="S781"/>
    </row>
    <row r="782" spans="19:19" hidden="1" x14ac:dyDescent="0.25">
      <c r="S782"/>
    </row>
    <row r="783" spans="19:19" hidden="1" x14ac:dyDescent="0.25">
      <c r="S783"/>
    </row>
    <row r="784" spans="19:19" hidden="1" x14ac:dyDescent="0.25">
      <c r="S784"/>
    </row>
    <row r="785" spans="19:19" hidden="1" x14ac:dyDescent="0.25">
      <c r="S785"/>
    </row>
    <row r="786" spans="19:19" hidden="1" x14ac:dyDescent="0.25">
      <c r="S786"/>
    </row>
    <row r="787" spans="19:19" hidden="1" x14ac:dyDescent="0.25">
      <c r="S787"/>
    </row>
    <row r="788" spans="19:19" hidden="1" x14ac:dyDescent="0.25">
      <c r="S788"/>
    </row>
    <row r="789" spans="19:19" hidden="1" x14ac:dyDescent="0.25">
      <c r="S789"/>
    </row>
    <row r="790" spans="19:19" hidden="1" x14ac:dyDescent="0.25">
      <c r="S790"/>
    </row>
    <row r="791" spans="19:19" hidden="1" x14ac:dyDescent="0.25">
      <c r="S791"/>
    </row>
    <row r="792" spans="19:19" hidden="1" x14ac:dyDescent="0.25">
      <c r="S792"/>
    </row>
    <row r="793" spans="19:19" hidden="1" x14ac:dyDescent="0.25">
      <c r="S793"/>
    </row>
    <row r="794" spans="19:19" hidden="1" x14ac:dyDescent="0.25">
      <c r="S794"/>
    </row>
    <row r="795" spans="19:19" hidden="1" x14ac:dyDescent="0.25">
      <c r="S795"/>
    </row>
    <row r="796" spans="19:19" hidden="1" x14ac:dyDescent="0.25">
      <c r="S796"/>
    </row>
    <row r="797" spans="19:19" hidden="1" x14ac:dyDescent="0.25">
      <c r="S797"/>
    </row>
  </sheetData>
  <sheetProtection algorithmName="SHA-512" hashValue="poEQnrNGnW0MljacFaXR2TOnNLe8qKifVsyRde2i/KWVa3sDKmj+Jyfd0YVuaXQmbvXRXjqKwJHqQqdQEROJKg==" saltValue="5kSW5jCpx7eFZpYAFR9Mzw==" spinCount="100000" sheet="1" objects="1" scenarios="1" formatCells="0" formatColumns="0" formatRows="0"/>
  <mergeCells count="20">
    <mergeCell ref="N8:N9"/>
    <mergeCell ref="A10:A11"/>
    <mergeCell ref="B10:B11"/>
    <mergeCell ref="C10:C11"/>
    <mergeCell ref="D10:D11"/>
    <mergeCell ref="N10:N11"/>
    <mergeCell ref="A8:A9"/>
    <mergeCell ref="B8:B9"/>
    <mergeCell ref="C8:C9"/>
    <mergeCell ref="D8:D9"/>
    <mergeCell ref="N3:N4"/>
    <mergeCell ref="A5:A7"/>
    <mergeCell ref="B5:B7"/>
    <mergeCell ref="C5:C7"/>
    <mergeCell ref="D5:D7"/>
    <mergeCell ref="N5:N7"/>
    <mergeCell ref="A3:A4"/>
    <mergeCell ref="B3:B4"/>
    <mergeCell ref="C3:C4"/>
    <mergeCell ref="D3:D4"/>
  </mergeCells>
  <conditionalFormatting sqref="S798:S1048576 S1:S3">
    <cfRule type="cellIs" dxfId="64" priority="4" operator="between">
      <formula>0.51</formula>
      <formula>0.69</formula>
    </cfRule>
    <cfRule type="cellIs" dxfId="63" priority="5" operator="lessThan">
      <formula>0.5</formula>
    </cfRule>
    <cfRule type="cellIs" dxfId="62" priority="6" operator="greaterThan">
      <formula>0.7</formula>
    </cfRule>
  </conditionalFormatting>
  <conditionalFormatting sqref="S1:S1048576">
    <cfRule type="cellIs" dxfId="61" priority="1" operator="between">
      <formula>0.51</formula>
      <formula>0.69</formula>
    </cfRule>
    <cfRule type="cellIs" dxfId="60" priority="2" operator="lessThan">
      <formula>0.5</formula>
    </cfRule>
    <cfRule type="cellIs" dxfId="59" priority="3" operator="greaterThan">
      <formula>0.7</formula>
    </cfRule>
  </conditionalFormatting>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Y85"/>
  <sheetViews>
    <sheetView zoomScale="60" zoomScaleNormal="60" workbookViewId="0">
      <pane ySplit="1" topLeftCell="A2" activePane="bottomLeft" state="frozen"/>
      <selection activeCell="E1" sqref="E1"/>
      <selection pane="bottomLeft" activeCell="A86" sqref="A86:XFD1048576"/>
    </sheetView>
  </sheetViews>
  <sheetFormatPr baseColWidth="10" defaultColWidth="0" defaultRowHeight="15" zeroHeight="1" x14ac:dyDescent="0.25"/>
  <cols>
    <col min="1" max="2" width="11.42578125" customWidth="1"/>
    <col min="3" max="3" width="30.85546875" customWidth="1"/>
    <col min="4" max="4" width="17.28515625" customWidth="1"/>
    <col min="5" max="5" width="19.140625" customWidth="1"/>
    <col min="6" max="6" width="36" customWidth="1"/>
    <col min="7" max="7" width="15.28515625" bestFit="1" customWidth="1"/>
    <col min="8" max="8" width="14.85546875" bestFit="1" customWidth="1"/>
    <col min="9" max="9" width="13.7109375" customWidth="1"/>
    <col min="10" max="10" width="12.7109375" customWidth="1"/>
    <col min="11" max="11" width="12.42578125" bestFit="1" customWidth="1"/>
    <col min="12" max="12" width="15.5703125" bestFit="1" customWidth="1"/>
    <col min="13" max="13" width="22.140625" bestFit="1" customWidth="1"/>
    <col min="14" max="14" width="17.7109375" bestFit="1" customWidth="1"/>
    <col min="15" max="15" width="29.28515625" customWidth="1"/>
    <col min="16" max="17" width="17.5703125" bestFit="1" customWidth="1"/>
    <col min="18" max="18" width="20.5703125" bestFit="1" customWidth="1"/>
    <col min="19" max="19" width="15.85546875" style="38" customWidth="1"/>
    <col min="20" max="20" width="13.5703125" customWidth="1"/>
    <col min="21" max="21" width="11.42578125" customWidth="1"/>
    <col min="22" max="22" width="20.85546875" bestFit="1" customWidth="1"/>
    <col min="23" max="23" width="11.7109375" bestFit="1" customWidth="1"/>
    <col min="24" max="24" width="11.42578125" customWidth="1"/>
    <col min="25" max="25" width="20.140625" bestFit="1" customWidth="1"/>
    <col min="26" max="16384" width="11.42578125" hidden="1"/>
  </cols>
  <sheetData>
    <row r="1" spans="1:25" ht="63.75" x14ac:dyDescent="0.25">
      <c r="A1" s="186" t="s">
        <v>0</v>
      </c>
      <c r="B1" s="186" t="s">
        <v>1</v>
      </c>
      <c r="C1" s="186" t="s">
        <v>2</v>
      </c>
      <c r="D1" s="186" t="s">
        <v>3</v>
      </c>
      <c r="E1" s="186" t="s">
        <v>4</v>
      </c>
      <c r="F1" s="186" t="s">
        <v>5</v>
      </c>
      <c r="G1" s="186" t="s">
        <v>6</v>
      </c>
      <c r="H1" s="186" t="s">
        <v>7</v>
      </c>
      <c r="I1" s="186" t="s">
        <v>8</v>
      </c>
      <c r="J1" s="186" t="s">
        <v>9</v>
      </c>
      <c r="K1" s="186" t="s">
        <v>10</v>
      </c>
      <c r="L1" s="186" t="s">
        <v>11</v>
      </c>
      <c r="M1" s="186" t="s">
        <v>12</v>
      </c>
      <c r="N1" s="175" t="s">
        <v>13</v>
      </c>
      <c r="O1" s="177" t="s">
        <v>636</v>
      </c>
      <c r="P1" s="177" t="s">
        <v>628</v>
      </c>
      <c r="Q1" s="177" t="s">
        <v>629</v>
      </c>
      <c r="R1" s="177" t="s">
        <v>717</v>
      </c>
      <c r="S1" s="187" t="s">
        <v>1535</v>
      </c>
      <c r="T1" s="177" t="s">
        <v>718</v>
      </c>
      <c r="U1" s="177" t="s">
        <v>631</v>
      </c>
      <c r="V1" s="177" t="s">
        <v>632</v>
      </c>
      <c r="W1" s="177" t="s">
        <v>633</v>
      </c>
      <c r="X1" s="177" t="s">
        <v>634</v>
      </c>
      <c r="Y1" s="177" t="s">
        <v>635</v>
      </c>
    </row>
    <row r="2" spans="1:25" ht="72" customHeight="1" x14ac:dyDescent="0.25">
      <c r="A2" s="323" t="s">
        <v>77</v>
      </c>
      <c r="B2" s="323" t="s">
        <v>78</v>
      </c>
      <c r="C2" s="323" t="s">
        <v>79</v>
      </c>
      <c r="D2" s="323" t="s">
        <v>80</v>
      </c>
      <c r="E2" s="348" t="s">
        <v>81</v>
      </c>
      <c r="F2" s="348" t="s">
        <v>82</v>
      </c>
      <c r="G2" s="348">
        <f>179039406</f>
        <v>179039406</v>
      </c>
      <c r="H2" s="348">
        <f>-(17686118+10208372)</f>
        <v>-27894490</v>
      </c>
      <c r="I2" s="348"/>
      <c r="J2" s="348"/>
      <c r="K2" s="348"/>
      <c r="L2" s="348">
        <v>0</v>
      </c>
      <c r="M2" s="348">
        <f t="shared" ref="M2:M81" si="0">SUM(G2:L2)</f>
        <v>151144916</v>
      </c>
      <c r="N2" s="328">
        <f>SUM(M2:M81)</f>
        <v>1505723182</v>
      </c>
      <c r="O2" s="151" t="s">
        <v>1515</v>
      </c>
      <c r="P2" s="151" t="s">
        <v>1516</v>
      </c>
      <c r="Q2" s="123" t="s">
        <v>1517</v>
      </c>
      <c r="R2" s="188">
        <v>34903418</v>
      </c>
      <c r="S2" s="357">
        <f>R5/M2</f>
        <v>1.2095070468662008</v>
      </c>
      <c r="T2" s="114">
        <v>55</v>
      </c>
      <c r="U2" s="114" t="s">
        <v>1612</v>
      </c>
      <c r="V2" s="115">
        <v>34903418</v>
      </c>
      <c r="W2" s="114" t="s">
        <v>1613</v>
      </c>
      <c r="X2" s="114" t="s">
        <v>1614</v>
      </c>
      <c r="Y2" s="115">
        <v>34150524</v>
      </c>
    </row>
    <row r="3" spans="1:25" ht="39" customHeight="1" x14ac:dyDescent="0.25">
      <c r="A3" s="323"/>
      <c r="B3" s="323"/>
      <c r="C3" s="323"/>
      <c r="D3" s="323"/>
      <c r="E3" s="349"/>
      <c r="F3" s="349"/>
      <c r="G3" s="349"/>
      <c r="H3" s="349"/>
      <c r="I3" s="349"/>
      <c r="J3" s="349"/>
      <c r="K3" s="349"/>
      <c r="L3" s="349"/>
      <c r="M3" s="349"/>
      <c r="N3" s="328"/>
      <c r="O3" s="151" t="s">
        <v>1518</v>
      </c>
      <c r="P3" s="151" t="s">
        <v>1519</v>
      </c>
      <c r="Q3" s="123" t="s">
        <v>1520</v>
      </c>
      <c r="R3" s="188">
        <v>50155782</v>
      </c>
      <c r="S3" s="357"/>
      <c r="T3" s="122">
        <v>466</v>
      </c>
      <c r="U3" s="114" t="s">
        <v>1615</v>
      </c>
      <c r="V3" s="115">
        <v>50155782</v>
      </c>
      <c r="W3" s="114" t="s">
        <v>1616</v>
      </c>
      <c r="X3" s="114" t="s">
        <v>1617</v>
      </c>
      <c r="Y3" s="115">
        <v>50155774</v>
      </c>
    </row>
    <row r="4" spans="1:25" ht="35.25" customHeight="1" x14ac:dyDescent="0.25">
      <c r="A4" s="323"/>
      <c r="B4" s="323"/>
      <c r="C4" s="323"/>
      <c r="D4" s="323"/>
      <c r="E4" s="349"/>
      <c r="F4" s="349"/>
      <c r="G4" s="349"/>
      <c r="H4" s="349"/>
      <c r="I4" s="349"/>
      <c r="J4" s="349"/>
      <c r="K4" s="349"/>
      <c r="L4" s="349"/>
      <c r="M4" s="349"/>
      <c r="N4" s="328"/>
      <c r="O4" s="151" t="s">
        <v>1521</v>
      </c>
      <c r="P4" s="151" t="s">
        <v>1522</v>
      </c>
      <c r="Q4" s="123" t="s">
        <v>1523</v>
      </c>
      <c r="R4" s="188">
        <v>97751641</v>
      </c>
      <c r="S4" s="357"/>
      <c r="T4" s="188">
        <v>772</v>
      </c>
      <c r="U4" s="116" t="s">
        <v>1584</v>
      </c>
      <c r="V4" s="116">
        <v>83771834</v>
      </c>
      <c r="W4" s="116" t="s">
        <v>1618</v>
      </c>
      <c r="X4" s="116" t="s">
        <v>1619</v>
      </c>
      <c r="Y4" s="194">
        <v>57335332</v>
      </c>
    </row>
    <row r="5" spans="1:25" ht="37.5" customHeight="1" x14ac:dyDescent="0.25">
      <c r="A5" s="323"/>
      <c r="B5" s="323"/>
      <c r="C5" s="323"/>
      <c r="D5" s="323"/>
      <c r="E5" s="350"/>
      <c r="F5" s="350"/>
      <c r="G5" s="350"/>
      <c r="H5" s="350"/>
      <c r="I5" s="350"/>
      <c r="J5" s="350"/>
      <c r="K5" s="350"/>
      <c r="L5" s="350"/>
      <c r="M5" s="350"/>
      <c r="N5" s="328"/>
      <c r="O5" s="192" t="s">
        <v>637</v>
      </c>
      <c r="P5" s="154"/>
      <c r="Q5" s="154"/>
      <c r="R5" s="155">
        <f>SUM(R2:R4)</f>
        <v>182810841</v>
      </c>
      <c r="S5" s="357"/>
      <c r="T5" s="116"/>
      <c r="U5" s="116"/>
      <c r="V5" s="116"/>
      <c r="W5" s="116"/>
      <c r="X5" s="116"/>
      <c r="Y5" s="116"/>
    </row>
    <row r="6" spans="1:25" ht="94.5" x14ac:dyDescent="0.25">
      <c r="A6" s="323"/>
      <c r="B6" s="323"/>
      <c r="C6" s="323"/>
      <c r="D6" s="323"/>
      <c r="E6" s="348" t="s">
        <v>371</v>
      </c>
      <c r="F6" s="348" t="s">
        <v>372</v>
      </c>
      <c r="G6" s="348">
        <f>2398550</f>
        <v>2398550</v>
      </c>
      <c r="H6" s="348">
        <v>10208372</v>
      </c>
      <c r="I6" s="348"/>
      <c r="J6" s="348"/>
      <c r="K6" s="348"/>
      <c r="L6" s="348">
        <v>0</v>
      </c>
      <c r="M6" s="348">
        <f t="shared" si="0"/>
        <v>12606922</v>
      </c>
      <c r="N6" s="328"/>
      <c r="O6" s="151" t="s">
        <v>705</v>
      </c>
      <c r="P6" s="151" t="s">
        <v>706</v>
      </c>
      <c r="Q6" s="123" t="s">
        <v>707</v>
      </c>
      <c r="R6" s="188">
        <v>2320697</v>
      </c>
      <c r="S6" s="357">
        <f>R9/M6</f>
        <v>0.97332251282271753</v>
      </c>
      <c r="T6" s="114">
        <v>55</v>
      </c>
      <c r="U6" s="114" t="s">
        <v>1612</v>
      </c>
      <c r="V6" s="115">
        <v>2320697</v>
      </c>
      <c r="W6" s="114" t="s">
        <v>1620</v>
      </c>
      <c r="X6" s="114" t="s">
        <v>1614</v>
      </c>
      <c r="Y6" s="115">
        <v>2288759</v>
      </c>
    </row>
    <row r="7" spans="1:25" ht="108" x14ac:dyDescent="0.25">
      <c r="A7" s="323"/>
      <c r="B7" s="323"/>
      <c r="C7" s="323"/>
      <c r="D7" s="323"/>
      <c r="E7" s="349"/>
      <c r="F7" s="349"/>
      <c r="G7" s="349"/>
      <c r="H7" s="349"/>
      <c r="I7" s="349"/>
      <c r="J7" s="349"/>
      <c r="K7" s="349"/>
      <c r="L7" s="349"/>
      <c r="M7" s="349"/>
      <c r="N7" s="328"/>
      <c r="O7" s="151" t="s">
        <v>708</v>
      </c>
      <c r="P7" s="151" t="s">
        <v>709</v>
      </c>
      <c r="Q7" s="123" t="s">
        <v>710</v>
      </c>
      <c r="R7" s="188">
        <v>3321364</v>
      </c>
      <c r="S7" s="357"/>
      <c r="T7" s="122">
        <v>466</v>
      </c>
      <c r="U7" s="114" t="s">
        <v>1615</v>
      </c>
      <c r="V7" s="115">
        <v>3321364</v>
      </c>
      <c r="W7" s="114" t="s">
        <v>1616</v>
      </c>
      <c r="X7" s="114" t="s">
        <v>1617</v>
      </c>
      <c r="Y7" s="115">
        <v>3321364</v>
      </c>
    </row>
    <row r="8" spans="1:25" ht="94.5" x14ac:dyDescent="0.25">
      <c r="A8" s="323"/>
      <c r="B8" s="323"/>
      <c r="C8" s="323"/>
      <c r="D8" s="323"/>
      <c r="E8" s="349"/>
      <c r="F8" s="349"/>
      <c r="G8" s="349"/>
      <c r="H8" s="349"/>
      <c r="I8" s="349"/>
      <c r="J8" s="349"/>
      <c r="K8" s="349"/>
      <c r="L8" s="349"/>
      <c r="M8" s="349"/>
      <c r="N8" s="328"/>
      <c r="O8" s="151" t="s">
        <v>711</v>
      </c>
      <c r="P8" s="151" t="s">
        <v>712</v>
      </c>
      <c r="Q8" s="123" t="s">
        <v>713</v>
      </c>
      <c r="R8" s="188">
        <v>6628540</v>
      </c>
      <c r="S8" s="357"/>
      <c r="T8" s="114">
        <v>772</v>
      </c>
      <c r="U8" s="114" t="s">
        <v>1584</v>
      </c>
      <c r="V8" s="115">
        <v>6628540</v>
      </c>
      <c r="W8" s="116" t="s">
        <v>1618</v>
      </c>
      <c r="X8" s="114" t="s">
        <v>1619</v>
      </c>
      <c r="Y8" s="196">
        <v>3321364</v>
      </c>
    </row>
    <row r="9" spans="1:25" x14ac:dyDescent="0.25">
      <c r="A9" s="323"/>
      <c r="B9" s="323"/>
      <c r="C9" s="323"/>
      <c r="D9" s="323"/>
      <c r="E9" s="350"/>
      <c r="F9" s="350"/>
      <c r="G9" s="350"/>
      <c r="H9" s="350"/>
      <c r="I9" s="350"/>
      <c r="J9" s="350"/>
      <c r="K9" s="350"/>
      <c r="L9" s="350"/>
      <c r="M9" s="350"/>
      <c r="N9" s="328"/>
      <c r="O9" s="192" t="s">
        <v>637</v>
      </c>
      <c r="P9" s="192"/>
      <c r="Q9" s="192"/>
      <c r="R9" s="155">
        <f>SUM(R6:R8)</f>
        <v>12270601</v>
      </c>
      <c r="S9" s="357"/>
      <c r="T9" s="188"/>
      <c r="U9" s="116"/>
      <c r="V9" s="116"/>
      <c r="W9" s="116"/>
      <c r="X9" s="116"/>
      <c r="Y9" s="116"/>
    </row>
    <row r="10" spans="1:25" ht="94.5" x14ac:dyDescent="0.25">
      <c r="A10" s="323"/>
      <c r="B10" s="323"/>
      <c r="C10" s="323"/>
      <c r="D10" s="323"/>
      <c r="E10" s="348" t="s">
        <v>373</v>
      </c>
      <c r="F10" s="348" t="s">
        <v>374</v>
      </c>
      <c r="G10" s="348">
        <f>16593673</f>
        <v>16593673</v>
      </c>
      <c r="H10" s="348">
        <v>871454</v>
      </c>
      <c r="I10" s="348"/>
      <c r="J10" s="348"/>
      <c r="K10" s="348"/>
      <c r="L10" s="348">
        <v>0</v>
      </c>
      <c r="M10" s="348">
        <f t="shared" si="0"/>
        <v>17465127</v>
      </c>
      <c r="N10" s="328"/>
      <c r="O10" s="151" t="s">
        <v>688</v>
      </c>
      <c r="P10" s="151" t="s">
        <v>689</v>
      </c>
      <c r="Q10" s="123" t="s">
        <v>690</v>
      </c>
      <c r="R10" s="188">
        <v>3164127</v>
      </c>
      <c r="S10" s="356">
        <f>R13/M10</f>
        <v>0.96761592400673635</v>
      </c>
      <c r="T10" s="114">
        <v>55</v>
      </c>
      <c r="U10" s="114" t="s">
        <v>1612</v>
      </c>
      <c r="V10" s="115">
        <v>3164127</v>
      </c>
      <c r="W10" s="114" t="s">
        <v>1621</v>
      </c>
      <c r="X10" s="114" t="s">
        <v>1614</v>
      </c>
      <c r="Y10" s="115">
        <v>3096312</v>
      </c>
    </row>
    <row r="11" spans="1:25" ht="121.5" x14ac:dyDescent="0.25">
      <c r="A11" s="323"/>
      <c r="B11" s="323"/>
      <c r="C11" s="323"/>
      <c r="D11" s="323"/>
      <c r="E11" s="349"/>
      <c r="F11" s="349"/>
      <c r="G11" s="349"/>
      <c r="H11" s="349"/>
      <c r="I11" s="349"/>
      <c r="J11" s="349"/>
      <c r="K11" s="349"/>
      <c r="L11" s="349"/>
      <c r="M11" s="349"/>
      <c r="N11" s="328"/>
      <c r="O11" s="151" t="s">
        <v>691</v>
      </c>
      <c r="P11" s="151" t="s">
        <v>692</v>
      </c>
      <c r="Q11" s="123" t="s">
        <v>693</v>
      </c>
      <c r="R11" s="188">
        <v>4583123</v>
      </c>
      <c r="S11" s="356"/>
      <c r="T11" s="122">
        <v>466</v>
      </c>
      <c r="U11" s="114" t="s">
        <v>1615</v>
      </c>
      <c r="V11" s="115">
        <v>4583123</v>
      </c>
      <c r="W11" s="114" t="s">
        <v>1616</v>
      </c>
      <c r="X11" s="114" t="s">
        <v>1617</v>
      </c>
      <c r="Y11" s="115">
        <v>4583123</v>
      </c>
    </row>
    <row r="12" spans="1:25" ht="108" x14ac:dyDescent="0.25">
      <c r="A12" s="323"/>
      <c r="B12" s="323"/>
      <c r="C12" s="323"/>
      <c r="D12" s="323"/>
      <c r="E12" s="349"/>
      <c r="F12" s="349"/>
      <c r="G12" s="349"/>
      <c r="H12" s="349"/>
      <c r="I12" s="349"/>
      <c r="J12" s="349"/>
      <c r="K12" s="349"/>
      <c r="L12" s="349"/>
      <c r="M12" s="349"/>
      <c r="N12" s="328"/>
      <c r="O12" s="151" t="s">
        <v>694</v>
      </c>
      <c r="P12" s="151" t="s">
        <v>695</v>
      </c>
      <c r="Q12" s="123" t="s">
        <v>696</v>
      </c>
      <c r="R12" s="188">
        <v>9152285</v>
      </c>
      <c r="S12" s="356"/>
      <c r="T12" s="114">
        <v>772</v>
      </c>
      <c r="U12" s="114" t="s">
        <v>1584</v>
      </c>
      <c r="V12" s="115">
        <v>9152285</v>
      </c>
      <c r="W12" s="116" t="s">
        <v>1618</v>
      </c>
      <c r="X12" s="114" t="s">
        <v>1619</v>
      </c>
      <c r="Y12" s="196">
        <v>5376348</v>
      </c>
    </row>
    <row r="13" spans="1:25" x14ac:dyDescent="0.25">
      <c r="A13" s="323"/>
      <c r="B13" s="323"/>
      <c r="C13" s="323"/>
      <c r="D13" s="323"/>
      <c r="E13" s="350"/>
      <c r="F13" s="350"/>
      <c r="G13" s="350"/>
      <c r="H13" s="350"/>
      <c r="I13" s="350"/>
      <c r="J13" s="350"/>
      <c r="K13" s="350"/>
      <c r="L13" s="350"/>
      <c r="M13" s="350"/>
      <c r="N13" s="328"/>
      <c r="O13" s="192" t="s">
        <v>637</v>
      </c>
      <c r="P13" s="154"/>
      <c r="Q13" s="154"/>
      <c r="R13" s="155">
        <f>SUM(R10:R12)</f>
        <v>16899535</v>
      </c>
      <c r="S13" s="356"/>
      <c r="T13" s="116"/>
      <c r="U13" s="116"/>
      <c r="V13" s="116"/>
      <c r="W13" s="116"/>
      <c r="X13" s="116"/>
      <c r="Y13" s="116"/>
    </row>
    <row r="14" spans="1:25" ht="81" x14ac:dyDescent="0.25">
      <c r="A14" s="323"/>
      <c r="B14" s="323"/>
      <c r="C14" s="323"/>
      <c r="D14" s="323"/>
      <c r="E14" s="348" t="s">
        <v>375</v>
      </c>
      <c r="F14" s="348" t="s">
        <v>376</v>
      </c>
      <c r="G14" s="348">
        <f>16593674</f>
        <v>16593674</v>
      </c>
      <c r="H14" s="348">
        <v>-8822129</v>
      </c>
      <c r="I14" s="348"/>
      <c r="J14" s="348"/>
      <c r="K14" s="348"/>
      <c r="L14" s="348">
        <v>0</v>
      </c>
      <c r="M14" s="348">
        <f t="shared" si="0"/>
        <v>7771545</v>
      </c>
      <c r="N14" s="328"/>
      <c r="O14" s="151" t="s">
        <v>1273</v>
      </c>
      <c r="P14" s="151" t="s">
        <v>1274</v>
      </c>
      <c r="Q14" s="123" t="s">
        <v>1275</v>
      </c>
      <c r="R14" s="188">
        <v>1454310</v>
      </c>
      <c r="S14" s="357">
        <f>R17/M14</f>
        <v>0.98012930504809537</v>
      </c>
      <c r="T14" s="114">
        <v>55</v>
      </c>
      <c r="U14" s="114" t="s">
        <v>1612</v>
      </c>
      <c r="V14" s="115">
        <v>1454310</v>
      </c>
      <c r="W14" s="114" t="s">
        <v>1622</v>
      </c>
      <c r="X14" s="114" t="s">
        <v>1614</v>
      </c>
      <c r="Y14" s="115">
        <v>1422937</v>
      </c>
    </row>
    <row r="15" spans="1:25" ht="81" x14ac:dyDescent="0.25">
      <c r="A15" s="323"/>
      <c r="B15" s="323"/>
      <c r="C15" s="323"/>
      <c r="D15" s="323"/>
      <c r="E15" s="349"/>
      <c r="F15" s="349"/>
      <c r="G15" s="349"/>
      <c r="H15" s="349"/>
      <c r="I15" s="349"/>
      <c r="J15" s="349"/>
      <c r="K15" s="349"/>
      <c r="L15" s="349"/>
      <c r="M15" s="349"/>
      <c r="N15" s="328"/>
      <c r="O15" s="151" t="s">
        <v>1273</v>
      </c>
      <c r="P15" s="151" t="s">
        <v>1276</v>
      </c>
      <c r="Q15" s="123" t="s">
        <v>1277</v>
      </c>
      <c r="R15" s="188">
        <v>2089826</v>
      </c>
      <c r="S15" s="357"/>
      <c r="T15" s="122">
        <v>466</v>
      </c>
      <c r="U15" s="114" t="s">
        <v>1615</v>
      </c>
      <c r="V15" s="115">
        <v>2089826</v>
      </c>
      <c r="W15" s="114" t="s">
        <v>1616</v>
      </c>
      <c r="X15" s="114" t="s">
        <v>1617</v>
      </c>
      <c r="Y15" s="115">
        <v>2089826</v>
      </c>
    </row>
    <row r="16" spans="1:25" ht="81" x14ac:dyDescent="0.25">
      <c r="A16" s="323"/>
      <c r="B16" s="323"/>
      <c r="C16" s="323"/>
      <c r="D16" s="323"/>
      <c r="E16" s="349"/>
      <c r="F16" s="349"/>
      <c r="G16" s="349"/>
      <c r="H16" s="349"/>
      <c r="I16" s="349"/>
      <c r="J16" s="349"/>
      <c r="K16" s="349"/>
      <c r="L16" s="349"/>
      <c r="M16" s="349"/>
      <c r="N16" s="328"/>
      <c r="O16" s="151" t="s">
        <v>1278</v>
      </c>
      <c r="P16" s="151" t="s">
        <v>1279</v>
      </c>
      <c r="Q16" s="123" t="s">
        <v>1280</v>
      </c>
      <c r="R16" s="188">
        <v>4072983</v>
      </c>
      <c r="S16" s="357"/>
      <c r="T16" s="114">
        <v>772</v>
      </c>
      <c r="U16" s="114" t="s">
        <v>1584</v>
      </c>
      <c r="V16" s="115">
        <v>4072983</v>
      </c>
      <c r="W16" s="116" t="s">
        <v>1618</v>
      </c>
      <c r="X16" s="114" t="s">
        <v>1619</v>
      </c>
      <c r="Y16" s="196">
        <v>2388973</v>
      </c>
    </row>
    <row r="17" spans="1:25" x14ac:dyDescent="0.25">
      <c r="A17" s="323"/>
      <c r="B17" s="323"/>
      <c r="C17" s="323"/>
      <c r="D17" s="323"/>
      <c r="E17" s="350"/>
      <c r="F17" s="350"/>
      <c r="G17" s="350"/>
      <c r="H17" s="350"/>
      <c r="I17" s="350"/>
      <c r="J17" s="350"/>
      <c r="K17" s="350"/>
      <c r="L17" s="350"/>
      <c r="M17" s="350"/>
      <c r="N17" s="328"/>
      <c r="O17" s="192" t="s">
        <v>637</v>
      </c>
      <c r="P17" s="154"/>
      <c r="Q17" s="154"/>
      <c r="R17" s="155">
        <f>SUM(R14:R16)</f>
        <v>7617119</v>
      </c>
      <c r="S17" s="357"/>
      <c r="T17" s="116"/>
      <c r="U17" s="116"/>
      <c r="V17" s="116"/>
      <c r="W17" s="116"/>
      <c r="X17" s="116"/>
      <c r="Y17" s="116"/>
    </row>
    <row r="18" spans="1:25" ht="94.5" x14ac:dyDescent="0.25">
      <c r="A18" s="323"/>
      <c r="B18" s="323"/>
      <c r="C18" s="323"/>
      <c r="D18" s="323"/>
      <c r="E18" s="348" t="s">
        <v>377</v>
      </c>
      <c r="F18" s="348" t="s">
        <v>378</v>
      </c>
      <c r="G18" s="348">
        <f>7771548</f>
        <v>7771548</v>
      </c>
      <c r="H18" s="348">
        <v>8822129</v>
      </c>
      <c r="I18" s="348"/>
      <c r="J18" s="348"/>
      <c r="K18" s="348"/>
      <c r="L18" s="348">
        <v>0</v>
      </c>
      <c r="M18" s="348">
        <f t="shared" si="0"/>
        <v>16593677</v>
      </c>
      <c r="N18" s="328"/>
      <c r="O18" s="151" t="s">
        <v>924</v>
      </c>
      <c r="P18" s="151" t="s">
        <v>925</v>
      </c>
      <c r="Q18" s="123" t="s">
        <v>926</v>
      </c>
      <c r="R18" s="188">
        <v>3102013</v>
      </c>
      <c r="S18" s="358">
        <f>R21/M18</f>
        <v>0.97969786925465641</v>
      </c>
      <c r="T18" s="114">
        <v>55</v>
      </c>
      <c r="U18" s="114" t="s">
        <v>1612</v>
      </c>
      <c r="V18" s="115">
        <v>3102013</v>
      </c>
      <c r="W18" s="114" t="s">
        <v>1624</v>
      </c>
      <c r="X18" s="114" t="s">
        <v>1614</v>
      </c>
      <c r="Y18" s="197">
        <v>3036607</v>
      </c>
    </row>
    <row r="19" spans="1:25" ht="81" x14ac:dyDescent="0.25">
      <c r="A19" s="323"/>
      <c r="B19" s="323"/>
      <c r="C19" s="323"/>
      <c r="D19" s="323"/>
      <c r="E19" s="349"/>
      <c r="F19" s="349"/>
      <c r="G19" s="349"/>
      <c r="H19" s="349"/>
      <c r="I19" s="349"/>
      <c r="J19" s="349"/>
      <c r="K19" s="349"/>
      <c r="L19" s="349"/>
      <c r="M19" s="349"/>
      <c r="N19" s="328"/>
      <c r="O19" s="151" t="s">
        <v>927</v>
      </c>
      <c r="P19" s="151" t="s">
        <v>928</v>
      </c>
      <c r="Q19" s="123" t="s">
        <v>929</v>
      </c>
      <c r="R19" s="188">
        <v>4456429</v>
      </c>
      <c r="S19" s="358"/>
      <c r="T19" s="122">
        <v>466</v>
      </c>
      <c r="U19" s="114" t="s">
        <v>1615</v>
      </c>
      <c r="V19" s="115">
        <v>4456429</v>
      </c>
      <c r="W19" s="114" t="s">
        <v>1616</v>
      </c>
      <c r="X19" s="114" t="s">
        <v>1617</v>
      </c>
      <c r="Y19" s="115">
        <v>4456429</v>
      </c>
    </row>
    <row r="20" spans="1:25" ht="94.5" x14ac:dyDescent="0.25">
      <c r="A20" s="323"/>
      <c r="B20" s="323"/>
      <c r="C20" s="323"/>
      <c r="D20" s="323"/>
      <c r="E20" s="349"/>
      <c r="F20" s="349"/>
      <c r="G20" s="349"/>
      <c r="H20" s="349"/>
      <c r="I20" s="349"/>
      <c r="J20" s="349"/>
      <c r="K20" s="349"/>
      <c r="L20" s="349"/>
      <c r="M20" s="349"/>
      <c r="N20" s="328"/>
      <c r="O20" s="151" t="s">
        <v>930</v>
      </c>
      <c r="P20" s="151" t="s">
        <v>931</v>
      </c>
      <c r="Q20" s="123" t="s">
        <v>932</v>
      </c>
      <c r="R20" s="188">
        <v>8698348</v>
      </c>
      <c r="S20" s="358"/>
      <c r="T20" s="114">
        <v>772</v>
      </c>
      <c r="U20" s="114" t="s">
        <v>1584</v>
      </c>
      <c r="V20" s="115">
        <v>8698348</v>
      </c>
      <c r="W20" s="122" t="s">
        <v>1618</v>
      </c>
      <c r="X20" s="122" t="s">
        <v>1619</v>
      </c>
      <c r="Y20" s="196">
        <v>5109431</v>
      </c>
    </row>
    <row r="21" spans="1:25" x14ac:dyDescent="0.25">
      <c r="A21" s="323"/>
      <c r="B21" s="323"/>
      <c r="C21" s="323"/>
      <c r="D21" s="323"/>
      <c r="E21" s="350"/>
      <c r="F21" s="350"/>
      <c r="G21" s="350"/>
      <c r="H21" s="350"/>
      <c r="I21" s="350"/>
      <c r="J21" s="350"/>
      <c r="K21" s="350"/>
      <c r="L21" s="350"/>
      <c r="M21" s="350"/>
      <c r="N21" s="328"/>
      <c r="O21" s="192" t="s">
        <v>637</v>
      </c>
      <c r="P21" s="154"/>
      <c r="Q21" s="154"/>
      <c r="R21" s="150">
        <f>SUM(R18:R20)</f>
        <v>16256790</v>
      </c>
      <c r="S21" s="358"/>
      <c r="T21" s="116"/>
      <c r="U21" s="116"/>
      <c r="V21" s="116"/>
      <c r="W21" s="116"/>
      <c r="X21" s="116"/>
      <c r="Y21" s="116"/>
    </row>
    <row r="22" spans="1:25" ht="108" customHeight="1" x14ac:dyDescent="0.25">
      <c r="A22" s="323"/>
      <c r="B22" s="323"/>
      <c r="C22" s="323"/>
      <c r="D22" s="323"/>
      <c r="E22" s="359" t="s">
        <v>379</v>
      </c>
      <c r="F22" s="359" t="s">
        <v>380</v>
      </c>
      <c r="G22" s="348">
        <v>150000000</v>
      </c>
      <c r="H22" s="348"/>
      <c r="I22" s="348"/>
      <c r="J22" s="348">
        <v>211355700</v>
      </c>
      <c r="K22" s="348"/>
      <c r="L22" s="348">
        <v>0</v>
      </c>
      <c r="M22" s="348">
        <f t="shared" si="0"/>
        <v>361355700</v>
      </c>
      <c r="N22" s="328"/>
      <c r="O22" s="151" t="s">
        <v>942</v>
      </c>
      <c r="P22" s="151" t="s">
        <v>943</v>
      </c>
      <c r="Q22" s="123" t="s">
        <v>944</v>
      </c>
      <c r="R22" s="188">
        <v>15983333</v>
      </c>
      <c r="S22" s="355">
        <f>R40/M22</f>
        <v>0.2932470194880003</v>
      </c>
      <c r="T22" s="114">
        <v>214</v>
      </c>
      <c r="U22" s="114" t="s">
        <v>1559</v>
      </c>
      <c r="V22" s="115">
        <v>15983333</v>
      </c>
      <c r="W22" s="114">
        <v>587</v>
      </c>
      <c r="X22" s="114" t="s">
        <v>1625</v>
      </c>
      <c r="Y22" s="115">
        <v>15983333</v>
      </c>
    </row>
    <row r="23" spans="1:25" ht="189" x14ac:dyDescent="0.25">
      <c r="A23" s="323"/>
      <c r="B23" s="323"/>
      <c r="C23" s="323"/>
      <c r="D23" s="323"/>
      <c r="E23" s="360"/>
      <c r="F23" s="360"/>
      <c r="G23" s="349"/>
      <c r="H23" s="349"/>
      <c r="I23" s="349"/>
      <c r="J23" s="349"/>
      <c r="K23" s="349"/>
      <c r="L23" s="349"/>
      <c r="M23" s="349"/>
      <c r="N23" s="328"/>
      <c r="O23" s="151" t="s">
        <v>945</v>
      </c>
      <c r="P23" s="151" t="s">
        <v>946</v>
      </c>
      <c r="Q23" s="123" t="s">
        <v>947</v>
      </c>
      <c r="R23" s="188">
        <v>8936612</v>
      </c>
      <c r="S23" s="355"/>
      <c r="T23" s="114">
        <v>207</v>
      </c>
      <c r="U23" s="114" t="s">
        <v>1559</v>
      </c>
      <c r="V23" s="115">
        <v>8936612</v>
      </c>
      <c r="W23" s="114">
        <v>595</v>
      </c>
      <c r="X23" s="114" t="s">
        <v>1625</v>
      </c>
      <c r="Y23" s="115">
        <v>8936612</v>
      </c>
    </row>
    <row r="24" spans="1:25" ht="216" x14ac:dyDescent="0.25">
      <c r="A24" s="323"/>
      <c r="B24" s="323"/>
      <c r="C24" s="323"/>
      <c r="D24" s="323"/>
      <c r="E24" s="360"/>
      <c r="F24" s="360"/>
      <c r="G24" s="349"/>
      <c r="H24" s="349"/>
      <c r="I24" s="349"/>
      <c r="J24" s="349"/>
      <c r="K24" s="349"/>
      <c r="L24" s="349"/>
      <c r="M24" s="349"/>
      <c r="N24" s="328"/>
      <c r="O24" s="151" t="s">
        <v>948</v>
      </c>
      <c r="P24" s="151" t="s">
        <v>949</v>
      </c>
      <c r="Q24" s="123" t="s">
        <v>950</v>
      </c>
      <c r="R24" s="188">
        <v>6576400</v>
      </c>
      <c r="S24" s="355"/>
      <c r="T24" s="114">
        <v>236</v>
      </c>
      <c r="U24" s="114" t="s">
        <v>1626</v>
      </c>
      <c r="V24" s="115">
        <v>6576400</v>
      </c>
      <c r="W24" s="114">
        <v>589</v>
      </c>
      <c r="X24" s="114" t="s">
        <v>1625</v>
      </c>
      <c r="Y24" s="115">
        <v>6576400</v>
      </c>
    </row>
    <row r="25" spans="1:25" ht="216" x14ac:dyDescent="0.25">
      <c r="A25" s="323"/>
      <c r="B25" s="323"/>
      <c r="C25" s="323"/>
      <c r="D25" s="323"/>
      <c r="E25" s="360"/>
      <c r="F25" s="360"/>
      <c r="G25" s="349"/>
      <c r="H25" s="349"/>
      <c r="I25" s="349"/>
      <c r="J25" s="349"/>
      <c r="K25" s="349"/>
      <c r="L25" s="349"/>
      <c r="M25" s="349"/>
      <c r="N25" s="328"/>
      <c r="O25" s="151" t="s">
        <v>951</v>
      </c>
      <c r="P25" s="151" t="s">
        <v>952</v>
      </c>
      <c r="Q25" s="123" t="s">
        <v>953</v>
      </c>
      <c r="R25" s="188">
        <v>6202133</v>
      </c>
      <c r="S25" s="355"/>
      <c r="T25" s="114">
        <v>263</v>
      </c>
      <c r="U25" s="114" t="s">
        <v>1627</v>
      </c>
      <c r="V25" s="115">
        <v>6202133</v>
      </c>
      <c r="W25" s="114">
        <v>707</v>
      </c>
      <c r="X25" s="114" t="s">
        <v>1599</v>
      </c>
      <c r="Y25" s="115">
        <v>6202133</v>
      </c>
    </row>
    <row r="26" spans="1:25" ht="202.5" x14ac:dyDescent="0.25">
      <c r="A26" s="323"/>
      <c r="B26" s="323"/>
      <c r="C26" s="323"/>
      <c r="D26" s="323"/>
      <c r="E26" s="360"/>
      <c r="F26" s="360"/>
      <c r="G26" s="349"/>
      <c r="H26" s="349"/>
      <c r="I26" s="349"/>
      <c r="J26" s="349"/>
      <c r="K26" s="349"/>
      <c r="L26" s="349"/>
      <c r="M26" s="349"/>
      <c r="N26" s="328"/>
      <c r="O26" s="151" t="s">
        <v>954</v>
      </c>
      <c r="P26" s="151" t="s">
        <v>955</v>
      </c>
      <c r="Q26" s="123" t="s">
        <v>956</v>
      </c>
      <c r="R26" s="188">
        <v>6576400</v>
      </c>
      <c r="S26" s="355"/>
      <c r="T26" s="114">
        <v>267</v>
      </c>
      <c r="U26" s="114" t="s">
        <v>1627</v>
      </c>
      <c r="V26" s="115">
        <v>6576400</v>
      </c>
      <c r="W26" s="114">
        <v>709</v>
      </c>
      <c r="X26" s="114" t="s">
        <v>1599</v>
      </c>
      <c r="Y26" s="115">
        <v>6576400</v>
      </c>
    </row>
    <row r="27" spans="1:25" ht="229.5" x14ac:dyDescent="0.25">
      <c r="A27" s="323"/>
      <c r="B27" s="323"/>
      <c r="C27" s="323"/>
      <c r="D27" s="323"/>
      <c r="E27" s="360"/>
      <c r="F27" s="360"/>
      <c r="G27" s="349"/>
      <c r="H27" s="349"/>
      <c r="I27" s="349"/>
      <c r="J27" s="349"/>
      <c r="K27" s="349"/>
      <c r="L27" s="349"/>
      <c r="M27" s="349"/>
      <c r="N27" s="328"/>
      <c r="O27" s="151" t="s">
        <v>957</v>
      </c>
      <c r="P27" s="151" t="s">
        <v>958</v>
      </c>
      <c r="Q27" s="123" t="s">
        <v>959</v>
      </c>
      <c r="R27" s="188">
        <v>8455410</v>
      </c>
      <c r="S27" s="355"/>
      <c r="T27" s="114">
        <v>259</v>
      </c>
      <c r="U27" s="114" t="s">
        <v>1627</v>
      </c>
      <c r="V27" s="115">
        <v>8455410</v>
      </c>
      <c r="W27" s="114">
        <v>708</v>
      </c>
      <c r="X27" s="114" t="s">
        <v>1599</v>
      </c>
      <c r="Y27" s="115">
        <v>8455410</v>
      </c>
    </row>
    <row r="28" spans="1:25" ht="337.5" x14ac:dyDescent="0.25">
      <c r="A28" s="323"/>
      <c r="B28" s="323"/>
      <c r="C28" s="323"/>
      <c r="D28" s="323"/>
      <c r="E28" s="360"/>
      <c r="F28" s="360"/>
      <c r="G28" s="349"/>
      <c r="H28" s="349"/>
      <c r="I28" s="349"/>
      <c r="J28" s="349"/>
      <c r="K28" s="349"/>
      <c r="L28" s="349"/>
      <c r="M28" s="349"/>
      <c r="N28" s="328"/>
      <c r="O28" s="151" t="s">
        <v>960</v>
      </c>
      <c r="P28" s="151" t="s">
        <v>961</v>
      </c>
      <c r="Q28" s="123" t="s">
        <v>962</v>
      </c>
      <c r="R28" s="188">
        <v>7974207</v>
      </c>
      <c r="S28" s="355"/>
      <c r="T28" s="114">
        <v>270</v>
      </c>
      <c r="U28" s="114" t="s">
        <v>1627</v>
      </c>
      <c r="V28" s="115">
        <v>7974207</v>
      </c>
      <c r="W28" s="114">
        <v>705</v>
      </c>
      <c r="X28" s="114" t="s">
        <v>1599</v>
      </c>
      <c r="Y28" s="115">
        <v>7974207</v>
      </c>
    </row>
    <row r="29" spans="1:25" ht="229.5" x14ac:dyDescent="0.25">
      <c r="A29" s="323"/>
      <c r="B29" s="323"/>
      <c r="C29" s="323"/>
      <c r="D29" s="323"/>
      <c r="E29" s="360"/>
      <c r="F29" s="360"/>
      <c r="G29" s="349"/>
      <c r="H29" s="349"/>
      <c r="I29" s="349"/>
      <c r="J29" s="349"/>
      <c r="K29" s="349"/>
      <c r="L29" s="349"/>
      <c r="M29" s="349"/>
      <c r="N29" s="328"/>
      <c r="O29" s="151" t="s">
        <v>963</v>
      </c>
      <c r="P29" s="151" t="s">
        <v>964</v>
      </c>
      <c r="Q29" s="123" t="s">
        <v>965</v>
      </c>
      <c r="R29" s="188">
        <v>7974207</v>
      </c>
      <c r="S29" s="355"/>
      <c r="T29" s="114">
        <v>258</v>
      </c>
      <c r="U29" s="114" t="s">
        <v>1627</v>
      </c>
      <c r="V29" s="115">
        <v>7974207</v>
      </c>
      <c r="W29" s="114">
        <v>706</v>
      </c>
      <c r="X29" s="114" t="s">
        <v>1599</v>
      </c>
      <c r="Y29" s="115">
        <v>7974207</v>
      </c>
    </row>
    <row r="30" spans="1:25" ht="229.5" x14ac:dyDescent="0.25">
      <c r="A30" s="323"/>
      <c r="B30" s="323"/>
      <c r="C30" s="323"/>
      <c r="D30" s="323"/>
      <c r="E30" s="360"/>
      <c r="F30" s="360"/>
      <c r="G30" s="349"/>
      <c r="H30" s="349"/>
      <c r="I30" s="349"/>
      <c r="J30" s="349"/>
      <c r="K30" s="349"/>
      <c r="L30" s="349"/>
      <c r="M30" s="349"/>
      <c r="N30" s="328"/>
      <c r="O30" s="151" t="s">
        <v>966</v>
      </c>
      <c r="P30" s="151" t="s">
        <v>967</v>
      </c>
      <c r="Q30" s="123" t="s">
        <v>968</v>
      </c>
      <c r="R30" s="188">
        <v>7974207</v>
      </c>
      <c r="S30" s="355"/>
      <c r="T30" s="114">
        <v>277</v>
      </c>
      <c r="U30" s="114" t="s">
        <v>1598</v>
      </c>
      <c r="V30" s="115">
        <v>7974207</v>
      </c>
      <c r="W30" s="114">
        <v>704</v>
      </c>
      <c r="X30" s="114" t="s">
        <v>1599</v>
      </c>
      <c r="Y30" s="115">
        <v>7974207</v>
      </c>
    </row>
    <row r="31" spans="1:25" ht="148.5" x14ac:dyDescent="0.25">
      <c r="A31" s="323"/>
      <c r="B31" s="323"/>
      <c r="C31" s="323"/>
      <c r="D31" s="323"/>
      <c r="E31" s="360"/>
      <c r="F31" s="360"/>
      <c r="G31" s="349"/>
      <c r="H31" s="349"/>
      <c r="I31" s="349"/>
      <c r="J31" s="349"/>
      <c r="K31" s="349"/>
      <c r="L31" s="349"/>
      <c r="M31" s="349"/>
      <c r="N31" s="328"/>
      <c r="O31" s="151" t="s">
        <v>969</v>
      </c>
      <c r="P31" s="151" t="s">
        <v>970</v>
      </c>
      <c r="Q31" s="123" t="s">
        <v>971</v>
      </c>
      <c r="R31" s="188">
        <v>6452333</v>
      </c>
      <c r="S31" s="355"/>
      <c r="T31" s="114">
        <v>276</v>
      </c>
      <c r="U31" s="114" t="s">
        <v>1598</v>
      </c>
      <c r="V31" s="115">
        <v>6452333</v>
      </c>
      <c r="W31" s="114">
        <v>702</v>
      </c>
      <c r="X31" s="114" t="s">
        <v>1599</v>
      </c>
      <c r="Y31" s="115">
        <v>6452333</v>
      </c>
    </row>
    <row r="32" spans="1:25" ht="324" x14ac:dyDescent="0.25">
      <c r="A32" s="323"/>
      <c r="B32" s="323"/>
      <c r="C32" s="323"/>
      <c r="D32" s="323"/>
      <c r="E32" s="360"/>
      <c r="F32" s="360"/>
      <c r="G32" s="349"/>
      <c r="H32" s="349"/>
      <c r="I32" s="349"/>
      <c r="J32" s="349"/>
      <c r="K32" s="349"/>
      <c r="L32" s="349"/>
      <c r="M32" s="349"/>
      <c r="N32" s="328"/>
      <c r="O32" s="151" t="s">
        <v>972</v>
      </c>
      <c r="P32" s="151" t="s">
        <v>973</v>
      </c>
      <c r="Q32" s="123" t="s">
        <v>974</v>
      </c>
      <c r="R32" s="188">
        <v>5233688</v>
      </c>
      <c r="S32" s="355"/>
      <c r="T32" s="114">
        <v>280</v>
      </c>
      <c r="U32" s="114" t="s">
        <v>1599</v>
      </c>
      <c r="V32" s="115">
        <v>5233688</v>
      </c>
      <c r="W32" s="114">
        <v>29</v>
      </c>
      <c r="X32" s="114" t="s">
        <v>1628</v>
      </c>
      <c r="Y32" s="115">
        <v>5233688</v>
      </c>
    </row>
    <row r="33" spans="1:25" ht="189" x14ac:dyDescent="0.25">
      <c r="A33" s="323"/>
      <c r="B33" s="323"/>
      <c r="C33" s="323"/>
      <c r="D33" s="323"/>
      <c r="E33" s="360"/>
      <c r="F33" s="360"/>
      <c r="G33" s="349"/>
      <c r="H33" s="349"/>
      <c r="I33" s="349"/>
      <c r="J33" s="349"/>
      <c r="K33" s="349"/>
      <c r="L33" s="349"/>
      <c r="M33" s="349"/>
      <c r="N33" s="328"/>
      <c r="O33" s="151" t="s">
        <v>975</v>
      </c>
      <c r="P33" s="151" t="s">
        <v>976</v>
      </c>
      <c r="Q33" s="123" t="s">
        <v>977</v>
      </c>
      <c r="R33" s="188">
        <v>8936612</v>
      </c>
      <c r="S33" s="355"/>
      <c r="T33" s="114">
        <v>281</v>
      </c>
      <c r="U33" s="114" t="s">
        <v>1599</v>
      </c>
      <c r="V33" s="115">
        <v>8936612</v>
      </c>
      <c r="W33" s="114">
        <v>760</v>
      </c>
      <c r="X33" s="114" t="s">
        <v>1629</v>
      </c>
      <c r="Y33" s="115">
        <v>8730382</v>
      </c>
    </row>
    <row r="34" spans="1:25" ht="121.5" x14ac:dyDescent="0.25">
      <c r="A34" s="323"/>
      <c r="B34" s="323"/>
      <c r="C34" s="323"/>
      <c r="D34" s="323"/>
      <c r="E34" s="360"/>
      <c r="F34" s="360"/>
      <c r="G34" s="349"/>
      <c r="H34" s="349"/>
      <c r="I34" s="349"/>
      <c r="J34" s="349"/>
      <c r="K34" s="349"/>
      <c r="L34" s="349"/>
      <c r="M34" s="349"/>
      <c r="N34" s="328"/>
      <c r="O34" s="151" t="s">
        <v>978</v>
      </c>
      <c r="P34" s="151" t="s">
        <v>979</v>
      </c>
      <c r="Q34" s="123" t="s">
        <v>980</v>
      </c>
      <c r="R34" s="188">
        <v>6970000</v>
      </c>
      <c r="S34" s="355"/>
      <c r="T34" s="114">
        <v>305</v>
      </c>
      <c r="U34" s="114" t="s">
        <v>1600</v>
      </c>
      <c r="V34" s="115">
        <v>6970000</v>
      </c>
      <c r="W34" s="114">
        <v>1374</v>
      </c>
      <c r="X34" s="114" t="s">
        <v>1602</v>
      </c>
      <c r="Y34" s="115">
        <v>6176667</v>
      </c>
    </row>
    <row r="35" spans="1:25" ht="310.5" x14ac:dyDescent="0.25">
      <c r="A35" s="323"/>
      <c r="B35" s="323"/>
      <c r="C35" s="323"/>
      <c r="D35" s="323"/>
      <c r="E35" s="360"/>
      <c r="F35" s="360"/>
      <c r="G35" s="349"/>
      <c r="H35" s="349"/>
      <c r="I35" s="349"/>
      <c r="J35" s="349"/>
      <c r="K35" s="349"/>
      <c r="L35" s="349"/>
      <c r="M35" s="349"/>
      <c r="N35" s="328"/>
      <c r="O35" s="151" t="s">
        <v>981</v>
      </c>
      <c r="P35" s="151" t="s">
        <v>982</v>
      </c>
      <c r="Q35" s="123" t="s">
        <v>983</v>
      </c>
      <c r="R35" s="188">
        <v>5233688</v>
      </c>
      <c r="S35" s="355"/>
      <c r="T35" s="114">
        <v>286</v>
      </c>
      <c r="U35" s="114" t="s">
        <v>1630</v>
      </c>
      <c r="V35" s="115">
        <v>5233688</v>
      </c>
      <c r="W35" s="114">
        <v>28</v>
      </c>
      <c r="X35" s="114" t="s">
        <v>1628</v>
      </c>
      <c r="Y35" s="115">
        <v>5233688</v>
      </c>
    </row>
    <row r="36" spans="1:25" ht="216" x14ac:dyDescent="0.25">
      <c r="A36" s="323"/>
      <c r="B36" s="323"/>
      <c r="C36" s="323"/>
      <c r="D36" s="323"/>
      <c r="E36" s="360"/>
      <c r="F36" s="360"/>
      <c r="G36" s="349"/>
      <c r="H36" s="349"/>
      <c r="I36" s="349"/>
      <c r="J36" s="349"/>
      <c r="K36" s="349"/>
      <c r="L36" s="349"/>
      <c r="M36" s="349"/>
      <c r="N36" s="328"/>
      <c r="O36" s="151" t="s">
        <v>984</v>
      </c>
      <c r="P36" s="151" t="s">
        <v>369</v>
      </c>
      <c r="Q36" s="123" t="s">
        <v>985</v>
      </c>
      <c r="R36" s="188">
        <v>6041733</v>
      </c>
      <c r="S36" s="355"/>
      <c r="T36" s="114">
        <v>295</v>
      </c>
      <c r="U36" s="114" t="s">
        <v>1631</v>
      </c>
      <c r="V36" s="115">
        <v>6041733</v>
      </c>
      <c r="W36" s="114">
        <v>86</v>
      </c>
      <c r="X36" s="114" t="s">
        <v>1601</v>
      </c>
      <c r="Y36" s="115">
        <v>6041733</v>
      </c>
    </row>
    <row r="37" spans="1:25" ht="189" x14ac:dyDescent="0.25">
      <c r="A37" s="323"/>
      <c r="B37" s="323"/>
      <c r="C37" s="323"/>
      <c r="D37" s="323"/>
      <c r="E37" s="360"/>
      <c r="F37" s="360"/>
      <c r="G37" s="349"/>
      <c r="H37" s="349"/>
      <c r="I37" s="349"/>
      <c r="J37" s="349"/>
      <c r="K37" s="349"/>
      <c r="L37" s="349"/>
      <c r="M37" s="349"/>
      <c r="N37" s="328"/>
      <c r="O37" s="151" t="s">
        <v>986</v>
      </c>
      <c r="P37" s="151" t="s">
        <v>605</v>
      </c>
      <c r="Q37" s="123" t="s">
        <v>987</v>
      </c>
      <c r="R37" s="188">
        <v>7011803</v>
      </c>
      <c r="S37" s="355"/>
      <c r="T37" s="122">
        <v>437</v>
      </c>
      <c r="U37" s="114" t="s">
        <v>1574</v>
      </c>
      <c r="V37" s="115">
        <v>7011803</v>
      </c>
      <c r="W37" s="114">
        <v>1463</v>
      </c>
      <c r="X37" s="114" t="s">
        <v>1564</v>
      </c>
      <c r="Y37" s="115">
        <v>6736830</v>
      </c>
    </row>
    <row r="38" spans="1:25" ht="108" x14ac:dyDescent="0.25">
      <c r="A38" s="323"/>
      <c r="B38" s="323"/>
      <c r="C38" s="323"/>
      <c r="D38" s="323"/>
      <c r="E38" s="360"/>
      <c r="F38" s="360"/>
      <c r="G38" s="349"/>
      <c r="H38" s="349"/>
      <c r="I38" s="349"/>
      <c r="J38" s="349"/>
      <c r="K38" s="349"/>
      <c r="L38" s="349"/>
      <c r="M38" s="349"/>
      <c r="N38" s="328"/>
      <c r="O38" s="151" t="s">
        <v>988</v>
      </c>
      <c r="P38" s="151" t="s">
        <v>989</v>
      </c>
      <c r="Q38" s="123" t="s">
        <v>990</v>
      </c>
      <c r="R38" s="188">
        <v>5086994</v>
      </c>
      <c r="S38" s="355"/>
      <c r="T38" s="114">
        <v>510</v>
      </c>
      <c r="U38" s="114" t="s">
        <v>1632</v>
      </c>
      <c r="V38" s="115">
        <v>5086994</v>
      </c>
      <c r="W38" s="114">
        <v>1908</v>
      </c>
      <c r="X38" s="114" t="s">
        <v>1633</v>
      </c>
      <c r="Y38" s="115">
        <v>5086994</v>
      </c>
    </row>
    <row r="39" spans="1:25" ht="202.5" x14ac:dyDescent="0.25">
      <c r="A39" s="323"/>
      <c r="B39" s="323"/>
      <c r="C39" s="323"/>
      <c r="D39" s="323"/>
      <c r="E39" s="360"/>
      <c r="F39" s="360"/>
      <c r="G39" s="349"/>
      <c r="H39" s="349"/>
      <c r="I39" s="349"/>
      <c r="J39" s="349"/>
      <c r="K39" s="349"/>
      <c r="L39" s="349"/>
      <c r="M39" s="349"/>
      <c r="N39" s="328"/>
      <c r="O39" s="151" t="s">
        <v>991</v>
      </c>
      <c r="P39" s="151" t="s">
        <v>992</v>
      </c>
      <c r="Q39" s="123" t="s">
        <v>993</v>
      </c>
      <c r="R39" s="188">
        <v>3266667</v>
      </c>
      <c r="S39" s="355"/>
      <c r="T39" s="114">
        <v>747</v>
      </c>
      <c r="U39" s="114" t="s">
        <v>1589</v>
      </c>
      <c r="V39" s="115">
        <v>3266667</v>
      </c>
      <c r="W39" s="116">
        <v>2659</v>
      </c>
      <c r="X39" s="116" t="s">
        <v>1570</v>
      </c>
      <c r="Y39" s="117">
        <v>3266667</v>
      </c>
    </row>
    <row r="40" spans="1:25" x14ac:dyDescent="0.25">
      <c r="A40" s="323"/>
      <c r="B40" s="323"/>
      <c r="C40" s="323"/>
      <c r="D40" s="323"/>
      <c r="E40" s="361"/>
      <c r="F40" s="361"/>
      <c r="G40" s="350"/>
      <c r="H40" s="350"/>
      <c r="I40" s="350"/>
      <c r="J40" s="350"/>
      <c r="K40" s="350"/>
      <c r="L40" s="350"/>
      <c r="M40" s="350"/>
      <c r="N40" s="328"/>
      <c r="O40" s="192" t="s">
        <v>637</v>
      </c>
      <c r="P40" s="154"/>
      <c r="Q40" s="154"/>
      <c r="R40" s="150">
        <f>SUM(R24:R39)</f>
        <v>105966482</v>
      </c>
      <c r="S40" s="355"/>
      <c r="T40" s="116"/>
      <c r="U40" s="116"/>
      <c r="V40" s="116"/>
      <c r="W40" s="116"/>
      <c r="X40" s="116"/>
      <c r="Y40" s="116"/>
    </row>
    <row r="41" spans="1:25" ht="162" x14ac:dyDescent="0.25">
      <c r="A41" s="323"/>
      <c r="B41" s="323"/>
      <c r="C41" s="323"/>
      <c r="D41" s="323"/>
      <c r="E41" s="348" t="s">
        <v>381</v>
      </c>
      <c r="F41" s="348" t="s">
        <v>382</v>
      </c>
      <c r="G41" s="348">
        <v>200000000</v>
      </c>
      <c r="H41" s="348"/>
      <c r="I41" s="348"/>
      <c r="J41" s="348">
        <v>420000000</v>
      </c>
      <c r="K41" s="348"/>
      <c r="L41" s="348">
        <v>0</v>
      </c>
      <c r="M41" s="348">
        <f t="shared" si="0"/>
        <v>620000000</v>
      </c>
      <c r="N41" s="328"/>
      <c r="O41" s="151" t="s">
        <v>794</v>
      </c>
      <c r="P41" s="151" t="s">
        <v>18</v>
      </c>
      <c r="Q41" s="123" t="s">
        <v>795</v>
      </c>
      <c r="R41" s="188">
        <v>4335000</v>
      </c>
      <c r="S41" s="355">
        <f>R71/M41</f>
        <v>0.26267370967741938</v>
      </c>
      <c r="T41" s="114">
        <v>401</v>
      </c>
      <c r="U41" s="114" t="s">
        <v>1590</v>
      </c>
      <c r="V41" s="115">
        <v>4335000</v>
      </c>
      <c r="W41" s="114">
        <v>1470</v>
      </c>
      <c r="X41" s="114" t="s">
        <v>1564</v>
      </c>
      <c r="Y41" s="115">
        <v>4335000</v>
      </c>
    </row>
    <row r="42" spans="1:25" ht="175.5" x14ac:dyDescent="0.25">
      <c r="A42" s="323"/>
      <c r="B42" s="323"/>
      <c r="C42" s="323"/>
      <c r="D42" s="323"/>
      <c r="E42" s="349"/>
      <c r="F42" s="349"/>
      <c r="G42" s="349"/>
      <c r="H42" s="349"/>
      <c r="I42" s="349"/>
      <c r="J42" s="349"/>
      <c r="K42" s="349"/>
      <c r="L42" s="349"/>
      <c r="M42" s="349"/>
      <c r="N42" s="328"/>
      <c r="O42" s="151" t="s">
        <v>796</v>
      </c>
      <c r="P42" s="151" t="s">
        <v>544</v>
      </c>
      <c r="Q42" s="123" t="s">
        <v>797</v>
      </c>
      <c r="R42" s="188">
        <v>6936000</v>
      </c>
      <c r="S42" s="355"/>
      <c r="T42" s="114">
        <v>395</v>
      </c>
      <c r="U42" s="114" t="s">
        <v>1590</v>
      </c>
      <c r="V42" s="115">
        <v>6936000</v>
      </c>
      <c r="W42" s="114">
        <v>1457</v>
      </c>
      <c r="X42" s="114" t="s">
        <v>1634</v>
      </c>
      <c r="Y42" s="115">
        <v>6936000</v>
      </c>
    </row>
    <row r="43" spans="1:25" ht="202.5" x14ac:dyDescent="0.25">
      <c r="A43" s="323"/>
      <c r="B43" s="323"/>
      <c r="C43" s="323"/>
      <c r="D43" s="323"/>
      <c r="E43" s="349"/>
      <c r="F43" s="349"/>
      <c r="G43" s="349"/>
      <c r="H43" s="349"/>
      <c r="I43" s="349"/>
      <c r="J43" s="349"/>
      <c r="K43" s="349"/>
      <c r="L43" s="349"/>
      <c r="M43" s="349"/>
      <c r="N43" s="328"/>
      <c r="O43" s="151" t="s">
        <v>798</v>
      </c>
      <c r="P43" s="151" t="s">
        <v>545</v>
      </c>
      <c r="Q43" s="123" t="s">
        <v>799</v>
      </c>
      <c r="R43" s="188">
        <v>6502500</v>
      </c>
      <c r="S43" s="355"/>
      <c r="T43" s="114">
        <v>399</v>
      </c>
      <c r="U43" s="114" t="s">
        <v>1590</v>
      </c>
      <c r="V43" s="115">
        <v>6502500</v>
      </c>
      <c r="W43" s="114">
        <v>1465</v>
      </c>
      <c r="X43" s="114" t="s">
        <v>1564</v>
      </c>
      <c r="Y43" s="115">
        <v>6502500</v>
      </c>
    </row>
    <row r="44" spans="1:25" ht="202.5" x14ac:dyDescent="0.25">
      <c r="A44" s="323"/>
      <c r="B44" s="323"/>
      <c r="C44" s="323"/>
      <c r="D44" s="323"/>
      <c r="E44" s="349"/>
      <c r="F44" s="349"/>
      <c r="G44" s="349"/>
      <c r="H44" s="349"/>
      <c r="I44" s="349"/>
      <c r="J44" s="349"/>
      <c r="K44" s="349"/>
      <c r="L44" s="349"/>
      <c r="M44" s="349"/>
      <c r="N44" s="328"/>
      <c r="O44" s="151" t="s">
        <v>800</v>
      </c>
      <c r="P44" s="151" t="s">
        <v>547</v>
      </c>
      <c r="Q44" s="123" t="s">
        <v>801</v>
      </c>
      <c r="R44" s="188">
        <v>6502500</v>
      </c>
      <c r="S44" s="355"/>
      <c r="T44" s="114">
        <v>397</v>
      </c>
      <c r="U44" s="114" t="s">
        <v>1590</v>
      </c>
      <c r="V44" s="115">
        <v>6502500</v>
      </c>
      <c r="W44" s="114">
        <v>1475</v>
      </c>
      <c r="X44" s="114" t="s">
        <v>1564</v>
      </c>
      <c r="Y44" s="115">
        <v>6502500</v>
      </c>
    </row>
    <row r="45" spans="1:25" ht="175.5" x14ac:dyDescent="0.25">
      <c r="A45" s="323"/>
      <c r="B45" s="323"/>
      <c r="C45" s="323"/>
      <c r="D45" s="323"/>
      <c r="E45" s="349"/>
      <c r="F45" s="349"/>
      <c r="G45" s="349"/>
      <c r="H45" s="349"/>
      <c r="I45" s="349"/>
      <c r="J45" s="349"/>
      <c r="K45" s="349"/>
      <c r="L45" s="349"/>
      <c r="M45" s="349"/>
      <c r="N45" s="328"/>
      <c r="O45" s="151" t="s">
        <v>802</v>
      </c>
      <c r="P45" s="151" t="s">
        <v>549</v>
      </c>
      <c r="Q45" s="123" t="s">
        <v>803</v>
      </c>
      <c r="R45" s="188">
        <v>5202000</v>
      </c>
      <c r="S45" s="355"/>
      <c r="T45" s="114">
        <v>393</v>
      </c>
      <c r="U45" s="114" t="s">
        <v>1590</v>
      </c>
      <c r="V45" s="115">
        <v>5202000</v>
      </c>
      <c r="W45" s="114">
        <v>1464</v>
      </c>
      <c r="X45" s="114" t="s">
        <v>1564</v>
      </c>
      <c r="Y45" s="115">
        <v>5202000</v>
      </c>
    </row>
    <row r="46" spans="1:25" ht="148.5" x14ac:dyDescent="0.25">
      <c r="A46" s="323"/>
      <c r="B46" s="323"/>
      <c r="C46" s="323"/>
      <c r="D46" s="323"/>
      <c r="E46" s="349"/>
      <c r="F46" s="349"/>
      <c r="G46" s="349"/>
      <c r="H46" s="349"/>
      <c r="I46" s="349"/>
      <c r="J46" s="349"/>
      <c r="K46" s="349"/>
      <c r="L46" s="349"/>
      <c r="M46" s="349"/>
      <c r="N46" s="328"/>
      <c r="O46" s="151" t="s">
        <v>804</v>
      </c>
      <c r="P46" s="151" t="s">
        <v>551</v>
      </c>
      <c r="Q46" s="123" t="s">
        <v>805</v>
      </c>
      <c r="R46" s="188">
        <v>4335000</v>
      </c>
      <c r="S46" s="355"/>
      <c r="T46" s="114">
        <v>400</v>
      </c>
      <c r="U46" s="114" t="s">
        <v>1590</v>
      </c>
      <c r="V46" s="115">
        <v>4335000</v>
      </c>
      <c r="W46" s="114">
        <v>1455</v>
      </c>
      <c r="X46" s="114" t="s">
        <v>1634</v>
      </c>
      <c r="Y46" s="115">
        <v>4335000</v>
      </c>
    </row>
    <row r="47" spans="1:25" ht="175.5" x14ac:dyDescent="0.25">
      <c r="A47" s="323"/>
      <c r="B47" s="323"/>
      <c r="C47" s="323"/>
      <c r="D47" s="323"/>
      <c r="E47" s="349"/>
      <c r="F47" s="349"/>
      <c r="G47" s="349"/>
      <c r="H47" s="349"/>
      <c r="I47" s="349"/>
      <c r="J47" s="349"/>
      <c r="K47" s="349"/>
      <c r="L47" s="349"/>
      <c r="M47" s="349"/>
      <c r="N47" s="328"/>
      <c r="O47" s="151" t="s">
        <v>806</v>
      </c>
      <c r="P47" s="151" t="s">
        <v>553</v>
      </c>
      <c r="Q47" s="123" t="s">
        <v>807</v>
      </c>
      <c r="R47" s="188">
        <v>6502500</v>
      </c>
      <c r="S47" s="355"/>
      <c r="T47" s="114">
        <v>396</v>
      </c>
      <c r="U47" s="114" t="s">
        <v>1590</v>
      </c>
      <c r="V47" s="115">
        <v>6502500</v>
      </c>
      <c r="W47" s="114">
        <v>1459</v>
      </c>
      <c r="X47" s="114" t="s">
        <v>1634</v>
      </c>
      <c r="Y47" s="115">
        <v>6502500</v>
      </c>
    </row>
    <row r="48" spans="1:25" ht="148.5" x14ac:dyDescent="0.25">
      <c r="A48" s="323"/>
      <c r="B48" s="323"/>
      <c r="C48" s="323"/>
      <c r="D48" s="323"/>
      <c r="E48" s="349"/>
      <c r="F48" s="349"/>
      <c r="G48" s="349"/>
      <c r="H48" s="349"/>
      <c r="I48" s="349"/>
      <c r="J48" s="349"/>
      <c r="K48" s="349"/>
      <c r="L48" s="349"/>
      <c r="M48" s="349"/>
      <c r="N48" s="328"/>
      <c r="O48" s="151" t="s">
        <v>808</v>
      </c>
      <c r="P48" s="151" t="s">
        <v>555</v>
      </c>
      <c r="Q48" s="123" t="s">
        <v>809</v>
      </c>
      <c r="R48" s="188">
        <v>5202000</v>
      </c>
      <c r="S48" s="355"/>
      <c r="T48" s="114">
        <v>394</v>
      </c>
      <c r="U48" s="114" t="s">
        <v>1590</v>
      </c>
      <c r="V48" s="115">
        <v>5202000</v>
      </c>
      <c r="W48" s="114">
        <v>1460</v>
      </c>
      <c r="X48" s="114" t="s">
        <v>1634</v>
      </c>
      <c r="Y48" s="115">
        <v>5202000</v>
      </c>
    </row>
    <row r="49" spans="1:25" ht="162" x14ac:dyDescent="0.25">
      <c r="A49" s="323"/>
      <c r="B49" s="323"/>
      <c r="C49" s="323"/>
      <c r="D49" s="323"/>
      <c r="E49" s="349"/>
      <c r="F49" s="349"/>
      <c r="G49" s="349"/>
      <c r="H49" s="349"/>
      <c r="I49" s="349"/>
      <c r="J49" s="349"/>
      <c r="K49" s="349"/>
      <c r="L49" s="349"/>
      <c r="M49" s="349"/>
      <c r="N49" s="328"/>
      <c r="O49" s="151" t="s">
        <v>810</v>
      </c>
      <c r="P49" s="151" t="s">
        <v>557</v>
      </c>
      <c r="Q49" s="123" t="s">
        <v>811</v>
      </c>
      <c r="R49" s="188">
        <v>5202000</v>
      </c>
      <c r="S49" s="355"/>
      <c r="T49" s="114">
        <v>398</v>
      </c>
      <c r="U49" s="114" t="s">
        <v>1590</v>
      </c>
      <c r="V49" s="115">
        <v>5202000</v>
      </c>
      <c r="W49" s="114">
        <v>1456</v>
      </c>
      <c r="X49" s="114" t="s">
        <v>1634</v>
      </c>
      <c r="Y49" s="115">
        <v>5202000</v>
      </c>
    </row>
    <row r="50" spans="1:25" ht="148.5" x14ac:dyDescent="0.25">
      <c r="A50" s="323"/>
      <c r="B50" s="323"/>
      <c r="C50" s="323"/>
      <c r="D50" s="323"/>
      <c r="E50" s="349"/>
      <c r="F50" s="349"/>
      <c r="G50" s="349"/>
      <c r="H50" s="349"/>
      <c r="I50" s="349"/>
      <c r="J50" s="349"/>
      <c r="K50" s="349"/>
      <c r="L50" s="349"/>
      <c r="M50" s="349"/>
      <c r="N50" s="328"/>
      <c r="O50" s="151" t="s">
        <v>812</v>
      </c>
      <c r="P50" s="151" t="s">
        <v>565</v>
      </c>
      <c r="Q50" s="123" t="s">
        <v>813</v>
      </c>
      <c r="R50" s="188">
        <v>4335000</v>
      </c>
      <c r="S50" s="355"/>
      <c r="T50" s="114">
        <v>406</v>
      </c>
      <c r="U50" s="114" t="s">
        <v>1590</v>
      </c>
      <c r="V50" s="115">
        <v>4335000</v>
      </c>
      <c r="W50" s="114">
        <v>1474</v>
      </c>
      <c r="X50" s="114" t="s">
        <v>1564</v>
      </c>
      <c r="Y50" s="115">
        <v>4335000</v>
      </c>
    </row>
    <row r="51" spans="1:25" ht="148.5" x14ac:dyDescent="0.25">
      <c r="A51" s="323"/>
      <c r="B51" s="323"/>
      <c r="C51" s="323"/>
      <c r="D51" s="323"/>
      <c r="E51" s="349"/>
      <c r="F51" s="349"/>
      <c r="G51" s="349"/>
      <c r="H51" s="349"/>
      <c r="I51" s="349"/>
      <c r="J51" s="349"/>
      <c r="K51" s="349"/>
      <c r="L51" s="349"/>
      <c r="M51" s="349"/>
      <c r="N51" s="328"/>
      <c r="O51" s="151" t="s">
        <v>814</v>
      </c>
      <c r="P51" s="151" t="s">
        <v>815</v>
      </c>
      <c r="Q51" s="123" t="s">
        <v>816</v>
      </c>
      <c r="R51" s="188">
        <v>6502500</v>
      </c>
      <c r="S51" s="355"/>
      <c r="T51" s="114">
        <v>413</v>
      </c>
      <c r="U51" s="114" t="s">
        <v>1603</v>
      </c>
      <c r="V51" s="115">
        <v>6502500</v>
      </c>
      <c r="W51" s="114">
        <v>1503</v>
      </c>
      <c r="X51" s="114" t="s">
        <v>1636</v>
      </c>
      <c r="Y51" s="115">
        <v>6502500</v>
      </c>
    </row>
    <row r="52" spans="1:25" ht="148.5" x14ac:dyDescent="0.25">
      <c r="A52" s="323"/>
      <c r="B52" s="323"/>
      <c r="C52" s="323"/>
      <c r="D52" s="323"/>
      <c r="E52" s="349"/>
      <c r="F52" s="349"/>
      <c r="G52" s="349"/>
      <c r="H52" s="349"/>
      <c r="I52" s="349"/>
      <c r="J52" s="349"/>
      <c r="K52" s="349"/>
      <c r="L52" s="349"/>
      <c r="M52" s="349"/>
      <c r="N52" s="328"/>
      <c r="O52" s="151" t="s">
        <v>817</v>
      </c>
      <c r="P52" s="151" t="s">
        <v>567</v>
      </c>
      <c r="Q52" s="123" t="s">
        <v>818</v>
      </c>
      <c r="R52" s="188">
        <v>2601000</v>
      </c>
      <c r="S52" s="355"/>
      <c r="T52" s="122">
        <v>418</v>
      </c>
      <c r="U52" s="114" t="s">
        <v>1603</v>
      </c>
      <c r="V52" s="115">
        <v>2601000</v>
      </c>
      <c r="W52" s="114">
        <v>1469</v>
      </c>
      <c r="X52" s="114" t="s">
        <v>1564</v>
      </c>
      <c r="Y52" s="115">
        <v>2601000</v>
      </c>
    </row>
    <row r="53" spans="1:25" ht="162" x14ac:dyDescent="0.25">
      <c r="A53" s="323"/>
      <c r="B53" s="323"/>
      <c r="C53" s="323"/>
      <c r="D53" s="323"/>
      <c r="E53" s="349"/>
      <c r="F53" s="349"/>
      <c r="G53" s="349"/>
      <c r="H53" s="349"/>
      <c r="I53" s="349"/>
      <c r="J53" s="349"/>
      <c r="K53" s="349"/>
      <c r="L53" s="349"/>
      <c r="M53" s="349"/>
      <c r="N53" s="328"/>
      <c r="O53" s="151" t="s">
        <v>819</v>
      </c>
      <c r="P53" s="151" t="s">
        <v>569</v>
      </c>
      <c r="Q53" s="123" t="s">
        <v>820</v>
      </c>
      <c r="R53" s="188">
        <v>4335000</v>
      </c>
      <c r="S53" s="355"/>
      <c r="T53" s="122">
        <v>426</v>
      </c>
      <c r="U53" s="114" t="s">
        <v>1574</v>
      </c>
      <c r="V53" s="115">
        <v>4335000</v>
      </c>
      <c r="W53" s="114">
        <v>1472</v>
      </c>
      <c r="X53" s="114" t="s">
        <v>1564</v>
      </c>
      <c r="Y53" s="115">
        <v>4335000</v>
      </c>
    </row>
    <row r="54" spans="1:25" ht="148.5" x14ac:dyDescent="0.25">
      <c r="A54" s="323"/>
      <c r="B54" s="323"/>
      <c r="C54" s="323"/>
      <c r="D54" s="323"/>
      <c r="E54" s="349"/>
      <c r="F54" s="349"/>
      <c r="G54" s="349"/>
      <c r="H54" s="349"/>
      <c r="I54" s="349"/>
      <c r="J54" s="349"/>
      <c r="K54" s="349"/>
      <c r="L54" s="349"/>
      <c r="M54" s="349"/>
      <c r="N54" s="328"/>
      <c r="O54" s="151" t="s">
        <v>821</v>
      </c>
      <c r="P54" s="151" t="s">
        <v>570</v>
      </c>
      <c r="Q54" s="123" t="s">
        <v>822</v>
      </c>
      <c r="R54" s="188">
        <v>6502500</v>
      </c>
      <c r="S54" s="355"/>
      <c r="T54" s="114">
        <v>412</v>
      </c>
      <c r="U54" s="114" t="s">
        <v>1603</v>
      </c>
      <c r="V54" s="115">
        <v>6502500</v>
      </c>
      <c r="W54" s="114">
        <v>1491</v>
      </c>
      <c r="X54" s="114" t="s">
        <v>1635</v>
      </c>
      <c r="Y54" s="115">
        <v>6502500</v>
      </c>
    </row>
    <row r="55" spans="1:25" ht="148.5" x14ac:dyDescent="0.25">
      <c r="A55" s="323"/>
      <c r="B55" s="323"/>
      <c r="C55" s="323"/>
      <c r="D55" s="323"/>
      <c r="E55" s="349"/>
      <c r="F55" s="349"/>
      <c r="G55" s="349"/>
      <c r="H55" s="349"/>
      <c r="I55" s="349"/>
      <c r="J55" s="349"/>
      <c r="K55" s="349"/>
      <c r="L55" s="349"/>
      <c r="M55" s="349"/>
      <c r="N55" s="328"/>
      <c r="O55" s="151" t="s">
        <v>823</v>
      </c>
      <c r="P55" s="151" t="s">
        <v>572</v>
      </c>
      <c r="Q55" s="123" t="s">
        <v>824</v>
      </c>
      <c r="R55" s="188">
        <v>4768500</v>
      </c>
      <c r="S55" s="355"/>
      <c r="T55" s="122">
        <v>427</v>
      </c>
      <c r="U55" s="114" t="s">
        <v>1574</v>
      </c>
      <c r="V55" s="115">
        <v>4768500</v>
      </c>
      <c r="W55" s="114">
        <v>1494</v>
      </c>
      <c r="X55" s="114" t="s">
        <v>1635</v>
      </c>
      <c r="Y55" s="115">
        <v>4768500</v>
      </c>
    </row>
    <row r="56" spans="1:25" ht="148.5" x14ac:dyDescent="0.25">
      <c r="A56" s="323"/>
      <c r="B56" s="323"/>
      <c r="C56" s="323"/>
      <c r="D56" s="323"/>
      <c r="E56" s="349"/>
      <c r="F56" s="349"/>
      <c r="G56" s="349"/>
      <c r="H56" s="349"/>
      <c r="I56" s="349"/>
      <c r="J56" s="349"/>
      <c r="K56" s="349"/>
      <c r="L56" s="349"/>
      <c r="M56" s="349"/>
      <c r="N56" s="328"/>
      <c r="O56" s="151" t="s">
        <v>825</v>
      </c>
      <c r="P56" s="151" t="s">
        <v>574</v>
      </c>
      <c r="Q56" s="123" t="s">
        <v>826</v>
      </c>
      <c r="R56" s="188">
        <v>4768500</v>
      </c>
      <c r="S56" s="355"/>
      <c r="T56" s="122">
        <v>428</v>
      </c>
      <c r="U56" s="114" t="s">
        <v>1574</v>
      </c>
      <c r="V56" s="115">
        <v>4768500</v>
      </c>
      <c r="W56" s="114">
        <v>1471</v>
      </c>
      <c r="X56" s="114" t="s">
        <v>1564</v>
      </c>
      <c r="Y56" s="115">
        <v>4768500</v>
      </c>
    </row>
    <row r="57" spans="1:25" ht="148.5" x14ac:dyDescent="0.25">
      <c r="A57" s="323"/>
      <c r="B57" s="323"/>
      <c r="C57" s="323"/>
      <c r="D57" s="323"/>
      <c r="E57" s="349"/>
      <c r="F57" s="349"/>
      <c r="G57" s="349"/>
      <c r="H57" s="349"/>
      <c r="I57" s="349"/>
      <c r="J57" s="349"/>
      <c r="K57" s="349"/>
      <c r="L57" s="349"/>
      <c r="M57" s="349"/>
      <c r="N57" s="328"/>
      <c r="O57" s="151" t="s">
        <v>827</v>
      </c>
      <c r="P57" s="151" t="s">
        <v>575</v>
      </c>
      <c r="Q57" s="123" t="s">
        <v>828</v>
      </c>
      <c r="R57" s="188">
        <v>3468000</v>
      </c>
      <c r="S57" s="355"/>
      <c r="T57" s="114">
        <v>415</v>
      </c>
      <c r="U57" s="114" t="s">
        <v>1603</v>
      </c>
      <c r="V57" s="115">
        <v>3468000</v>
      </c>
      <c r="W57" s="114">
        <v>1488</v>
      </c>
      <c r="X57" s="114" t="s">
        <v>1635</v>
      </c>
      <c r="Y57" s="115">
        <v>3468000</v>
      </c>
    </row>
    <row r="58" spans="1:25" ht="175.5" x14ac:dyDescent="0.25">
      <c r="A58" s="323"/>
      <c r="B58" s="323"/>
      <c r="C58" s="323"/>
      <c r="D58" s="323"/>
      <c r="E58" s="349"/>
      <c r="F58" s="349"/>
      <c r="G58" s="349"/>
      <c r="H58" s="349"/>
      <c r="I58" s="349"/>
      <c r="J58" s="349"/>
      <c r="K58" s="349"/>
      <c r="L58" s="349"/>
      <c r="M58" s="349"/>
      <c r="N58" s="328"/>
      <c r="O58" s="151" t="s">
        <v>829</v>
      </c>
      <c r="P58" s="151" t="s">
        <v>577</v>
      </c>
      <c r="Q58" s="123" t="s">
        <v>830</v>
      </c>
      <c r="R58" s="188">
        <v>5288700</v>
      </c>
      <c r="S58" s="355"/>
      <c r="T58" s="114">
        <v>407</v>
      </c>
      <c r="U58" s="114" t="s">
        <v>1590</v>
      </c>
      <c r="V58" s="115">
        <v>5288700</v>
      </c>
      <c r="W58" s="114">
        <v>1486</v>
      </c>
      <c r="X58" s="114" t="s">
        <v>1635</v>
      </c>
      <c r="Y58" s="115">
        <v>5288700</v>
      </c>
    </row>
    <row r="59" spans="1:25" ht="148.5" x14ac:dyDescent="0.25">
      <c r="A59" s="323"/>
      <c r="B59" s="323"/>
      <c r="C59" s="323"/>
      <c r="D59" s="323"/>
      <c r="E59" s="349"/>
      <c r="F59" s="349"/>
      <c r="G59" s="349"/>
      <c r="H59" s="349"/>
      <c r="I59" s="349"/>
      <c r="J59" s="349"/>
      <c r="K59" s="349"/>
      <c r="L59" s="349"/>
      <c r="M59" s="349"/>
      <c r="N59" s="328"/>
      <c r="O59" s="151" t="s">
        <v>831</v>
      </c>
      <c r="P59" s="151" t="s">
        <v>579</v>
      </c>
      <c r="Q59" s="123" t="s">
        <v>832</v>
      </c>
      <c r="R59" s="188">
        <v>3468000</v>
      </c>
      <c r="S59" s="355"/>
      <c r="T59" s="114">
        <v>416</v>
      </c>
      <c r="U59" s="114" t="s">
        <v>1603</v>
      </c>
      <c r="V59" s="115">
        <v>3468000</v>
      </c>
      <c r="W59" s="114">
        <v>1500</v>
      </c>
      <c r="X59" s="114" t="s">
        <v>1636</v>
      </c>
      <c r="Y59" s="115">
        <v>3468000</v>
      </c>
    </row>
    <row r="60" spans="1:25" ht="148.5" x14ac:dyDescent="0.25">
      <c r="A60" s="323"/>
      <c r="B60" s="323"/>
      <c r="C60" s="323"/>
      <c r="D60" s="323"/>
      <c r="E60" s="349"/>
      <c r="F60" s="349"/>
      <c r="G60" s="349"/>
      <c r="H60" s="349"/>
      <c r="I60" s="349"/>
      <c r="J60" s="349"/>
      <c r="K60" s="349"/>
      <c r="L60" s="349"/>
      <c r="M60" s="349"/>
      <c r="N60" s="328"/>
      <c r="O60" s="151" t="s">
        <v>833</v>
      </c>
      <c r="P60" s="151" t="s">
        <v>581</v>
      </c>
      <c r="Q60" s="123" t="s">
        <v>834</v>
      </c>
      <c r="R60" s="188">
        <v>4768500</v>
      </c>
      <c r="S60" s="355"/>
      <c r="T60" s="122">
        <v>417</v>
      </c>
      <c r="U60" s="114" t="s">
        <v>1603</v>
      </c>
      <c r="V60" s="115">
        <v>4768500</v>
      </c>
      <c r="W60" s="114">
        <v>1492</v>
      </c>
      <c r="X60" s="114" t="s">
        <v>1635</v>
      </c>
      <c r="Y60" s="115">
        <v>4768500</v>
      </c>
    </row>
    <row r="61" spans="1:25" ht="148.5" x14ac:dyDescent="0.25">
      <c r="A61" s="323"/>
      <c r="B61" s="323"/>
      <c r="C61" s="323"/>
      <c r="D61" s="323"/>
      <c r="E61" s="349"/>
      <c r="F61" s="349"/>
      <c r="G61" s="349"/>
      <c r="H61" s="349"/>
      <c r="I61" s="349"/>
      <c r="J61" s="349"/>
      <c r="K61" s="349"/>
      <c r="L61" s="349"/>
      <c r="M61" s="349"/>
      <c r="N61" s="328"/>
      <c r="O61" s="151" t="s">
        <v>835</v>
      </c>
      <c r="P61" s="151" t="s">
        <v>583</v>
      </c>
      <c r="Q61" s="123" t="s">
        <v>836</v>
      </c>
      <c r="R61" s="188">
        <v>6502500</v>
      </c>
      <c r="S61" s="355"/>
      <c r="T61" s="114">
        <v>408</v>
      </c>
      <c r="U61" s="114" t="s">
        <v>1590</v>
      </c>
      <c r="V61" s="115">
        <v>6502500</v>
      </c>
      <c r="W61" s="114">
        <v>1477</v>
      </c>
      <c r="X61" s="114" t="s">
        <v>1564</v>
      </c>
      <c r="Y61" s="115">
        <v>6502500</v>
      </c>
    </row>
    <row r="62" spans="1:25" ht="148.5" x14ac:dyDescent="0.25">
      <c r="A62" s="323"/>
      <c r="B62" s="323"/>
      <c r="C62" s="323"/>
      <c r="D62" s="323"/>
      <c r="E62" s="349"/>
      <c r="F62" s="349"/>
      <c r="G62" s="349"/>
      <c r="H62" s="349"/>
      <c r="I62" s="349"/>
      <c r="J62" s="349"/>
      <c r="K62" s="349"/>
      <c r="L62" s="349"/>
      <c r="M62" s="349"/>
      <c r="N62" s="328"/>
      <c r="O62" s="151" t="s">
        <v>837</v>
      </c>
      <c r="P62" s="151" t="s">
        <v>584</v>
      </c>
      <c r="Q62" s="123" t="s">
        <v>838</v>
      </c>
      <c r="R62" s="188">
        <v>4768500</v>
      </c>
      <c r="S62" s="355"/>
      <c r="T62" s="122">
        <v>419</v>
      </c>
      <c r="U62" s="114" t="s">
        <v>1603</v>
      </c>
      <c r="V62" s="115">
        <v>4768500</v>
      </c>
      <c r="W62" s="114">
        <v>1478</v>
      </c>
      <c r="X62" s="114" t="s">
        <v>1564</v>
      </c>
      <c r="Y62" s="115">
        <v>4768500</v>
      </c>
    </row>
    <row r="63" spans="1:25" ht="148.5" x14ac:dyDescent="0.25">
      <c r="A63" s="323"/>
      <c r="B63" s="323"/>
      <c r="C63" s="323"/>
      <c r="D63" s="323"/>
      <c r="E63" s="349"/>
      <c r="F63" s="349"/>
      <c r="G63" s="349"/>
      <c r="H63" s="349"/>
      <c r="I63" s="349"/>
      <c r="J63" s="349"/>
      <c r="K63" s="349"/>
      <c r="L63" s="349"/>
      <c r="M63" s="349"/>
      <c r="N63" s="328"/>
      <c r="O63" s="151" t="s">
        <v>839</v>
      </c>
      <c r="P63" s="151" t="s">
        <v>586</v>
      </c>
      <c r="Q63" s="123" t="s">
        <v>840</v>
      </c>
      <c r="R63" s="188">
        <v>6502500</v>
      </c>
      <c r="S63" s="355"/>
      <c r="T63" s="122">
        <v>423</v>
      </c>
      <c r="U63" s="114" t="s">
        <v>1574</v>
      </c>
      <c r="V63" s="115">
        <v>6502500</v>
      </c>
      <c r="W63" s="114">
        <v>1479</v>
      </c>
      <c r="X63" s="114" t="s">
        <v>1564</v>
      </c>
      <c r="Y63" s="115">
        <v>6502500</v>
      </c>
    </row>
    <row r="64" spans="1:25" ht="216" x14ac:dyDescent="0.25">
      <c r="A64" s="323"/>
      <c r="B64" s="323"/>
      <c r="C64" s="323"/>
      <c r="D64" s="323"/>
      <c r="E64" s="349"/>
      <c r="F64" s="349"/>
      <c r="G64" s="349"/>
      <c r="H64" s="349"/>
      <c r="I64" s="349"/>
      <c r="J64" s="349"/>
      <c r="K64" s="349"/>
      <c r="L64" s="349"/>
      <c r="M64" s="349"/>
      <c r="N64" s="328"/>
      <c r="O64" s="151" t="s">
        <v>841</v>
      </c>
      <c r="P64" s="151" t="s">
        <v>587</v>
      </c>
      <c r="Q64" s="123" t="s">
        <v>842</v>
      </c>
      <c r="R64" s="188">
        <v>7803000</v>
      </c>
      <c r="S64" s="355"/>
      <c r="T64" s="122">
        <v>429</v>
      </c>
      <c r="U64" s="114" t="s">
        <v>1574</v>
      </c>
      <c r="V64" s="115">
        <v>7803000</v>
      </c>
      <c r="W64" s="114">
        <v>1476</v>
      </c>
      <c r="X64" s="114" t="s">
        <v>1564</v>
      </c>
      <c r="Y64" s="115">
        <v>7803000</v>
      </c>
    </row>
    <row r="65" spans="1:25" ht="162" x14ac:dyDescent="0.25">
      <c r="A65" s="323"/>
      <c r="B65" s="323"/>
      <c r="C65" s="323"/>
      <c r="D65" s="323"/>
      <c r="E65" s="349"/>
      <c r="F65" s="349"/>
      <c r="G65" s="349"/>
      <c r="H65" s="349"/>
      <c r="I65" s="349"/>
      <c r="J65" s="349"/>
      <c r="K65" s="349"/>
      <c r="L65" s="349"/>
      <c r="M65" s="349"/>
      <c r="N65" s="328"/>
      <c r="O65" s="151" t="s">
        <v>843</v>
      </c>
      <c r="P65" s="151" t="s">
        <v>589</v>
      </c>
      <c r="Q65" s="123" t="s">
        <v>844</v>
      </c>
      <c r="R65" s="188">
        <v>7144500</v>
      </c>
      <c r="S65" s="355"/>
      <c r="T65" s="122">
        <v>430</v>
      </c>
      <c r="U65" s="114" t="s">
        <v>1574</v>
      </c>
      <c r="V65" s="115">
        <v>7144500</v>
      </c>
      <c r="W65" s="114">
        <v>1468</v>
      </c>
      <c r="X65" s="114" t="s">
        <v>1564</v>
      </c>
      <c r="Y65" s="115">
        <v>7144500</v>
      </c>
    </row>
    <row r="66" spans="1:25" ht="162" x14ac:dyDescent="0.25">
      <c r="A66" s="323"/>
      <c r="B66" s="323"/>
      <c r="C66" s="323"/>
      <c r="D66" s="323"/>
      <c r="E66" s="349"/>
      <c r="F66" s="349"/>
      <c r="G66" s="349"/>
      <c r="H66" s="349"/>
      <c r="I66" s="349"/>
      <c r="J66" s="349"/>
      <c r="K66" s="349"/>
      <c r="L66" s="349"/>
      <c r="M66" s="349"/>
      <c r="N66" s="328"/>
      <c r="O66" s="151" t="s">
        <v>845</v>
      </c>
      <c r="P66" s="151" t="s">
        <v>590</v>
      </c>
      <c r="Q66" s="123" t="s">
        <v>846</v>
      </c>
      <c r="R66" s="188">
        <v>4335000</v>
      </c>
      <c r="S66" s="355"/>
      <c r="T66" s="122">
        <v>431</v>
      </c>
      <c r="U66" s="114" t="s">
        <v>1574</v>
      </c>
      <c r="V66" s="115">
        <v>4335000</v>
      </c>
      <c r="W66" s="114">
        <v>1493</v>
      </c>
      <c r="X66" s="114" t="s">
        <v>1635</v>
      </c>
      <c r="Y66" s="115">
        <v>4335000</v>
      </c>
    </row>
    <row r="67" spans="1:25" ht="175.5" x14ac:dyDescent="0.25">
      <c r="A67" s="323"/>
      <c r="B67" s="323"/>
      <c r="C67" s="323"/>
      <c r="D67" s="323"/>
      <c r="E67" s="349"/>
      <c r="F67" s="349"/>
      <c r="G67" s="349"/>
      <c r="H67" s="349"/>
      <c r="I67" s="349"/>
      <c r="J67" s="349"/>
      <c r="K67" s="349"/>
      <c r="L67" s="349"/>
      <c r="M67" s="349"/>
      <c r="N67" s="328"/>
      <c r="O67" s="151" t="s">
        <v>847</v>
      </c>
      <c r="P67" s="151" t="s">
        <v>592</v>
      </c>
      <c r="Q67" s="123" t="s">
        <v>848</v>
      </c>
      <c r="R67" s="188">
        <v>6502500</v>
      </c>
      <c r="S67" s="355"/>
      <c r="T67" s="114">
        <v>414</v>
      </c>
      <c r="U67" s="114" t="s">
        <v>1603</v>
      </c>
      <c r="V67" s="115">
        <v>6502500</v>
      </c>
      <c r="W67" s="114">
        <v>1490</v>
      </c>
      <c r="X67" s="114" t="s">
        <v>1635</v>
      </c>
      <c r="Y67" s="115">
        <v>6502500</v>
      </c>
    </row>
    <row r="68" spans="1:25" ht="162" x14ac:dyDescent="0.25">
      <c r="A68" s="323"/>
      <c r="B68" s="323"/>
      <c r="C68" s="323"/>
      <c r="D68" s="323"/>
      <c r="E68" s="349"/>
      <c r="F68" s="349"/>
      <c r="G68" s="349"/>
      <c r="H68" s="349"/>
      <c r="I68" s="349"/>
      <c r="J68" s="349"/>
      <c r="K68" s="349"/>
      <c r="L68" s="349"/>
      <c r="M68" s="349"/>
      <c r="N68" s="328"/>
      <c r="O68" s="151" t="s">
        <v>849</v>
      </c>
      <c r="P68" s="151" t="s">
        <v>137</v>
      </c>
      <c r="Q68" s="123" t="s">
        <v>850</v>
      </c>
      <c r="R68" s="188">
        <v>8236500</v>
      </c>
      <c r="S68" s="355"/>
      <c r="T68" s="122">
        <v>424</v>
      </c>
      <c r="U68" s="114" t="s">
        <v>1574</v>
      </c>
      <c r="V68" s="115">
        <v>8236500</v>
      </c>
      <c r="W68" s="114">
        <v>1480</v>
      </c>
      <c r="X68" s="114" t="s">
        <v>1564</v>
      </c>
      <c r="Y68" s="115">
        <v>8236500</v>
      </c>
    </row>
    <row r="69" spans="1:25" ht="189" x14ac:dyDescent="0.25">
      <c r="A69" s="323"/>
      <c r="B69" s="323"/>
      <c r="C69" s="323"/>
      <c r="D69" s="323"/>
      <c r="E69" s="349"/>
      <c r="F69" s="349"/>
      <c r="G69" s="349"/>
      <c r="H69" s="349"/>
      <c r="I69" s="349"/>
      <c r="J69" s="349"/>
      <c r="K69" s="349"/>
      <c r="L69" s="349"/>
      <c r="M69" s="349"/>
      <c r="N69" s="328"/>
      <c r="O69" s="151" t="s">
        <v>851</v>
      </c>
      <c r="P69" s="151" t="s">
        <v>852</v>
      </c>
      <c r="Q69" s="123" t="s">
        <v>853</v>
      </c>
      <c r="R69" s="188">
        <v>5202000</v>
      </c>
      <c r="S69" s="355"/>
      <c r="T69" s="114">
        <v>410</v>
      </c>
      <c r="U69" s="114" t="s">
        <v>1590</v>
      </c>
      <c r="V69" s="115">
        <v>5202000</v>
      </c>
      <c r="W69" s="114">
        <v>1487</v>
      </c>
      <c r="X69" s="114" t="s">
        <v>1635</v>
      </c>
      <c r="Y69" s="115">
        <v>5202000</v>
      </c>
    </row>
    <row r="70" spans="1:25" ht="162" x14ac:dyDescent="0.25">
      <c r="A70" s="323"/>
      <c r="B70" s="323"/>
      <c r="C70" s="323"/>
      <c r="D70" s="323"/>
      <c r="E70" s="349"/>
      <c r="F70" s="349"/>
      <c r="G70" s="349"/>
      <c r="H70" s="349"/>
      <c r="I70" s="349"/>
      <c r="J70" s="349"/>
      <c r="K70" s="349"/>
      <c r="L70" s="349"/>
      <c r="M70" s="349"/>
      <c r="N70" s="328"/>
      <c r="O70" s="151" t="s">
        <v>854</v>
      </c>
      <c r="P70" s="151" t="s">
        <v>595</v>
      </c>
      <c r="Q70" s="123" t="s">
        <v>855</v>
      </c>
      <c r="R70" s="188">
        <v>4335000</v>
      </c>
      <c r="S70" s="355"/>
      <c r="T70" s="114">
        <v>409</v>
      </c>
      <c r="U70" s="114" t="s">
        <v>1590</v>
      </c>
      <c r="V70" s="115">
        <v>4335000</v>
      </c>
      <c r="W70" s="114">
        <v>1473</v>
      </c>
      <c r="X70" s="114" t="s">
        <v>1564</v>
      </c>
      <c r="Y70" s="115">
        <v>4335000</v>
      </c>
    </row>
    <row r="71" spans="1:25" x14ac:dyDescent="0.25">
      <c r="A71" s="323"/>
      <c r="B71" s="323"/>
      <c r="C71" s="323"/>
      <c r="D71" s="323"/>
      <c r="E71" s="350"/>
      <c r="F71" s="350"/>
      <c r="G71" s="350"/>
      <c r="H71" s="350"/>
      <c r="I71" s="350"/>
      <c r="J71" s="350"/>
      <c r="K71" s="350"/>
      <c r="L71" s="350"/>
      <c r="M71" s="350"/>
      <c r="N71" s="328"/>
      <c r="O71" s="192" t="s">
        <v>637</v>
      </c>
      <c r="P71" s="154"/>
      <c r="Q71" s="154"/>
      <c r="R71" s="150">
        <f>SUM(R41:R70)</f>
        <v>162857700</v>
      </c>
      <c r="S71" s="355"/>
      <c r="T71" s="116"/>
      <c r="U71" s="116"/>
      <c r="V71" s="116"/>
      <c r="W71" s="116"/>
      <c r="X71" s="116"/>
      <c r="Y71" s="116"/>
    </row>
    <row r="72" spans="1:25" ht="108" x14ac:dyDescent="0.25">
      <c r="A72" s="323"/>
      <c r="B72" s="323"/>
      <c r="C72" s="323"/>
      <c r="D72" s="323"/>
      <c r="E72" s="348" t="s">
        <v>383</v>
      </c>
      <c r="F72" s="348" t="s">
        <v>384</v>
      </c>
      <c r="G72" s="348">
        <v>45000000</v>
      </c>
      <c r="H72" s="348"/>
      <c r="I72" s="348"/>
      <c r="J72" s="348"/>
      <c r="K72" s="348"/>
      <c r="L72" s="348">
        <v>0</v>
      </c>
      <c r="M72" s="348">
        <f t="shared" si="0"/>
        <v>45000000</v>
      </c>
      <c r="N72" s="328"/>
      <c r="O72" s="151" t="s">
        <v>735</v>
      </c>
      <c r="P72" s="151" t="s">
        <v>736</v>
      </c>
      <c r="Q72" s="123" t="s">
        <v>737</v>
      </c>
      <c r="R72" s="188">
        <v>20579146</v>
      </c>
      <c r="S72" s="356">
        <f>R74/M72</f>
        <v>0.49769328888888886</v>
      </c>
      <c r="T72" s="114">
        <v>257</v>
      </c>
      <c r="U72" s="114" t="s">
        <v>1627</v>
      </c>
      <c r="V72" s="115">
        <v>20579146</v>
      </c>
      <c r="W72" s="114">
        <v>1228</v>
      </c>
      <c r="X72" s="114" t="s">
        <v>1637</v>
      </c>
      <c r="Y72" s="115">
        <v>19825767</v>
      </c>
    </row>
    <row r="73" spans="1:25" ht="81" x14ac:dyDescent="0.25">
      <c r="A73" s="323"/>
      <c r="B73" s="323"/>
      <c r="C73" s="323"/>
      <c r="D73" s="323"/>
      <c r="E73" s="349"/>
      <c r="F73" s="349"/>
      <c r="G73" s="349"/>
      <c r="H73" s="349"/>
      <c r="I73" s="349"/>
      <c r="J73" s="349"/>
      <c r="K73" s="349"/>
      <c r="L73" s="349"/>
      <c r="M73" s="349"/>
      <c r="N73" s="328"/>
      <c r="O73" s="151" t="s">
        <v>738</v>
      </c>
      <c r="P73" s="151" t="s">
        <v>739</v>
      </c>
      <c r="Q73" s="123" t="s">
        <v>740</v>
      </c>
      <c r="R73" s="188">
        <v>1817052</v>
      </c>
      <c r="S73" s="356"/>
      <c r="T73" s="114">
        <v>626</v>
      </c>
      <c r="U73" s="114" t="s">
        <v>1638</v>
      </c>
      <c r="V73" s="115">
        <v>1817052</v>
      </c>
      <c r="W73" s="116">
        <v>2540</v>
      </c>
      <c r="X73" s="116" t="s">
        <v>1589</v>
      </c>
      <c r="Y73" s="117">
        <v>1817052</v>
      </c>
    </row>
    <row r="74" spans="1:25" x14ac:dyDescent="0.25">
      <c r="A74" s="323"/>
      <c r="B74" s="323"/>
      <c r="C74" s="323"/>
      <c r="D74" s="323"/>
      <c r="E74" s="350"/>
      <c r="F74" s="350"/>
      <c r="G74" s="350"/>
      <c r="H74" s="350"/>
      <c r="I74" s="350"/>
      <c r="J74" s="350"/>
      <c r="K74" s="350"/>
      <c r="L74" s="350"/>
      <c r="M74" s="350"/>
      <c r="N74" s="328"/>
      <c r="O74" s="149" t="s">
        <v>637</v>
      </c>
      <c r="P74" s="149"/>
      <c r="Q74" s="149"/>
      <c r="R74" s="150">
        <f>SUM(R72:R73)</f>
        <v>22396198</v>
      </c>
      <c r="S74" s="356"/>
      <c r="T74" s="116"/>
      <c r="U74" s="116"/>
      <c r="V74" s="116"/>
      <c r="W74" s="116"/>
      <c r="X74" s="116"/>
      <c r="Y74" s="116"/>
    </row>
    <row r="75" spans="1:25" ht="283.5" x14ac:dyDescent="0.25">
      <c r="A75" s="323"/>
      <c r="B75" s="323"/>
      <c r="C75" s="323"/>
      <c r="D75" s="323"/>
      <c r="E75" s="118" t="s">
        <v>385</v>
      </c>
      <c r="F75" s="118" t="s">
        <v>386</v>
      </c>
      <c r="G75" s="120">
        <v>35000000</v>
      </c>
      <c r="H75" s="120"/>
      <c r="I75" s="120"/>
      <c r="J75" s="120"/>
      <c r="K75" s="120"/>
      <c r="L75" s="120">
        <v>0</v>
      </c>
      <c r="M75" s="120">
        <f t="shared" si="0"/>
        <v>35000000</v>
      </c>
      <c r="N75" s="328"/>
      <c r="O75" s="151" t="s">
        <v>757</v>
      </c>
      <c r="P75" s="151" t="s">
        <v>56</v>
      </c>
      <c r="Q75" s="123" t="s">
        <v>758</v>
      </c>
      <c r="R75" s="188">
        <v>13627890</v>
      </c>
      <c r="S75" s="189">
        <f>R75/M75</f>
        <v>0.38936828571428572</v>
      </c>
      <c r="T75" s="122">
        <v>459</v>
      </c>
      <c r="U75" s="114" t="s">
        <v>1635</v>
      </c>
      <c r="V75" s="115">
        <v>13627890</v>
      </c>
      <c r="W75" s="114">
        <v>1512</v>
      </c>
      <c r="X75" s="114" t="s">
        <v>1639</v>
      </c>
      <c r="Y75" s="115">
        <v>13627890</v>
      </c>
    </row>
    <row r="76" spans="1:25" ht="108" x14ac:dyDescent="0.25">
      <c r="A76" s="323"/>
      <c r="B76" s="323"/>
      <c r="C76" s="323"/>
      <c r="D76" s="323"/>
      <c r="E76" s="118" t="s">
        <v>387</v>
      </c>
      <c r="F76" s="190" t="s">
        <v>388</v>
      </c>
      <c r="G76" s="119">
        <v>41785295</v>
      </c>
      <c r="H76" s="119"/>
      <c r="I76" s="119"/>
      <c r="J76" s="119"/>
      <c r="K76" s="119"/>
      <c r="L76" s="120">
        <v>0</v>
      </c>
      <c r="M76" s="120">
        <f t="shared" si="0"/>
        <v>41785295</v>
      </c>
      <c r="N76" s="328"/>
      <c r="O76" s="151" t="s">
        <v>933</v>
      </c>
      <c r="P76" s="151" t="s">
        <v>934</v>
      </c>
      <c r="Q76" s="123" t="s">
        <v>935</v>
      </c>
      <c r="R76" s="188">
        <v>41749020</v>
      </c>
      <c r="S76" s="189">
        <f t="shared" ref="S76:S85" si="1">R76/M76</f>
        <v>0.9991318716309171</v>
      </c>
      <c r="T76" s="116"/>
      <c r="U76" s="116"/>
      <c r="V76" s="116"/>
      <c r="W76" s="116"/>
      <c r="X76" s="116"/>
      <c r="Y76" s="116"/>
    </row>
    <row r="77" spans="1:25" ht="94.5" x14ac:dyDescent="0.25">
      <c r="A77" s="323"/>
      <c r="B77" s="323"/>
      <c r="C77" s="323"/>
      <c r="D77" s="323"/>
      <c r="E77" s="118" t="s">
        <v>389</v>
      </c>
      <c r="F77" s="118" t="s">
        <v>390</v>
      </c>
      <c r="G77" s="120">
        <v>50000000</v>
      </c>
      <c r="H77" s="120"/>
      <c r="I77" s="120"/>
      <c r="J77" s="120"/>
      <c r="K77" s="120"/>
      <c r="L77" s="120">
        <v>0</v>
      </c>
      <c r="M77" s="120">
        <f t="shared" si="0"/>
        <v>50000000</v>
      </c>
      <c r="N77" s="328"/>
      <c r="O77" s="116"/>
      <c r="P77" s="116"/>
      <c r="Q77" s="116"/>
      <c r="R77" s="116"/>
      <c r="S77" s="189">
        <f t="shared" si="1"/>
        <v>0</v>
      </c>
      <c r="T77" s="116"/>
      <c r="U77" s="116"/>
      <c r="V77" s="116"/>
      <c r="W77" s="116"/>
      <c r="X77" s="116"/>
      <c r="Y77" s="116"/>
    </row>
    <row r="78" spans="1:25" ht="94.5" x14ac:dyDescent="0.25">
      <c r="A78" s="323"/>
      <c r="B78" s="323"/>
      <c r="C78" s="323"/>
      <c r="D78" s="323"/>
      <c r="E78" s="118" t="s">
        <v>391</v>
      </c>
      <c r="F78" s="118" t="s">
        <v>392</v>
      </c>
      <c r="G78" s="120">
        <v>55000000</v>
      </c>
      <c r="H78" s="120"/>
      <c r="I78" s="120"/>
      <c r="J78" s="120"/>
      <c r="K78" s="120"/>
      <c r="L78" s="120">
        <v>0</v>
      </c>
      <c r="M78" s="120">
        <f t="shared" si="0"/>
        <v>55000000</v>
      </c>
      <c r="N78" s="328"/>
      <c r="O78" s="116"/>
      <c r="P78" s="116"/>
      <c r="Q78" s="116"/>
      <c r="R78" s="116"/>
      <c r="S78" s="189">
        <f t="shared" si="1"/>
        <v>0</v>
      </c>
      <c r="T78" s="116"/>
      <c r="U78" s="116"/>
      <c r="V78" s="116"/>
      <c r="W78" s="116"/>
      <c r="X78" s="116"/>
      <c r="Y78" s="116"/>
    </row>
    <row r="79" spans="1:25" ht="108" x14ac:dyDescent="0.25">
      <c r="A79" s="323"/>
      <c r="B79" s="323"/>
      <c r="C79" s="323"/>
      <c r="D79" s="323"/>
      <c r="E79" s="118" t="s">
        <v>393</v>
      </c>
      <c r="F79" s="118" t="s">
        <v>394</v>
      </c>
      <c r="G79" s="120">
        <v>40000000</v>
      </c>
      <c r="H79" s="120"/>
      <c r="I79" s="120"/>
      <c r="J79" s="120"/>
      <c r="K79" s="120"/>
      <c r="L79" s="120">
        <v>0</v>
      </c>
      <c r="M79" s="120">
        <f t="shared" si="0"/>
        <v>40000000</v>
      </c>
      <c r="N79" s="328"/>
      <c r="O79" s="116"/>
      <c r="P79" s="116"/>
      <c r="Q79" s="116"/>
      <c r="R79" s="116"/>
      <c r="S79" s="189">
        <f t="shared" si="1"/>
        <v>0</v>
      </c>
      <c r="T79" s="116"/>
      <c r="U79" s="116"/>
      <c r="V79" s="116"/>
      <c r="W79" s="116"/>
      <c r="X79" s="116"/>
      <c r="Y79" s="116"/>
    </row>
    <row r="80" spans="1:25" ht="108" x14ac:dyDescent="0.25">
      <c r="A80" s="323"/>
      <c r="B80" s="323"/>
      <c r="C80" s="323"/>
      <c r="D80" s="323"/>
      <c r="E80" s="118" t="s">
        <v>395</v>
      </c>
      <c r="F80" s="118" t="s">
        <v>396</v>
      </c>
      <c r="G80" s="120">
        <v>35000000</v>
      </c>
      <c r="H80" s="120"/>
      <c r="I80" s="120"/>
      <c r="J80" s="120"/>
      <c r="K80" s="120"/>
      <c r="L80" s="120">
        <v>0</v>
      </c>
      <c r="M80" s="120">
        <f t="shared" si="0"/>
        <v>35000000</v>
      </c>
      <c r="N80" s="328"/>
      <c r="O80" s="116"/>
      <c r="P80" s="116"/>
      <c r="Q80" s="116"/>
      <c r="R80" s="116"/>
      <c r="S80" s="189">
        <f t="shared" si="1"/>
        <v>0</v>
      </c>
      <c r="T80" s="116"/>
      <c r="U80" s="116"/>
      <c r="V80" s="116"/>
      <c r="W80" s="116"/>
      <c r="X80" s="116"/>
      <c r="Y80" s="116"/>
    </row>
    <row r="81" spans="1:25" ht="94.5" x14ac:dyDescent="0.25">
      <c r="A81" s="323"/>
      <c r="B81" s="323"/>
      <c r="C81" s="323"/>
      <c r="D81" s="323"/>
      <c r="E81" s="118" t="s">
        <v>397</v>
      </c>
      <c r="F81" s="118" t="s">
        <v>398</v>
      </c>
      <c r="G81" s="120">
        <v>17000000</v>
      </c>
      <c r="H81" s="120"/>
      <c r="I81" s="120"/>
      <c r="J81" s="120"/>
      <c r="K81" s="120"/>
      <c r="L81" s="120">
        <v>0</v>
      </c>
      <c r="M81" s="120">
        <f t="shared" si="0"/>
        <v>17000000</v>
      </c>
      <c r="N81" s="328"/>
      <c r="O81" s="116"/>
      <c r="P81" s="116"/>
      <c r="Q81" s="116"/>
      <c r="R81" s="116"/>
      <c r="S81" s="189">
        <f t="shared" si="1"/>
        <v>0</v>
      </c>
      <c r="T81" s="116"/>
      <c r="U81" s="116"/>
      <c r="V81" s="116"/>
      <c r="W81" s="116"/>
      <c r="X81" s="116"/>
      <c r="Y81" s="116"/>
    </row>
    <row r="82" spans="1:25" ht="120" customHeight="1" x14ac:dyDescent="0.25">
      <c r="A82" s="114" t="s">
        <v>83</v>
      </c>
      <c r="B82" s="114" t="s">
        <v>84</v>
      </c>
      <c r="C82" s="114" t="s">
        <v>85</v>
      </c>
      <c r="D82" s="114" t="s">
        <v>80</v>
      </c>
      <c r="E82" s="118" t="s">
        <v>86</v>
      </c>
      <c r="F82" s="118" t="s">
        <v>87</v>
      </c>
      <c r="G82" s="120">
        <v>793344000</v>
      </c>
      <c r="H82" s="120"/>
      <c r="I82" s="120">
        <v>250000000</v>
      </c>
      <c r="J82" s="120"/>
      <c r="K82" s="120"/>
      <c r="L82" s="120">
        <v>0</v>
      </c>
      <c r="M82" s="120">
        <f t="shared" ref="M82:M84" si="2">SUM(G82:L82)</f>
        <v>1043344000</v>
      </c>
      <c r="N82" s="328">
        <f>SUM(M82:M83)</f>
        <v>1085531872</v>
      </c>
      <c r="O82" s="151" t="s">
        <v>685</v>
      </c>
      <c r="P82" s="151" t="s">
        <v>686</v>
      </c>
      <c r="Q82" s="123" t="s">
        <v>687</v>
      </c>
      <c r="R82" s="113">
        <v>289178400</v>
      </c>
      <c r="S82" s="189">
        <f t="shared" si="1"/>
        <v>0.27716496189176343</v>
      </c>
      <c r="T82" s="114">
        <v>154</v>
      </c>
      <c r="U82" s="114" t="s">
        <v>1557</v>
      </c>
      <c r="V82" s="115">
        <v>289178400</v>
      </c>
      <c r="W82" s="114">
        <v>1373</v>
      </c>
      <c r="X82" s="114" t="s">
        <v>1602</v>
      </c>
      <c r="Y82" s="115">
        <v>175762080</v>
      </c>
    </row>
    <row r="83" spans="1:25" ht="94.5" x14ac:dyDescent="0.25">
      <c r="A83" s="114"/>
      <c r="B83" s="114"/>
      <c r="C83" s="114"/>
      <c r="D83" s="114"/>
      <c r="E83" s="118" t="s">
        <v>453</v>
      </c>
      <c r="F83" s="118" t="s">
        <v>454</v>
      </c>
      <c r="G83" s="120">
        <v>42187872</v>
      </c>
      <c r="H83" s="120"/>
      <c r="I83" s="120"/>
      <c r="J83" s="120"/>
      <c r="K83" s="120"/>
      <c r="L83" s="120">
        <v>0</v>
      </c>
      <c r="M83" s="120">
        <f t="shared" si="2"/>
        <v>42187872</v>
      </c>
      <c r="N83" s="328"/>
      <c r="O83" s="116"/>
      <c r="P83" s="116"/>
      <c r="Q83" s="114"/>
      <c r="R83" s="114"/>
      <c r="S83" s="189">
        <f t="shared" si="1"/>
        <v>0</v>
      </c>
      <c r="T83" s="114"/>
      <c r="U83" s="114"/>
      <c r="V83" s="114"/>
      <c r="W83" s="114"/>
      <c r="X83" s="114"/>
      <c r="Y83" s="114"/>
    </row>
    <row r="84" spans="1:25" ht="95.25" thickBot="1" x14ac:dyDescent="0.3">
      <c r="A84" s="114" t="s">
        <v>88</v>
      </c>
      <c r="B84" s="114" t="s">
        <v>89</v>
      </c>
      <c r="C84" s="114" t="s">
        <v>90</v>
      </c>
      <c r="D84" s="114" t="s">
        <v>80</v>
      </c>
      <c r="E84" s="118" t="s">
        <v>91</v>
      </c>
      <c r="F84" s="118" t="s">
        <v>92</v>
      </c>
      <c r="G84" s="119">
        <v>766373110</v>
      </c>
      <c r="H84" s="119"/>
      <c r="I84" s="119"/>
      <c r="J84" s="119">
        <v>151148759</v>
      </c>
      <c r="K84" s="119">
        <v>98496512</v>
      </c>
      <c r="L84" s="135">
        <v>385514871</v>
      </c>
      <c r="M84" s="136">
        <f t="shared" si="2"/>
        <v>1401533252</v>
      </c>
      <c r="N84" s="156">
        <f>SUM(M84)</f>
        <v>1401533252</v>
      </c>
      <c r="O84" s="193" t="s">
        <v>714</v>
      </c>
      <c r="P84" s="193" t="s">
        <v>715</v>
      </c>
      <c r="Q84" s="169" t="s">
        <v>716</v>
      </c>
      <c r="R84" s="165">
        <v>1083349900</v>
      </c>
      <c r="S84" s="191">
        <f t="shared" si="1"/>
        <v>0.77297481058979545</v>
      </c>
      <c r="T84" s="208">
        <v>913</v>
      </c>
      <c r="U84" s="208" t="s">
        <v>1588</v>
      </c>
      <c r="V84" s="165">
        <v>1083349900</v>
      </c>
      <c r="W84" s="208" t="s">
        <v>1580</v>
      </c>
      <c r="X84" s="208" t="s">
        <v>1580</v>
      </c>
      <c r="Y84" s="208" t="s">
        <v>1580</v>
      </c>
    </row>
    <row r="85" spans="1:25" ht="21.75" thickBot="1" x14ac:dyDescent="0.4">
      <c r="L85" s="57" t="s">
        <v>637</v>
      </c>
      <c r="M85" s="58">
        <f>SUM(M2:M84)</f>
        <v>3992788306</v>
      </c>
      <c r="N85" s="59"/>
      <c r="O85" s="59"/>
      <c r="P85" s="59"/>
      <c r="Q85" s="59"/>
      <c r="R85" s="60">
        <f>R5+R9+R13+R17+R21+R40+R71+R74+R75+R76+R77+R78+R79+R80+R81+R82+R83+R84</f>
        <v>1954980476</v>
      </c>
      <c r="S85" s="81">
        <f t="shared" si="1"/>
        <v>0.48962788061221096</v>
      </c>
      <c r="T85" s="234"/>
      <c r="U85" s="235"/>
      <c r="V85" s="236">
        <f>SUM(V2:V84)</f>
        <v>1924171594</v>
      </c>
      <c r="W85" s="235"/>
      <c r="X85" s="235"/>
      <c r="Y85" s="237">
        <f>SUM(Y2:Y84)</f>
        <v>685635483</v>
      </c>
    </row>
  </sheetData>
  <sheetProtection algorithmName="SHA-512" hashValue="jgEj5eWRNCJWqvsYnw48h6vsbczoUaTVouhLNOTMUizdw27uNLoZtRd7wlTtC4gdJ5kDxi664woXw1XeEdWehQ==" saltValue="5Cs4vBhjOjdhbXGsIoQIGQ==" spinCount="100000" sheet="1" objects="1" scenarios="1" formatCells="0" formatColumns="0" formatRows="0"/>
  <mergeCells count="86">
    <mergeCell ref="E22:E40"/>
    <mergeCell ref="A2:A81"/>
    <mergeCell ref="B2:B81"/>
    <mergeCell ref="C2:C81"/>
    <mergeCell ref="N82:N83"/>
    <mergeCell ref="N2:N81"/>
    <mergeCell ref="D2:D81"/>
    <mergeCell ref="G2:G5"/>
    <mergeCell ref="F2:F5"/>
    <mergeCell ref="E2:E5"/>
    <mergeCell ref="M6:M9"/>
    <mergeCell ref="L6:L9"/>
    <mergeCell ref="K6:K9"/>
    <mergeCell ref="F6:F9"/>
    <mergeCell ref="M2:M5"/>
    <mergeCell ref="L2:L5"/>
    <mergeCell ref="K2:K5"/>
    <mergeCell ref="J2:J5"/>
    <mergeCell ref="I2:I5"/>
    <mergeCell ref="H2:H5"/>
    <mergeCell ref="J14:J17"/>
    <mergeCell ref="I14:I17"/>
    <mergeCell ref="H14:H17"/>
    <mergeCell ref="E6:E9"/>
    <mergeCell ref="M10:M13"/>
    <mergeCell ref="L10:L13"/>
    <mergeCell ref="K10:K13"/>
    <mergeCell ref="J10:J13"/>
    <mergeCell ref="I10:I13"/>
    <mergeCell ref="H10:H13"/>
    <mergeCell ref="G10:G13"/>
    <mergeCell ref="F10:F13"/>
    <mergeCell ref="E10:E13"/>
    <mergeCell ref="J6:J9"/>
    <mergeCell ref="I6:I9"/>
    <mergeCell ref="H6:H9"/>
    <mergeCell ref="G6:G9"/>
    <mergeCell ref="G14:G17"/>
    <mergeCell ref="F14:F17"/>
    <mergeCell ref="E14:E17"/>
    <mergeCell ref="M18:M21"/>
    <mergeCell ref="L18:L21"/>
    <mergeCell ref="K18:K21"/>
    <mergeCell ref="J18:J21"/>
    <mergeCell ref="I18:I21"/>
    <mergeCell ref="H18:H21"/>
    <mergeCell ref="G18:G21"/>
    <mergeCell ref="F18:F21"/>
    <mergeCell ref="E18:E21"/>
    <mergeCell ref="M14:M17"/>
    <mergeCell ref="L14:L17"/>
    <mergeCell ref="K14:K17"/>
    <mergeCell ref="G41:G71"/>
    <mergeCell ref="M22:M40"/>
    <mergeCell ref="F22:F40"/>
    <mergeCell ref="L22:L40"/>
    <mergeCell ref="K22:K40"/>
    <mergeCell ref="J22:J40"/>
    <mergeCell ref="I22:I40"/>
    <mergeCell ref="H22:H40"/>
    <mergeCell ref="G22:G40"/>
    <mergeCell ref="F41:F71"/>
    <mergeCell ref="E41:E71"/>
    <mergeCell ref="M72:M74"/>
    <mergeCell ref="L72:L74"/>
    <mergeCell ref="K72:K74"/>
    <mergeCell ref="J72:J74"/>
    <mergeCell ref="I72:I74"/>
    <mergeCell ref="H72:H74"/>
    <mergeCell ref="G72:G74"/>
    <mergeCell ref="F72:F74"/>
    <mergeCell ref="E72:E74"/>
    <mergeCell ref="M41:M71"/>
    <mergeCell ref="L41:L71"/>
    <mergeCell ref="K41:K71"/>
    <mergeCell ref="J41:J71"/>
    <mergeCell ref="I41:I71"/>
    <mergeCell ref="H41:H71"/>
    <mergeCell ref="S22:S40"/>
    <mergeCell ref="S41:S71"/>
    <mergeCell ref="S72:S74"/>
    <mergeCell ref="S2:S5"/>
    <mergeCell ref="S6:S9"/>
    <mergeCell ref="S10:S13"/>
    <mergeCell ref="S14:S17"/>
    <mergeCell ref="S18:S21"/>
  </mergeCells>
  <conditionalFormatting sqref="S1:S2 S6 S10 S14 S18 S22 S41 S72 S75:S1048576">
    <cfRule type="cellIs" dxfId="58" priority="1" operator="between">
      <formula>0.51</formula>
      <formula>0.69</formula>
    </cfRule>
    <cfRule type="cellIs" dxfId="57" priority="2" operator="lessThan">
      <formula>0.5</formula>
    </cfRule>
    <cfRule type="cellIs" dxfId="56" priority="3" operator="greaterThan">
      <formula>0.7</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Y17"/>
  <sheetViews>
    <sheetView zoomScale="80" zoomScaleNormal="80" workbookViewId="0"/>
  </sheetViews>
  <sheetFormatPr baseColWidth="10" defaultColWidth="0" defaultRowHeight="12" zeroHeight="1" x14ac:dyDescent="0.2"/>
  <cols>
    <col min="1" max="5" width="11.42578125" style="3" customWidth="1"/>
    <col min="6" max="6" width="38.7109375" style="3" customWidth="1"/>
    <col min="7" max="7" width="21.140625" style="3" customWidth="1"/>
    <col min="8" max="8" width="17.85546875" style="3" bestFit="1" customWidth="1"/>
    <col min="9" max="12" width="11.42578125" style="3" customWidth="1"/>
    <col min="13" max="13" width="15" style="3" customWidth="1"/>
    <col min="14" max="14" width="18.7109375" style="3" bestFit="1" customWidth="1"/>
    <col min="15" max="15" width="29.28515625" style="3" customWidth="1"/>
    <col min="16" max="17" width="11.42578125" style="3" customWidth="1"/>
    <col min="18" max="18" width="14.42578125" style="3" bestFit="1" customWidth="1"/>
    <col min="19" max="19" width="11.5703125" style="82" bestFit="1" customWidth="1"/>
    <col min="20" max="20" width="11.5703125" style="3" bestFit="1" customWidth="1"/>
    <col min="21" max="21" width="11.42578125" style="3" customWidth="1"/>
    <col min="22" max="22" width="16.7109375" style="3" bestFit="1" customWidth="1"/>
    <col min="23" max="23" width="11.5703125" style="3" bestFit="1" customWidth="1"/>
    <col min="24" max="24" width="11.42578125" style="3" customWidth="1"/>
    <col min="25" max="25" width="17.7109375" style="3" bestFit="1" customWidth="1"/>
    <col min="26" max="16384" width="11.42578125" style="3" hidden="1"/>
  </cols>
  <sheetData>
    <row r="1" spans="1:25" ht="13.5" x14ac:dyDescent="0.2">
      <c r="L1" s="203"/>
      <c r="M1" s="171"/>
      <c r="N1" s="171"/>
      <c r="O1" s="171"/>
      <c r="P1" s="171"/>
      <c r="Q1" s="171"/>
      <c r="R1" s="171"/>
      <c r="S1" s="204"/>
      <c r="T1" s="171"/>
      <c r="U1" s="171"/>
      <c r="V1" s="171"/>
      <c r="W1" s="171"/>
      <c r="X1" s="171"/>
      <c r="Y1" s="171"/>
    </row>
    <row r="2" spans="1:25" ht="89.25" x14ac:dyDescent="0.2">
      <c r="A2" s="186" t="s">
        <v>0</v>
      </c>
      <c r="B2" s="186" t="s">
        <v>1</v>
      </c>
      <c r="C2" s="186" t="s">
        <v>2</v>
      </c>
      <c r="D2" s="186" t="s">
        <v>3</v>
      </c>
      <c r="E2" s="186" t="s">
        <v>4</v>
      </c>
      <c r="F2" s="186" t="s">
        <v>5</v>
      </c>
      <c r="G2" s="186" t="s">
        <v>6</v>
      </c>
      <c r="H2" s="186" t="s">
        <v>7</v>
      </c>
      <c r="I2" s="186" t="s">
        <v>8</v>
      </c>
      <c r="J2" s="186" t="s">
        <v>9</v>
      </c>
      <c r="K2" s="186" t="s">
        <v>10</v>
      </c>
      <c r="L2" s="186" t="s">
        <v>11</v>
      </c>
      <c r="M2" s="186" t="s">
        <v>12</v>
      </c>
      <c r="N2" s="186" t="s">
        <v>13</v>
      </c>
      <c r="O2" s="177" t="s">
        <v>636</v>
      </c>
      <c r="P2" s="177" t="s">
        <v>628</v>
      </c>
      <c r="Q2" s="177" t="s">
        <v>629</v>
      </c>
      <c r="R2" s="177" t="s">
        <v>722</v>
      </c>
      <c r="S2" s="187" t="s">
        <v>1535</v>
      </c>
      <c r="T2" s="177" t="s">
        <v>630</v>
      </c>
      <c r="U2" s="177" t="s">
        <v>631</v>
      </c>
      <c r="V2" s="177" t="s">
        <v>632</v>
      </c>
      <c r="W2" s="177" t="s">
        <v>633</v>
      </c>
      <c r="X2" s="177" t="s">
        <v>634</v>
      </c>
      <c r="Y2" s="177" t="s">
        <v>635</v>
      </c>
    </row>
    <row r="3" spans="1:25" ht="184.5" customHeight="1" x14ac:dyDescent="0.2">
      <c r="A3" s="368" t="s">
        <v>93</v>
      </c>
      <c r="B3" s="368" t="s">
        <v>94</v>
      </c>
      <c r="C3" s="368" t="s">
        <v>95</v>
      </c>
      <c r="D3" s="368" t="s">
        <v>96</v>
      </c>
      <c r="E3" s="369" t="s">
        <v>97</v>
      </c>
      <c r="F3" s="369" t="s">
        <v>98</v>
      </c>
      <c r="G3" s="369">
        <f>113750000</f>
        <v>113750000</v>
      </c>
      <c r="H3" s="369">
        <v>13000000</v>
      </c>
      <c r="I3" s="369"/>
      <c r="J3" s="369"/>
      <c r="K3" s="369"/>
      <c r="L3" s="369">
        <v>0</v>
      </c>
      <c r="M3" s="369">
        <f t="shared" ref="M3:M16" si="0">SUM(G3:L3)</f>
        <v>126750000</v>
      </c>
      <c r="N3" s="347">
        <f>SUM(M3:M16)</f>
        <v>293750000</v>
      </c>
      <c r="O3" s="123" t="s">
        <v>1328</v>
      </c>
      <c r="P3" s="111" t="s">
        <v>61</v>
      </c>
      <c r="Q3" s="111" t="s">
        <v>1329</v>
      </c>
      <c r="R3" s="113">
        <v>12889514</v>
      </c>
      <c r="S3" s="362">
        <f>R11/M3</f>
        <v>1.0077045522682446</v>
      </c>
      <c r="T3" s="114">
        <v>20</v>
      </c>
      <c r="U3" s="114" t="s">
        <v>1555</v>
      </c>
      <c r="V3" s="115">
        <v>12889514</v>
      </c>
      <c r="W3" s="114">
        <v>27</v>
      </c>
      <c r="X3" s="114" t="s">
        <v>1612</v>
      </c>
      <c r="Y3" s="115">
        <v>12638419</v>
      </c>
    </row>
    <row r="4" spans="1:25" ht="184.5" customHeight="1" x14ac:dyDescent="0.2">
      <c r="A4" s="368"/>
      <c r="B4" s="368"/>
      <c r="C4" s="368"/>
      <c r="D4" s="368"/>
      <c r="E4" s="349"/>
      <c r="F4" s="349"/>
      <c r="G4" s="349"/>
      <c r="H4" s="349"/>
      <c r="I4" s="349"/>
      <c r="J4" s="349"/>
      <c r="K4" s="349"/>
      <c r="L4" s="349"/>
      <c r="M4" s="349"/>
      <c r="N4" s="347"/>
      <c r="O4" s="123" t="s">
        <v>1330</v>
      </c>
      <c r="P4" s="111" t="s">
        <v>1331</v>
      </c>
      <c r="Q4" s="111" t="s">
        <v>1332</v>
      </c>
      <c r="R4" s="113">
        <v>14364024</v>
      </c>
      <c r="S4" s="363"/>
      <c r="T4" s="114">
        <v>19</v>
      </c>
      <c r="U4" s="114" t="s">
        <v>1640</v>
      </c>
      <c r="V4" s="115">
        <v>14364024</v>
      </c>
      <c r="W4" s="114">
        <v>14</v>
      </c>
      <c r="X4" s="114" t="s">
        <v>1612</v>
      </c>
      <c r="Y4" s="115">
        <v>14084205</v>
      </c>
    </row>
    <row r="5" spans="1:25" ht="184.5" customHeight="1" x14ac:dyDescent="0.2">
      <c r="A5" s="368"/>
      <c r="B5" s="368"/>
      <c r="C5" s="368"/>
      <c r="D5" s="368"/>
      <c r="E5" s="349"/>
      <c r="F5" s="349"/>
      <c r="G5" s="349"/>
      <c r="H5" s="349"/>
      <c r="I5" s="349"/>
      <c r="J5" s="349"/>
      <c r="K5" s="349"/>
      <c r="L5" s="349"/>
      <c r="M5" s="349"/>
      <c r="N5" s="347"/>
      <c r="O5" s="123" t="s">
        <v>1333</v>
      </c>
      <c r="P5" s="111" t="s">
        <v>1334</v>
      </c>
      <c r="Q5" s="111" t="s">
        <v>1335</v>
      </c>
      <c r="R5" s="113">
        <v>27594715</v>
      </c>
      <c r="S5" s="363"/>
      <c r="T5" s="114">
        <v>18</v>
      </c>
      <c r="U5" s="114" t="s">
        <v>1555</v>
      </c>
      <c r="V5" s="115">
        <v>27594715</v>
      </c>
      <c r="W5" s="114">
        <v>13</v>
      </c>
      <c r="X5" s="114" t="s">
        <v>1612</v>
      </c>
      <c r="Y5" s="115">
        <v>27057155</v>
      </c>
    </row>
    <row r="6" spans="1:25" ht="184.5" customHeight="1" x14ac:dyDescent="0.2">
      <c r="A6" s="368"/>
      <c r="B6" s="368"/>
      <c r="C6" s="368"/>
      <c r="D6" s="368"/>
      <c r="E6" s="349"/>
      <c r="F6" s="349"/>
      <c r="G6" s="349"/>
      <c r="H6" s="349"/>
      <c r="I6" s="349"/>
      <c r="J6" s="349"/>
      <c r="K6" s="349"/>
      <c r="L6" s="349"/>
      <c r="M6" s="349"/>
      <c r="N6" s="347"/>
      <c r="O6" s="123" t="s">
        <v>1336</v>
      </c>
      <c r="P6" s="111" t="s">
        <v>332</v>
      </c>
      <c r="Q6" s="111" t="s">
        <v>1337</v>
      </c>
      <c r="R6" s="113">
        <v>5050000</v>
      </c>
      <c r="S6" s="363"/>
      <c r="T6" s="114">
        <v>411</v>
      </c>
      <c r="U6" s="114" t="s">
        <v>1590</v>
      </c>
      <c r="V6" s="115">
        <v>5050000</v>
      </c>
      <c r="W6" s="114">
        <v>1458</v>
      </c>
      <c r="X6" s="114" t="s">
        <v>1634</v>
      </c>
      <c r="Y6" s="115">
        <v>4850000</v>
      </c>
    </row>
    <row r="7" spans="1:25" ht="184.5" customHeight="1" x14ac:dyDescent="0.2">
      <c r="A7" s="368"/>
      <c r="B7" s="368"/>
      <c r="C7" s="368"/>
      <c r="D7" s="368"/>
      <c r="E7" s="349"/>
      <c r="F7" s="349"/>
      <c r="G7" s="349"/>
      <c r="H7" s="349"/>
      <c r="I7" s="349"/>
      <c r="J7" s="349"/>
      <c r="K7" s="349"/>
      <c r="L7" s="349"/>
      <c r="M7" s="349"/>
      <c r="N7" s="347"/>
      <c r="O7" s="123" t="s">
        <v>1338</v>
      </c>
      <c r="P7" s="111" t="s">
        <v>1339</v>
      </c>
      <c r="Q7" s="111" t="s">
        <v>1340</v>
      </c>
      <c r="R7" s="113">
        <v>13977589</v>
      </c>
      <c r="S7" s="363"/>
      <c r="T7" s="114">
        <v>814</v>
      </c>
      <c r="U7" s="114" t="s">
        <v>1570</v>
      </c>
      <c r="V7" s="115">
        <v>13977589</v>
      </c>
      <c r="W7" s="116">
        <v>2903</v>
      </c>
      <c r="X7" s="116" t="s">
        <v>1571</v>
      </c>
      <c r="Y7" s="117">
        <v>13977589</v>
      </c>
    </row>
    <row r="8" spans="1:25" ht="184.5" customHeight="1" x14ac:dyDescent="0.2">
      <c r="A8" s="368"/>
      <c r="B8" s="368"/>
      <c r="C8" s="368"/>
      <c r="D8" s="368"/>
      <c r="E8" s="349"/>
      <c r="F8" s="349"/>
      <c r="G8" s="349"/>
      <c r="H8" s="349"/>
      <c r="I8" s="349"/>
      <c r="J8" s="349"/>
      <c r="K8" s="349"/>
      <c r="L8" s="349"/>
      <c r="M8" s="349"/>
      <c r="N8" s="347"/>
      <c r="O8" s="123" t="s">
        <v>1341</v>
      </c>
      <c r="P8" s="111" t="s">
        <v>1342</v>
      </c>
      <c r="Q8" s="111" t="s">
        <v>1343</v>
      </c>
      <c r="R8" s="113">
        <v>8350000</v>
      </c>
      <c r="S8" s="363"/>
      <c r="T8" s="114">
        <v>824</v>
      </c>
      <c r="U8" s="114" t="s">
        <v>1570</v>
      </c>
      <c r="V8" s="115">
        <v>8350000</v>
      </c>
      <c r="W8" s="116">
        <v>2901</v>
      </c>
      <c r="X8" s="116" t="s">
        <v>1571</v>
      </c>
      <c r="Y8" s="117">
        <v>8350000</v>
      </c>
    </row>
    <row r="9" spans="1:25" ht="184.5" customHeight="1" x14ac:dyDescent="0.2">
      <c r="A9" s="368"/>
      <c r="B9" s="368"/>
      <c r="C9" s="368"/>
      <c r="D9" s="368"/>
      <c r="E9" s="349"/>
      <c r="F9" s="349"/>
      <c r="G9" s="349"/>
      <c r="H9" s="349"/>
      <c r="I9" s="349"/>
      <c r="J9" s="349"/>
      <c r="K9" s="349"/>
      <c r="L9" s="349"/>
      <c r="M9" s="349"/>
      <c r="N9" s="347"/>
      <c r="O9" s="123" t="s">
        <v>1344</v>
      </c>
      <c r="P9" s="111" t="s">
        <v>1345</v>
      </c>
      <c r="Q9" s="111" t="s">
        <v>1346</v>
      </c>
      <c r="R9" s="113">
        <v>15576571</v>
      </c>
      <c r="S9" s="363"/>
      <c r="T9" s="114">
        <v>822</v>
      </c>
      <c r="U9" s="114" t="s">
        <v>1570</v>
      </c>
      <c r="V9" s="115">
        <v>15576571</v>
      </c>
      <c r="W9" s="116">
        <v>2902</v>
      </c>
      <c r="X9" s="116" t="s">
        <v>1571</v>
      </c>
      <c r="Y9" s="117">
        <v>15576571</v>
      </c>
    </row>
    <row r="10" spans="1:25" ht="184.5" customHeight="1" x14ac:dyDescent="0.2">
      <c r="A10" s="368"/>
      <c r="B10" s="368"/>
      <c r="C10" s="368"/>
      <c r="D10" s="368"/>
      <c r="E10" s="349"/>
      <c r="F10" s="349"/>
      <c r="G10" s="349"/>
      <c r="H10" s="349"/>
      <c r="I10" s="349"/>
      <c r="J10" s="349"/>
      <c r="K10" s="349"/>
      <c r="L10" s="349"/>
      <c r="M10" s="349"/>
      <c r="N10" s="347"/>
      <c r="O10" s="123" t="s">
        <v>1347</v>
      </c>
      <c r="P10" s="111" t="s">
        <v>1348</v>
      </c>
      <c r="Q10" s="111" t="s">
        <v>1349</v>
      </c>
      <c r="R10" s="113">
        <v>29924139</v>
      </c>
      <c r="S10" s="363"/>
      <c r="T10" s="114">
        <v>823</v>
      </c>
      <c r="U10" s="114" t="s">
        <v>1570</v>
      </c>
      <c r="V10" s="115">
        <v>29924139</v>
      </c>
      <c r="W10" s="116">
        <v>2937</v>
      </c>
      <c r="X10" s="116" t="s">
        <v>1571</v>
      </c>
      <c r="Y10" s="117">
        <v>29924139</v>
      </c>
    </row>
    <row r="11" spans="1:25" ht="22.5" customHeight="1" x14ac:dyDescent="0.2">
      <c r="A11" s="368"/>
      <c r="B11" s="368"/>
      <c r="C11" s="368"/>
      <c r="D11" s="368"/>
      <c r="E11" s="350"/>
      <c r="F11" s="350"/>
      <c r="G11" s="350"/>
      <c r="H11" s="350"/>
      <c r="I11" s="350"/>
      <c r="J11" s="350"/>
      <c r="K11" s="350"/>
      <c r="L11" s="350"/>
      <c r="M11" s="350"/>
      <c r="N11" s="347"/>
      <c r="O11" s="205" t="s">
        <v>637</v>
      </c>
      <c r="P11" s="205"/>
      <c r="Q11" s="205"/>
      <c r="R11" s="206">
        <f>SUM(R3:R10)</f>
        <v>127726552</v>
      </c>
      <c r="S11" s="364"/>
      <c r="T11" s="127"/>
      <c r="U11" s="126"/>
      <c r="V11" s="126"/>
      <c r="W11" s="126"/>
      <c r="X11" s="126"/>
      <c r="Y11" s="126"/>
    </row>
    <row r="12" spans="1:25" ht="216" x14ac:dyDescent="0.2">
      <c r="A12" s="323"/>
      <c r="B12" s="323"/>
      <c r="C12" s="323"/>
      <c r="D12" s="323"/>
      <c r="E12" s="348" t="s">
        <v>349</v>
      </c>
      <c r="F12" s="348" t="s">
        <v>350</v>
      </c>
      <c r="G12" s="348">
        <f>95000000</f>
        <v>95000000</v>
      </c>
      <c r="H12" s="348">
        <v>-13000000</v>
      </c>
      <c r="I12" s="348"/>
      <c r="J12" s="348"/>
      <c r="K12" s="348"/>
      <c r="L12" s="348">
        <v>0</v>
      </c>
      <c r="M12" s="348">
        <f t="shared" si="0"/>
        <v>82000000</v>
      </c>
      <c r="N12" s="354"/>
      <c r="O12" s="123" t="s">
        <v>643</v>
      </c>
      <c r="P12" s="111" t="s">
        <v>1387</v>
      </c>
      <c r="Q12" s="111" t="s">
        <v>1388</v>
      </c>
      <c r="R12" s="113">
        <v>62500000</v>
      </c>
      <c r="S12" s="365">
        <f>R14/M12</f>
        <v>0.9655189146341463</v>
      </c>
      <c r="T12" s="122">
        <v>446</v>
      </c>
      <c r="U12" s="114" t="s">
        <v>1564</v>
      </c>
      <c r="V12" s="115">
        <v>62500000</v>
      </c>
      <c r="W12" s="114">
        <v>2483</v>
      </c>
      <c r="X12" s="114" t="s">
        <v>1565</v>
      </c>
      <c r="Y12" s="115">
        <v>62500000</v>
      </c>
    </row>
    <row r="13" spans="1:25" ht="135.75" customHeight="1" x14ac:dyDescent="0.2">
      <c r="A13" s="323"/>
      <c r="B13" s="323"/>
      <c r="C13" s="323"/>
      <c r="D13" s="323"/>
      <c r="E13" s="349"/>
      <c r="F13" s="349"/>
      <c r="G13" s="349"/>
      <c r="H13" s="349"/>
      <c r="I13" s="349"/>
      <c r="J13" s="349"/>
      <c r="K13" s="349"/>
      <c r="L13" s="349"/>
      <c r="M13" s="349"/>
      <c r="N13" s="354"/>
      <c r="O13" s="123" t="s">
        <v>1389</v>
      </c>
      <c r="P13" s="111" t="s">
        <v>1390</v>
      </c>
      <c r="Q13" s="111" t="s">
        <v>1391</v>
      </c>
      <c r="R13" s="113">
        <v>16672551</v>
      </c>
      <c r="S13" s="366"/>
      <c r="T13" s="114">
        <v>520</v>
      </c>
      <c r="U13" s="114" t="s">
        <v>1633</v>
      </c>
      <c r="V13" s="115">
        <v>16672551</v>
      </c>
      <c r="W13" s="114">
        <v>2264</v>
      </c>
      <c r="X13" s="114" t="s">
        <v>1641</v>
      </c>
      <c r="Y13" s="115">
        <v>16672551</v>
      </c>
    </row>
    <row r="14" spans="1:25" ht="13.5" x14ac:dyDescent="0.2">
      <c r="A14" s="323"/>
      <c r="B14" s="323"/>
      <c r="C14" s="323"/>
      <c r="D14" s="323"/>
      <c r="E14" s="350"/>
      <c r="F14" s="350"/>
      <c r="G14" s="350"/>
      <c r="H14" s="350"/>
      <c r="I14" s="350"/>
      <c r="J14" s="350"/>
      <c r="K14" s="350"/>
      <c r="L14" s="350"/>
      <c r="M14" s="350"/>
      <c r="N14" s="354"/>
      <c r="O14" s="198" t="s">
        <v>637</v>
      </c>
      <c r="P14" s="198"/>
      <c r="Q14" s="198"/>
      <c r="R14" s="150">
        <f>SUM(R12:R13)</f>
        <v>79172551</v>
      </c>
      <c r="S14" s="367"/>
      <c r="T14" s="199"/>
      <c r="U14" s="126"/>
      <c r="V14" s="126"/>
      <c r="W14" s="126"/>
      <c r="X14" s="126"/>
      <c r="Y14" s="126"/>
    </row>
    <row r="15" spans="1:25" ht="81" x14ac:dyDescent="0.2">
      <c r="A15" s="323"/>
      <c r="B15" s="323"/>
      <c r="C15" s="323"/>
      <c r="D15" s="323"/>
      <c r="E15" s="118" t="s">
        <v>351</v>
      </c>
      <c r="F15" s="118" t="s">
        <v>352</v>
      </c>
      <c r="G15" s="120">
        <v>25000000</v>
      </c>
      <c r="H15" s="120">
        <v>10000000</v>
      </c>
      <c r="I15" s="120"/>
      <c r="J15" s="120"/>
      <c r="K15" s="120"/>
      <c r="L15" s="120">
        <v>0</v>
      </c>
      <c r="M15" s="120">
        <f t="shared" si="0"/>
        <v>35000000</v>
      </c>
      <c r="N15" s="354"/>
      <c r="O15" s="123" t="s">
        <v>1460</v>
      </c>
      <c r="P15" s="111" t="s">
        <v>1461</v>
      </c>
      <c r="Q15" s="111" t="s">
        <v>1462</v>
      </c>
      <c r="R15" s="113">
        <v>33123853</v>
      </c>
      <c r="S15" s="200">
        <f>R15/M15</f>
        <v>0.94639580000000001</v>
      </c>
      <c r="T15" s="113"/>
      <c r="U15" s="126"/>
      <c r="V15" s="126"/>
      <c r="W15" s="126"/>
      <c r="X15" s="126"/>
      <c r="Y15" s="126"/>
    </row>
    <row r="16" spans="1:25" ht="54.75" thickBot="1" x14ac:dyDescent="0.25">
      <c r="A16" s="323"/>
      <c r="B16" s="323"/>
      <c r="C16" s="323"/>
      <c r="D16" s="323"/>
      <c r="E16" s="118" t="s">
        <v>353</v>
      </c>
      <c r="F16" s="118" t="s">
        <v>354</v>
      </c>
      <c r="G16" s="120">
        <v>50000000</v>
      </c>
      <c r="H16" s="120"/>
      <c r="I16" s="120"/>
      <c r="J16" s="120"/>
      <c r="K16" s="120"/>
      <c r="L16" s="136">
        <v>0</v>
      </c>
      <c r="M16" s="136">
        <f t="shared" si="0"/>
        <v>50000000</v>
      </c>
      <c r="N16" s="345"/>
      <c r="O16" s="169" t="s">
        <v>1384</v>
      </c>
      <c r="P16" s="163" t="s">
        <v>1385</v>
      </c>
      <c r="Q16" s="163" t="s">
        <v>1386</v>
      </c>
      <c r="R16" s="165">
        <v>47782070</v>
      </c>
      <c r="S16" s="201">
        <f>R16/M16</f>
        <v>0.95564139999999997</v>
      </c>
      <c r="T16" s="208">
        <v>603</v>
      </c>
      <c r="U16" s="208" t="s">
        <v>1591</v>
      </c>
      <c r="V16" s="242">
        <v>47782070</v>
      </c>
      <c r="W16" s="208" t="s">
        <v>1577</v>
      </c>
      <c r="X16" s="208" t="s">
        <v>1577</v>
      </c>
      <c r="Y16" s="208" t="s">
        <v>1577</v>
      </c>
    </row>
    <row r="17" spans="12:25" ht="16.5" thickBot="1" x14ac:dyDescent="0.3">
      <c r="L17" s="69" t="s">
        <v>637</v>
      </c>
      <c r="M17" s="70">
        <f>SUM(M3:M16)</f>
        <v>293750000</v>
      </c>
      <c r="N17" s="71"/>
      <c r="O17" s="71"/>
      <c r="P17" s="71"/>
      <c r="Q17" s="71"/>
      <c r="R17" s="72">
        <f>R11+R14+R15+R16</f>
        <v>287805026</v>
      </c>
      <c r="S17" s="84">
        <f>R17/M17</f>
        <v>0.97976179063829782</v>
      </c>
      <c r="T17" s="243"/>
      <c r="U17" s="244"/>
      <c r="V17" s="245">
        <f>SUM(V3:V16)</f>
        <v>254681173</v>
      </c>
      <c r="W17" s="244"/>
      <c r="X17" s="244"/>
      <c r="Y17" s="246">
        <f>SUM(Y3:Y16)</f>
        <v>205630629</v>
      </c>
    </row>
  </sheetData>
  <sheetProtection algorithmName="SHA-512" hashValue="cv2XuLjJ9GR4g6gOotdwvx6+V8BiTU+k+KmLuoLdcV8IHCDGr6eVV0qCJms2nG/7wvnFHKTNS6hTUAp8I5B+ag==" saltValue="TrL+aChO8PfhytI/1xnvHw==" spinCount="100000" sheet="1" objects="1" scenarios="1" formatCells="0" formatColumns="0" formatRows="0"/>
  <mergeCells count="25">
    <mergeCell ref="A3:A16"/>
    <mergeCell ref="B3:B16"/>
    <mergeCell ref="C3:C16"/>
    <mergeCell ref="D3:D16"/>
    <mergeCell ref="M3:M11"/>
    <mergeCell ref="L3:L11"/>
    <mergeCell ref="K3:K11"/>
    <mergeCell ref="J3:J11"/>
    <mergeCell ref="I3:I11"/>
    <mergeCell ref="H3:H11"/>
    <mergeCell ref="G3:G11"/>
    <mergeCell ref="F3:F11"/>
    <mergeCell ref="E3:E11"/>
    <mergeCell ref="S3:S11"/>
    <mergeCell ref="H12:H14"/>
    <mergeCell ref="G12:G14"/>
    <mergeCell ref="F12:F14"/>
    <mergeCell ref="E12:E14"/>
    <mergeCell ref="S12:S14"/>
    <mergeCell ref="M12:M14"/>
    <mergeCell ref="L12:L14"/>
    <mergeCell ref="K12:K14"/>
    <mergeCell ref="J12:J14"/>
    <mergeCell ref="I12:I14"/>
    <mergeCell ref="N3:N16"/>
  </mergeCells>
  <conditionalFormatting sqref="S1:S1048576">
    <cfRule type="cellIs" dxfId="55" priority="1" operator="between">
      <formula>0.51</formula>
      <formula>0.69</formula>
    </cfRule>
    <cfRule type="cellIs" dxfId="54" priority="2" operator="lessThan">
      <formula>0.5</formula>
    </cfRule>
    <cfRule type="cellIs" dxfId="53" priority="3" operator="greaterThan">
      <formula>0.7</formula>
    </cfRule>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Y5"/>
  <sheetViews>
    <sheetView zoomScale="80" zoomScaleNormal="80" workbookViewId="0">
      <selection activeCell="A2" sqref="A2"/>
    </sheetView>
  </sheetViews>
  <sheetFormatPr baseColWidth="10" defaultColWidth="0" defaultRowHeight="15" zeroHeight="1" x14ac:dyDescent="0.25"/>
  <cols>
    <col min="1" max="5" width="11.42578125" customWidth="1"/>
    <col min="6" max="6" width="20.7109375" customWidth="1"/>
    <col min="7" max="7" width="15.28515625" bestFit="1" customWidth="1"/>
    <col min="8" max="12" width="11.42578125" customWidth="1"/>
    <col min="13" max="13" width="17.5703125" bestFit="1" customWidth="1"/>
    <col min="14" max="14" width="15.5703125" bestFit="1" customWidth="1"/>
    <col min="15" max="15" width="15.5703125" customWidth="1"/>
    <col min="16" max="17" width="11.42578125" customWidth="1"/>
    <col min="18" max="18" width="14.28515625" bestFit="1" customWidth="1"/>
    <col min="19" max="19" width="11.5703125" style="38" bestFit="1" customWidth="1"/>
    <col min="20" max="20" width="11.7109375" bestFit="1" customWidth="1"/>
    <col min="21" max="21" width="11.42578125" customWidth="1"/>
    <col min="22" max="22" width="12.7109375" bestFit="1" customWidth="1"/>
    <col min="23" max="25" width="11.42578125" customWidth="1"/>
    <col min="26" max="16384" width="11.42578125" hidden="1"/>
  </cols>
  <sheetData>
    <row r="1" spans="1:25" x14ac:dyDescent="0.25"/>
    <row r="2" spans="1:25" ht="89.25" x14ac:dyDescent="0.25">
      <c r="A2" s="175" t="s">
        <v>0</v>
      </c>
      <c r="B2" s="175" t="s">
        <v>1</v>
      </c>
      <c r="C2" s="175" t="s">
        <v>2</v>
      </c>
      <c r="D2" s="175" t="s">
        <v>3</v>
      </c>
      <c r="E2" s="175" t="s">
        <v>4</v>
      </c>
      <c r="F2" s="175" t="s">
        <v>5</v>
      </c>
      <c r="G2" s="175" t="s">
        <v>6</v>
      </c>
      <c r="H2" s="175" t="s">
        <v>7</v>
      </c>
      <c r="I2" s="175" t="s">
        <v>8</v>
      </c>
      <c r="J2" s="175" t="s">
        <v>9</v>
      </c>
      <c r="K2" s="175" t="s">
        <v>10</v>
      </c>
      <c r="L2" s="175" t="s">
        <v>11</v>
      </c>
      <c r="M2" s="175" t="s">
        <v>12</v>
      </c>
      <c r="N2" s="175" t="s">
        <v>13</v>
      </c>
      <c r="O2" s="177" t="s">
        <v>636</v>
      </c>
      <c r="P2" s="177" t="s">
        <v>628</v>
      </c>
      <c r="Q2" s="177" t="s">
        <v>629</v>
      </c>
      <c r="R2" s="177" t="s">
        <v>743</v>
      </c>
      <c r="S2" s="187" t="s">
        <v>1536</v>
      </c>
      <c r="T2" s="177" t="s">
        <v>630</v>
      </c>
      <c r="U2" s="177" t="s">
        <v>631</v>
      </c>
      <c r="V2" s="177" t="s">
        <v>632</v>
      </c>
      <c r="W2" s="177" t="s">
        <v>633</v>
      </c>
      <c r="X2" s="177" t="s">
        <v>634</v>
      </c>
      <c r="Y2" s="177" t="s">
        <v>635</v>
      </c>
    </row>
    <row r="3" spans="1:25" s="15" customFormat="1" ht="144" customHeight="1" x14ac:dyDescent="0.25">
      <c r="A3" s="323" t="s">
        <v>99</v>
      </c>
      <c r="B3" s="323" t="s">
        <v>100</v>
      </c>
      <c r="C3" s="323" t="s">
        <v>101</v>
      </c>
      <c r="D3" s="323" t="s">
        <v>102</v>
      </c>
      <c r="E3" s="118" t="s">
        <v>103</v>
      </c>
      <c r="F3" s="118" t="s">
        <v>104</v>
      </c>
      <c r="G3" s="120">
        <v>8124970</v>
      </c>
      <c r="H3" s="120"/>
      <c r="I3" s="120"/>
      <c r="J3" s="120"/>
      <c r="K3" s="120"/>
      <c r="L3" s="120"/>
      <c r="M3" s="120">
        <f t="shared" ref="M3:M4" si="0">SUM(G3:L3)</f>
        <v>8124970</v>
      </c>
      <c r="N3" s="370">
        <f>SUM(M3:M4)</f>
        <v>132224970</v>
      </c>
      <c r="O3" s="110" t="s">
        <v>1463</v>
      </c>
      <c r="P3" s="111" t="s">
        <v>1464</v>
      </c>
      <c r="Q3" s="112" t="s">
        <v>1465</v>
      </c>
      <c r="R3" s="113">
        <v>6839000</v>
      </c>
      <c r="S3" s="134">
        <f>R3/M3</f>
        <v>0.84172618483514405</v>
      </c>
      <c r="T3" s="114">
        <v>642</v>
      </c>
      <c r="U3" s="114" t="s">
        <v>1642</v>
      </c>
      <c r="V3" s="115">
        <v>6839000</v>
      </c>
      <c r="W3" s="114" t="s">
        <v>1580</v>
      </c>
      <c r="X3" s="114" t="s">
        <v>1580</v>
      </c>
      <c r="Y3" s="114" t="s">
        <v>1580</v>
      </c>
    </row>
    <row r="4" spans="1:25" s="15" customFormat="1" ht="181.5" customHeight="1" thickBot="1" x14ac:dyDescent="0.3">
      <c r="A4" s="323"/>
      <c r="B4" s="323"/>
      <c r="C4" s="323"/>
      <c r="D4" s="323"/>
      <c r="E4" s="118" t="s">
        <v>540</v>
      </c>
      <c r="F4" s="118" t="s">
        <v>541</v>
      </c>
      <c r="G4" s="120">
        <v>124100000</v>
      </c>
      <c r="H4" s="120"/>
      <c r="I4" s="120"/>
      <c r="J4" s="120"/>
      <c r="K4" s="120"/>
      <c r="L4" s="136"/>
      <c r="M4" s="136">
        <f t="shared" si="0"/>
        <v>124100000</v>
      </c>
      <c r="N4" s="371"/>
      <c r="O4" s="202" t="s">
        <v>747</v>
      </c>
      <c r="P4" s="163" t="s">
        <v>748</v>
      </c>
      <c r="Q4" s="164" t="s">
        <v>749</v>
      </c>
      <c r="R4" s="165">
        <v>15000000</v>
      </c>
      <c r="S4" s="158">
        <f>R4/M4</f>
        <v>0.12087026591458501</v>
      </c>
      <c r="T4" s="247"/>
      <c r="U4" s="247"/>
      <c r="V4" s="247"/>
      <c r="W4" s="247"/>
      <c r="X4" s="247"/>
      <c r="Y4" s="247"/>
    </row>
    <row r="5" spans="1:25" ht="19.5" thickBot="1" x14ac:dyDescent="0.35">
      <c r="L5" s="48" t="s">
        <v>637</v>
      </c>
      <c r="M5" s="49">
        <f>SUM(M3:M4)</f>
        <v>132224970</v>
      </c>
      <c r="N5" s="50"/>
      <c r="O5" s="50"/>
      <c r="P5" s="50"/>
      <c r="Q5" s="50"/>
      <c r="R5" s="51">
        <f>SUM(R3:R4)</f>
        <v>21839000</v>
      </c>
      <c r="S5" s="87">
        <f>R5/M5</f>
        <v>0.16516547517462096</v>
      </c>
      <c r="T5" s="234"/>
      <c r="U5" s="235"/>
      <c r="V5" s="236">
        <f>SUM(V3:V4)</f>
        <v>6839000</v>
      </c>
      <c r="W5" s="235"/>
      <c r="X5" s="235"/>
      <c r="Y5" s="249"/>
    </row>
  </sheetData>
  <sheetProtection algorithmName="SHA-512" hashValue="sCdY4VPrr8AH/BYm98oDRa3Ye8XPN/V5eAFdVVInFMpBqWKIGqt2fgNdCNZrWGiD8E515L5hZmHm83OIJZo3OQ==" saltValue="TN5epzXWfBIHcvx6BHtrNw==" spinCount="100000" sheet="1" objects="1" scenarios="1" formatCells="0" formatColumns="0" formatRows="0"/>
  <mergeCells count="5">
    <mergeCell ref="N3:N4"/>
    <mergeCell ref="A3:A4"/>
    <mergeCell ref="B3:B4"/>
    <mergeCell ref="C3:C4"/>
    <mergeCell ref="D3:D4"/>
  </mergeCells>
  <conditionalFormatting sqref="S1:S1048576">
    <cfRule type="cellIs" dxfId="52" priority="1" operator="between">
      <formula>0.51</formula>
      <formula>0.69</formula>
    </cfRule>
    <cfRule type="cellIs" dxfId="51" priority="2" operator="lessThan">
      <formula>0.5</formula>
    </cfRule>
    <cfRule type="cellIs" dxfId="50" priority="3" operator="greaterThan">
      <formula>0.7</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TOTALES</vt:lpstr>
      <vt:lpstr>ambiental</vt:lpstr>
      <vt:lpstr>Apoyo Académico</vt:lpstr>
      <vt:lpstr>Archivo</vt:lpstr>
      <vt:lpstr>Autoevaluación y acreditación</vt:lpstr>
      <vt:lpstr>bienes y servicios</vt:lpstr>
      <vt:lpstr>bienestar U.</vt:lpstr>
      <vt:lpstr>calidad</vt:lpstr>
      <vt:lpstr>centro de E agroambientales</vt:lpstr>
      <vt:lpstr>comunicaciones</vt:lpstr>
      <vt:lpstr>desarrollo académico</vt:lpstr>
      <vt:lpstr>planeación</vt:lpstr>
      <vt:lpstr>Educación Virtual y a distancia</vt:lpstr>
      <vt:lpstr>EFAD</vt:lpstr>
      <vt:lpstr>Soacha</vt:lpstr>
      <vt:lpstr>Graduados</vt:lpstr>
      <vt:lpstr>interac. social</vt:lpstr>
      <vt:lpstr>Internacionalización</vt:lpstr>
      <vt:lpstr>investigación</vt:lpstr>
      <vt:lpstr>posgrados</vt:lpstr>
      <vt:lpstr>Girardot</vt:lpstr>
      <vt:lpstr>Seg y S en el Trabajo</vt:lpstr>
      <vt:lpstr>sistemas y T</vt:lpstr>
      <vt:lpstr>talento H</vt:lpstr>
      <vt:lpstr>Vicerrectoría académica</vt:lpstr>
      <vt:lpstr>UBATÉ</vt:lpstr>
      <vt:lpstr>SOACHA INV</vt:lpstr>
      <vt:lpstr>GIRARDOT INV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Hogar</dc:creator>
  <cp:lastModifiedBy>DANIEL ALFONSO GOMEZ GALINDO</cp:lastModifiedBy>
  <dcterms:created xsi:type="dcterms:W3CDTF">2021-07-02T15:45:35Z</dcterms:created>
  <dcterms:modified xsi:type="dcterms:W3CDTF">2021-07-27T16:25:31Z</dcterms:modified>
</cp:coreProperties>
</file>