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F:\monik\UC\U CUNDINAMARCA\INV 163 ADECUACIONES SALAS DOCENTES GIRARDOT\ANEXOS PARA PUBLICAR\"/>
    </mc:Choice>
  </mc:AlternateContent>
  <bookViews>
    <workbookView xWindow="0" yWindow="0" windowWidth="28800" windowHeight="12330" firstSheet="1" activeTab="11"/>
  </bookViews>
  <sheets>
    <sheet name="NUEVO DISEÑO" sheetId="3" r:id="rId1"/>
    <sheet name="ITEM_1.1" sheetId="4" r:id="rId2"/>
    <sheet name="ITEM_1.2" sheetId="105" r:id="rId3"/>
    <sheet name="ITEM_1.3" sheetId="106" r:id="rId4"/>
    <sheet name="ITEM_1.4" sheetId="107" r:id="rId5"/>
    <sheet name="ITEM_1.5" sheetId="108" r:id="rId6"/>
    <sheet name="ITEM_1.6" sheetId="109" r:id="rId7"/>
    <sheet name="ITEM_1.7" sheetId="110" r:id="rId8"/>
    <sheet name="ITEM_1.8" sheetId="111" r:id="rId9"/>
    <sheet name="ITEM_1.9" sheetId="112" r:id="rId10"/>
    <sheet name="ITEM_1.10" sheetId="113" r:id="rId11"/>
    <sheet name="ITEM_1.11" sheetId="114" r:id="rId12"/>
    <sheet name="ITEM_1.12" sheetId="115" r:id="rId13"/>
    <sheet name="ITEM_1.13" sheetId="116" r:id="rId14"/>
    <sheet name="ITEM_1.14" sheetId="118" r:id="rId15"/>
    <sheet name="ITEM_1.15" sheetId="119" r:id="rId16"/>
    <sheet name="ITEM_1.16" sheetId="155" r:id="rId17"/>
    <sheet name="ITEM_1.18" sheetId="204" r:id="rId18"/>
    <sheet name="ITEM_2.1" sheetId="120" r:id="rId19"/>
    <sheet name="ITEM_2.2" sheetId="121" r:id="rId20"/>
    <sheet name="ITEM_2.3" sheetId="123" r:id="rId21"/>
    <sheet name="ITEM_2.4" sheetId="124" r:id="rId22"/>
    <sheet name="ITEM_2.5" sheetId="125" r:id="rId23"/>
    <sheet name="ITEM_2.6" sheetId="126" r:id="rId24"/>
    <sheet name="ITEM_2.7" sheetId="127" r:id="rId25"/>
    <sheet name="ITEM_2.8" sheetId="128" r:id="rId26"/>
    <sheet name="ITEM_2.9" sheetId="129" r:id="rId27"/>
    <sheet name="ITEM_2.10" sheetId="130" r:id="rId28"/>
    <sheet name="ITEM_2.11" sheetId="131" r:id="rId29"/>
    <sheet name="ITEM_2.12" sheetId="132" r:id="rId30"/>
    <sheet name="ITEM_2.13" sheetId="133" r:id="rId31"/>
    <sheet name="ITEM_2.14" sheetId="135" r:id="rId32"/>
    <sheet name="ITEM_2.15" sheetId="136" r:id="rId33"/>
    <sheet name="ITEM_3,1" sheetId="137" r:id="rId34"/>
    <sheet name="ITEM_3,2" sheetId="138" r:id="rId35"/>
    <sheet name="ITEM_3,3" sheetId="139" r:id="rId36"/>
    <sheet name="ITEM_3,4" sheetId="140" r:id="rId37"/>
    <sheet name="ITEM_3,5" sheetId="141" r:id="rId38"/>
    <sheet name="ITEM_3,6" sheetId="142" r:id="rId39"/>
    <sheet name="ITEM_3,7" sheetId="143" r:id="rId40"/>
    <sheet name="ITEM_3,8" sheetId="144" r:id="rId41"/>
    <sheet name="ITEM_3,9" sheetId="147" r:id="rId42"/>
    <sheet name="ITEM_4,1" sheetId="151" r:id="rId43"/>
    <sheet name="ITEM_4,2" sheetId="148" r:id="rId44"/>
    <sheet name="ITEM_4,3" sheetId="150" r:id="rId45"/>
    <sheet name="ITEM_4,4" sheetId="152" r:id="rId46"/>
    <sheet name="ITEM_4,5" sheetId="153" r:id="rId47"/>
    <sheet name="ITEM_4,6" sheetId="205" r:id="rId48"/>
    <sheet name="ITEM_5.1" sheetId="157" r:id="rId49"/>
    <sheet name="ITEM_5.2" sheetId="158" r:id="rId50"/>
    <sheet name="ITEM_5.3" sheetId="159" r:id="rId51"/>
    <sheet name="ITEM_5.4" sheetId="160" r:id="rId52"/>
    <sheet name="ITEM_6,1" sheetId="161" r:id="rId53"/>
    <sheet name="ITEM_6,2" sheetId="162" r:id="rId54"/>
    <sheet name="ITEM_6,3" sheetId="163" r:id="rId55"/>
    <sheet name="ITEM_6,4" sheetId="164" r:id="rId56"/>
    <sheet name="ITEM_6,5" sheetId="165" r:id="rId57"/>
    <sheet name="ITEM_6,6" sheetId="167" r:id="rId58"/>
    <sheet name="ITEM_6,7" sheetId="168" r:id="rId59"/>
    <sheet name="ITEM_6,8" sheetId="169" r:id="rId60"/>
    <sheet name="ITEM_6,9" sheetId="170" r:id="rId61"/>
    <sheet name="ITEM_6,10" sheetId="171" r:id="rId62"/>
    <sheet name="ITEM_6,11" sheetId="172" r:id="rId63"/>
    <sheet name="ITEM_6,12" sheetId="174" r:id="rId64"/>
    <sheet name="ITEM_6,13" sheetId="176" r:id="rId65"/>
    <sheet name="ITEM_6,14" sheetId="179" r:id="rId66"/>
    <sheet name="ITEM_6,25" sheetId="221" r:id="rId67"/>
    <sheet name="ITEM_9,1" sheetId="193" r:id="rId68"/>
    <sheet name="ITEM_9,2" sheetId="194" r:id="rId69"/>
    <sheet name="ITEM_10,1" sheetId="195" r:id="rId70"/>
    <sheet name="ITEM_10.2" sheetId="197" r:id="rId71"/>
    <sheet name="ITEM_10,3" sheetId="198" r:id="rId72"/>
    <sheet name="ITEM_10,4" sheetId="201" r:id="rId73"/>
    <sheet name="ITEM_10,5" sheetId="202" r:id="rId74"/>
    <sheet name="ITEM_10,6" sheetId="203" r:id="rId75"/>
    <sheet name="ITEM_10,9" sheetId="219" r:id="rId76"/>
    <sheet name="ITEM_12,1 " sheetId="206" r:id="rId77"/>
    <sheet name="ITEM_12,2" sheetId="207" r:id="rId78"/>
    <sheet name="ITEM_12,3" sheetId="208" r:id="rId79"/>
    <sheet name="ITEM_12,4" sheetId="209" r:id="rId80"/>
    <sheet name="ITEM_12,5" sheetId="210" r:id="rId81"/>
    <sheet name="ITEM_12,6" sheetId="211" r:id="rId82"/>
    <sheet name="ITEM_12,7" sheetId="212" r:id="rId83"/>
    <sheet name="ITEM_12,8" sheetId="213" r:id="rId84"/>
    <sheet name="ITEM_12,9" sheetId="214" r:id="rId85"/>
    <sheet name="ITEM_12,10" sheetId="215" r:id="rId86"/>
    <sheet name="ITEM_13,1" sheetId="216" r:id="rId87"/>
    <sheet name="ITEM_13,2" sheetId="220" r:id="rId88"/>
    <sheet name="ITEM_14,1" sheetId="217" r:id="rId89"/>
    <sheet name="ITEM_14.2" sheetId="218" r:id="rId90"/>
    <sheet name="APU BARANDA" sheetId="222" r:id="rId91"/>
    <sheet name="APU TERMO ACUSTICA" sheetId="223" r:id="rId92"/>
    <sheet name="PUERTA ALUMINIO" sheetId="224" r:id="rId93"/>
  </sheets>
  <externalReferences>
    <externalReference r:id="rId94"/>
    <externalReference r:id="rId95"/>
  </externalReferences>
  <definedNames>
    <definedName name="_xlnm.Print_Area" localSheetId="90">'APU BARANDA'!$A$1:$M$76</definedName>
    <definedName name="_xlnm.Print_Area" localSheetId="91">'APU TERMO ACUSTICA'!$A$1:$M$76</definedName>
    <definedName name="_xlnm.Print_Area" localSheetId="1">ITEM_1.1!$A$1:$M$69</definedName>
    <definedName name="_xlnm.Print_Area" localSheetId="10">ITEM_1.10!$A$1:$M$69</definedName>
    <definedName name="_xlnm.Print_Area" localSheetId="11">ITEM_1.11!$A$1:$M$69</definedName>
    <definedName name="_xlnm.Print_Area" localSheetId="12">ITEM_1.12!$A$1:$M$69</definedName>
    <definedName name="_xlnm.Print_Area" localSheetId="13">ITEM_1.13!$A$1:$M$69</definedName>
    <definedName name="_xlnm.Print_Area" localSheetId="14">ITEM_1.14!$A$1:$M$71</definedName>
    <definedName name="_xlnm.Print_Area" localSheetId="15">ITEM_1.15!$A$1:$M$72</definedName>
    <definedName name="_xlnm.Print_Area" localSheetId="16">ITEM_1.16!$A$1:$M$72</definedName>
    <definedName name="_xlnm.Print_Area" localSheetId="17">ITEM_1.18!$A$1:$M$69</definedName>
    <definedName name="_xlnm.Print_Area" localSheetId="2">ITEM_1.2!$A$1:$M$69</definedName>
    <definedName name="_xlnm.Print_Area" localSheetId="3">ITEM_1.3!$A$1:$M$69</definedName>
    <definedName name="_xlnm.Print_Area" localSheetId="4">ITEM_1.4!$A$1:$M$69</definedName>
    <definedName name="_xlnm.Print_Area" localSheetId="5">ITEM_1.5!$A$1:$M$69</definedName>
    <definedName name="_xlnm.Print_Area" localSheetId="6">ITEM_1.6!$A$1:$M$69</definedName>
    <definedName name="_xlnm.Print_Area" localSheetId="7">ITEM_1.7!$A$1:$M$69</definedName>
    <definedName name="_xlnm.Print_Area" localSheetId="8">ITEM_1.8!$A$1:$M$69</definedName>
    <definedName name="_xlnm.Print_Area" localSheetId="9">ITEM_1.9!$A$1:$M$69</definedName>
    <definedName name="_xlnm.Print_Area" localSheetId="69">'ITEM_10,1'!$A$1:$M$75</definedName>
    <definedName name="_xlnm.Print_Area" localSheetId="71">'ITEM_10,3'!$A$1:$M$76</definedName>
    <definedName name="_xlnm.Print_Area" localSheetId="72">'ITEM_10,4'!$A$1:$M$76</definedName>
    <definedName name="_xlnm.Print_Area" localSheetId="73">'ITEM_10,5'!$A$1:$M$76</definedName>
    <definedName name="_xlnm.Print_Area" localSheetId="74">'ITEM_10,6'!$A$1:$M$71</definedName>
    <definedName name="_xlnm.Print_Area" localSheetId="75">'ITEM_10,9'!$A$1:$M$71</definedName>
    <definedName name="_xlnm.Print_Area" localSheetId="70">ITEM_10.2!$A$1:$M$75</definedName>
    <definedName name="_xlnm.Print_Area" localSheetId="76">'ITEM_12,1 '!$A$1:$M$71</definedName>
    <definedName name="_xlnm.Print_Area" localSheetId="85">'ITEM_12,10'!$A$1:$M$71</definedName>
    <definedName name="_xlnm.Print_Area" localSheetId="77">'ITEM_12,2'!$A$1:$M$71</definedName>
    <definedName name="_xlnm.Print_Area" localSheetId="78">'ITEM_12,3'!$A$1:$M$71</definedName>
    <definedName name="_xlnm.Print_Area" localSheetId="79">'ITEM_12,4'!$A$1:$M$71</definedName>
    <definedName name="_xlnm.Print_Area" localSheetId="80">'ITEM_12,5'!$A$1:$M$71</definedName>
    <definedName name="_xlnm.Print_Area" localSheetId="81">'ITEM_12,6'!$A$1:$M$71</definedName>
    <definedName name="_xlnm.Print_Area" localSheetId="82">'ITEM_12,7'!$A$1:$M$71</definedName>
    <definedName name="_xlnm.Print_Area" localSheetId="83">'ITEM_12,8'!$A$1:$M$71</definedName>
    <definedName name="_xlnm.Print_Area" localSheetId="84">'ITEM_12,9'!$A$1:$M$71</definedName>
    <definedName name="_xlnm.Print_Area" localSheetId="86">'ITEM_13,1'!$A$1:$M$71</definedName>
    <definedName name="_xlnm.Print_Area" localSheetId="87">'ITEM_13,2'!$A$1:$M$71</definedName>
    <definedName name="_xlnm.Print_Area" localSheetId="88">'ITEM_14,1'!$A$1:$M$71</definedName>
    <definedName name="_xlnm.Print_Area" localSheetId="89">ITEM_14.2!$A$1:$M$69</definedName>
    <definedName name="_xlnm.Print_Area" localSheetId="18">ITEM_2.1!$A$1:$M$76</definedName>
    <definedName name="_xlnm.Print_Area" localSheetId="27">ITEM_2.10!$A$1:$M$71</definedName>
    <definedName name="_xlnm.Print_Area" localSheetId="28">ITEM_2.11!$A$1:$M$71</definedName>
    <definedName name="_xlnm.Print_Area" localSheetId="29">ITEM_2.12!$A$1:$M$75</definedName>
    <definedName name="_xlnm.Print_Area" localSheetId="30">ITEM_2.13!$A$1:$M$75</definedName>
    <definedName name="_xlnm.Print_Area" localSheetId="31">ITEM_2.14!$A$1:$M$75</definedName>
    <definedName name="_xlnm.Print_Area" localSheetId="32">ITEM_2.15!$A$1:$M$75</definedName>
    <definedName name="_xlnm.Print_Area" localSheetId="19">ITEM_2.2!$A$1:$M$76</definedName>
    <definedName name="_xlnm.Print_Area" localSheetId="20">ITEM_2.3!$A$1:$M$75</definedName>
    <definedName name="_xlnm.Print_Area" localSheetId="21">ITEM_2.4!$A$1:$M$75</definedName>
    <definedName name="_xlnm.Print_Area" localSheetId="22">ITEM_2.5!$A$1:$M$75</definedName>
    <definedName name="_xlnm.Print_Area" localSheetId="23">ITEM_2.6!$A$1:$M$75</definedName>
    <definedName name="_xlnm.Print_Area" localSheetId="24">ITEM_2.7!$A$1:$M$75</definedName>
    <definedName name="_xlnm.Print_Area" localSheetId="25">ITEM_2.8!$A$1:$M$71</definedName>
    <definedName name="_xlnm.Print_Area" localSheetId="26">ITEM_2.9!$A$1:$M$71</definedName>
    <definedName name="_xlnm.Print_Area" localSheetId="33">'ITEM_3,1'!$A$1:$M$75</definedName>
    <definedName name="_xlnm.Print_Area" localSheetId="34">'ITEM_3,2'!$A$1:$M$75</definedName>
    <definedName name="_xlnm.Print_Area" localSheetId="35">'ITEM_3,3'!$A$1:$M$75</definedName>
    <definedName name="_xlnm.Print_Area" localSheetId="36">'ITEM_3,4'!$A$1:$M$75</definedName>
    <definedName name="_xlnm.Print_Area" localSheetId="37">'ITEM_3,5'!$A$1:$M$75</definedName>
    <definedName name="_xlnm.Print_Area" localSheetId="38">'ITEM_3,6'!$A$1:$M$75</definedName>
    <definedName name="_xlnm.Print_Area" localSheetId="39">'ITEM_3,7'!$A$1:$M$75</definedName>
    <definedName name="_xlnm.Print_Area" localSheetId="40">'ITEM_3,8'!$A$1:$M$75</definedName>
    <definedName name="_xlnm.Print_Area" localSheetId="41">'ITEM_3,9'!$A$1:$M$75</definedName>
    <definedName name="_xlnm.Print_Area" localSheetId="42">'ITEM_4,1'!$A$1:$M$74</definedName>
    <definedName name="_xlnm.Print_Area" localSheetId="43">'ITEM_4,2'!$A$1:$M$75</definedName>
    <definedName name="_xlnm.Print_Area" localSheetId="44">'ITEM_4,3'!$A$1:$M$76</definedName>
    <definedName name="_xlnm.Print_Area" localSheetId="45">'ITEM_4,4'!$A$1:$M$79</definedName>
    <definedName name="_xlnm.Print_Area" localSheetId="46">'ITEM_4,5'!$A$1:$M$76</definedName>
    <definedName name="_xlnm.Print_Area" localSheetId="47">'ITEM_4,6'!$A$1:$M$75</definedName>
    <definedName name="_xlnm.Print_Area" localSheetId="48">ITEM_5.1!$A$1:$M$75</definedName>
    <definedName name="_xlnm.Print_Area" localSheetId="49">ITEM_5.2!$A$1:$M$75</definedName>
    <definedName name="_xlnm.Print_Area" localSheetId="50">ITEM_5.3!$A$1:$M$75</definedName>
    <definedName name="_xlnm.Print_Area" localSheetId="51">ITEM_5.4!$A$1:$M$75</definedName>
    <definedName name="_xlnm.Print_Area" localSheetId="52">'ITEM_6,1'!$A$1:$M$77</definedName>
    <definedName name="_xlnm.Print_Area" localSheetId="61">'ITEM_6,10'!$A$1:$M$76</definedName>
    <definedName name="_xlnm.Print_Area" localSheetId="62">'ITEM_6,11'!$A$1:$M$77</definedName>
    <definedName name="_xlnm.Print_Area" localSheetId="63">'ITEM_6,12'!$A$1:$M$77</definedName>
    <definedName name="_xlnm.Print_Area" localSheetId="64">'ITEM_6,13'!$A$1:$M$76</definedName>
    <definedName name="_xlnm.Print_Area" localSheetId="65">'ITEM_6,14'!$A$1:$M$75</definedName>
    <definedName name="_xlnm.Print_Area" localSheetId="53">'ITEM_6,2'!$A$1:$M$76</definedName>
    <definedName name="_xlnm.Print_Area" localSheetId="66">'ITEM_6,25'!$A$1:$M$75</definedName>
    <definedName name="_xlnm.Print_Area" localSheetId="54">'ITEM_6,3'!$A$1:$M$76</definedName>
    <definedName name="_xlnm.Print_Area" localSheetId="55">'ITEM_6,4'!$A$1:$M$76</definedName>
    <definedName name="_xlnm.Print_Area" localSheetId="56">'ITEM_6,5'!$A$1:$M$76</definedName>
    <definedName name="_xlnm.Print_Area" localSheetId="57">'ITEM_6,6'!$A$1:$M$76</definedName>
    <definedName name="_xlnm.Print_Area" localSheetId="58">'ITEM_6,7'!$A$1:$M$76</definedName>
    <definedName name="_xlnm.Print_Area" localSheetId="59">'ITEM_6,8'!$A$1:$M$76</definedName>
    <definedName name="_xlnm.Print_Area" localSheetId="60">'ITEM_6,9'!$A$1:$M$76</definedName>
    <definedName name="_xlnm.Print_Area" localSheetId="67">'ITEM_9,1'!$A$1:$M$77</definedName>
    <definedName name="_xlnm.Print_Area" localSheetId="68">'ITEM_9,2'!$A$1:$M$77</definedName>
    <definedName name="_xlnm.Print_Area" localSheetId="0">'NUEVO DISEÑO'!$A$1:$F$146</definedName>
    <definedName name="_xlnm.Print_Area" localSheetId="92">'PUERTA ALUMINIO'!$A$1:$M$76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65" i="202" l="1"/>
  <c r="M65" i="201"/>
  <c r="M64" i="221"/>
  <c r="M66" i="174"/>
  <c r="M65" i="171"/>
  <c r="M65" i="169"/>
  <c r="M65" i="168"/>
  <c r="M65" i="167"/>
  <c r="M65" i="162"/>
  <c r="M64" i="160"/>
  <c r="M64" i="159"/>
  <c r="M64" i="158"/>
  <c r="M64" i="157"/>
  <c r="M65" i="153"/>
  <c r="M64" i="148"/>
  <c r="M64" i="147"/>
  <c r="M64" i="144"/>
  <c r="M64" i="143"/>
  <c r="M64" i="138"/>
  <c r="M64" i="137"/>
  <c r="M64" i="133"/>
  <c r="M64" i="132"/>
  <c r="M60" i="130"/>
  <c r="M60" i="129"/>
  <c r="M60" i="128"/>
  <c r="M64" i="127"/>
  <c r="M64" i="126"/>
  <c r="M64" i="125"/>
  <c r="M64" i="124"/>
  <c r="M64" i="123"/>
  <c r="M65" i="121"/>
  <c r="M61" i="155"/>
  <c r="M61" i="119"/>
  <c r="M60" i="118"/>
  <c r="M58" i="116"/>
  <c r="M58" i="114"/>
  <c r="M58" i="113"/>
  <c r="M58" i="112"/>
  <c r="M58" i="111"/>
  <c r="M58" i="110"/>
  <c r="M58" i="109"/>
  <c r="M58" i="108"/>
  <c r="M58" i="106"/>
  <c r="M58" i="105"/>
  <c r="M58" i="4"/>
  <c r="J60" i="224"/>
  <c r="M60" i="224" s="1"/>
  <c r="M63" i="224" s="1"/>
  <c r="M55" i="224"/>
  <c r="M43" i="224"/>
  <c r="M42" i="224"/>
  <c r="M41" i="224"/>
  <c r="M40" i="224"/>
  <c r="M48" i="224" s="1"/>
  <c r="M39" i="224"/>
  <c r="M32" i="224"/>
  <c r="M31" i="224"/>
  <c r="M34" i="224" s="1"/>
  <c r="J60" i="223"/>
  <c r="M60" i="223" s="1"/>
  <c r="M63" i="223" s="1"/>
  <c r="M55" i="223"/>
  <c r="M43" i="223"/>
  <c r="M42" i="223"/>
  <c r="M41" i="223"/>
  <c r="M40" i="223"/>
  <c r="M48" i="223" s="1"/>
  <c r="M39" i="223"/>
  <c r="M32" i="223"/>
  <c r="M31" i="223"/>
  <c r="M34" i="223" s="1"/>
  <c r="J60" i="222"/>
  <c r="M60" i="222" s="1"/>
  <c r="M63" i="222" s="1"/>
  <c r="M55" i="222"/>
  <c r="M43" i="222"/>
  <c r="M42" i="222"/>
  <c r="M41" i="222"/>
  <c r="M40" i="222"/>
  <c r="M48" i="222" s="1"/>
  <c r="M39" i="222"/>
  <c r="M32" i="222"/>
  <c r="M31" i="222"/>
  <c r="M34" i="222" s="1"/>
  <c r="M62" i="221"/>
  <c r="M65" i="224" l="1"/>
  <c r="M65" i="223"/>
  <c r="M65" i="222"/>
  <c r="J59" i="221"/>
  <c r="M59" i="221" s="1"/>
  <c r="M54" i="221"/>
  <c r="M46" i="221"/>
  <c r="M45" i="221"/>
  <c r="M44" i="221"/>
  <c r="M43" i="221"/>
  <c r="M42" i="221"/>
  <c r="M41" i="221"/>
  <c r="M40" i="221"/>
  <c r="M39" i="221"/>
  <c r="M47" i="221" s="1"/>
  <c r="M32" i="221"/>
  <c r="M34" i="221" s="1"/>
  <c r="M31" i="221"/>
  <c r="K71" i="224" l="1"/>
  <c r="K70" i="224"/>
  <c r="K72" i="224"/>
  <c r="K73" i="224" s="1"/>
  <c r="K71" i="223"/>
  <c r="K70" i="223"/>
  <c r="K72" i="223"/>
  <c r="K73" i="223" s="1"/>
  <c r="K71" i="222"/>
  <c r="K70" i="222"/>
  <c r="M74" i="222" s="1"/>
  <c r="M76" i="222" s="1"/>
  <c r="K72" i="222"/>
  <c r="K73" i="222" s="1"/>
  <c r="E87" i="3"/>
  <c r="M74" i="224" l="1"/>
  <c r="M76" i="224" s="1"/>
  <c r="M74" i="223"/>
  <c r="M76" i="223" s="1"/>
  <c r="K70" i="221"/>
  <c r="K69" i="221"/>
  <c r="K71" i="221"/>
  <c r="K72" i="221" s="1"/>
  <c r="M73" i="221" l="1"/>
  <c r="M75" i="221" s="1"/>
  <c r="F128" i="3" l="1"/>
  <c r="E128" i="3"/>
  <c r="J55" i="220"/>
  <c r="M55" i="220" s="1"/>
  <c r="M58" i="220" s="1"/>
  <c r="M50" i="220"/>
  <c r="M42" i="220"/>
  <c r="M41" i="220"/>
  <c r="M40" i="220"/>
  <c r="M39" i="220"/>
  <c r="M43" i="220" s="1"/>
  <c r="M31" i="220"/>
  <c r="M34" i="220" s="1"/>
  <c r="G67" i="3"/>
  <c r="F38" i="3"/>
  <c r="M58" i="218"/>
  <c r="E133" i="3" s="1"/>
  <c r="F133" i="3" s="1"/>
  <c r="M60" i="217"/>
  <c r="M60" i="216"/>
  <c r="E127" i="3" s="1"/>
  <c r="F127" i="3" s="1"/>
  <c r="M60" i="215"/>
  <c r="E125" i="3" s="1"/>
  <c r="F125" i="3" s="1"/>
  <c r="M60" i="214"/>
  <c r="E124" i="3" s="1"/>
  <c r="F124" i="3" s="1"/>
  <c r="M60" i="213"/>
  <c r="E123" i="3" s="1"/>
  <c r="F123" i="3" s="1"/>
  <c r="M60" i="210"/>
  <c r="M60" i="209"/>
  <c r="M60" i="207"/>
  <c r="E117" i="3" s="1"/>
  <c r="F117" i="3" s="1"/>
  <c r="M60" i="206"/>
  <c r="M60" i="203"/>
  <c r="M65" i="198"/>
  <c r="M64" i="197"/>
  <c r="M64" i="195"/>
  <c r="M66" i="194"/>
  <c r="M66" i="193"/>
  <c r="M64" i="179"/>
  <c r="M65" i="176"/>
  <c r="M66" i="172"/>
  <c r="M65" i="170"/>
  <c r="M65" i="165"/>
  <c r="M65" i="164"/>
  <c r="M65" i="163"/>
  <c r="M66" i="161"/>
  <c r="M68" i="152"/>
  <c r="M65" i="150"/>
  <c r="M63" i="151"/>
  <c r="M64" i="142"/>
  <c r="M64" i="141"/>
  <c r="M64" i="140"/>
  <c r="M64" i="139"/>
  <c r="M64" i="136"/>
  <c r="M64" i="135"/>
  <c r="M60" i="131"/>
  <c r="M58" i="204"/>
  <c r="M58" i="115"/>
  <c r="M58" i="107"/>
  <c r="J55" i="219"/>
  <c r="M55" i="219" s="1"/>
  <c r="M58" i="219" s="1"/>
  <c r="M50" i="219"/>
  <c r="M42" i="219"/>
  <c r="M41" i="219"/>
  <c r="M40" i="219"/>
  <c r="M39" i="219"/>
  <c r="J55" i="218"/>
  <c r="M55" i="218" s="1"/>
  <c r="M56" i="218" s="1"/>
  <c r="M50" i="218"/>
  <c r="M43" i="218"/>
  <c r="M31" i="218"/>
  <c r="M33" i="218" s="1"/>
  <c r="E132" i="3"/>
  <c r="F132" i="3" s="1"/>
  <c r="J55" i="217"/>
  <c r="M55" i="217" s="1"/>
  <c r="M58" i="217" s="1"/>
  <c r="M50" i="217"/>
  <c r="M42" i="217"/>
  <c r="M41" i="217"/>
  <c r="M40" i="217"/>
  <c r="M39" i="217"/>
  <c r="M43" i="217" s="1"/>
  <c r="M31" i="217"/>
  <c r="M34" i="217" s="1"/>
  <c r="J55" i="216"/>
  <c r="M55" i="216" s="1"/>
  <c r="M58" i="216" s="1"/>
  <c r="M50" i="216"/>
  <c r="M42" i="216"/>
  <c r="M41" i="216"/>
  <c r="M40" i="216"/>
  <c r="M39" i="216"/>
  <c r="M43" i="216" s="1"/>
  <c r="M31" i="216"/>
  <c r="M34" i="216" s="1"/>
  <c r="J55" i="215"/>
  <c r="M55" i="215" s="1"/>
  <c r="M58" i="215" s="1"/>
  <c r="M50" i="215"/>
  <c r="M42" i="215"/>
  <c r="M41" i="215"/>
  <c r="M40" i="215"/>
  <c r="M39" i="215"/>
  <c r="M43" i="215" s="1"/>
  <c r="M31" i="215"/>
  <c r="M34" i="215" s="1"/>
  <c r="J55" i="214"/>
  <c r="M55" i="214" s="1"/>
  <c r="M58" i="214" s="1"/>
  <c r="M50" i="214"/>
  <c r="M42" i="214"/>
  <c r="M41" i="214"/>
  <c r="M40" i="214"/>
  <c r="M39" i="214"/>
  <c r="M43" i="214" s="1"/>
  <c r="M31" i="214"/>
  <c r="M34" i="214" s="1"/>
  <c r="M55" i="213"/>
  <c r="M58" i="213" s="1"/>
  <c r="J55" i="213"/>
  <c r="M50" i="213"/>
  <c r="M42" i="213"/>
  <c r="M41" i="213"/>
  <c r="M40" i="213"/>
  <c r="M39" i="213"/>
  <c r="M43" i="213" s="1"/>
  <c r="M34" i="213"/>
  <c r="M31" i="213"/>
  <c r="J55" i="212"/>
  <c r="M55" i="212" s="1"/>
  <c r="M58" i="212" s="1"/>
  <c r="M60" i="212" s="1"/>
  <c r="E122" i="3" s="1"/>
  <c r="F122" i="3" s="1"/>
  <c r="M50" i="212"/>
  <c r="M42" i="212"/>
  <c r="M41" i="212"/>
  <c r="M40" i="212"/>
  <c r="M39" i="212"/>
  <c r="M43" i="212" s="1"/>
  <c r="M31" i="212"/>
  <c r="M34" i="212" s="1"/>
  <c r="J55" i="211"/>
  <c r="M55" i="211" s="1"/>
  <c r="M58" i="211" s="1"/>
  <c r="M60" i="211" s="1"/>
  <c r="E121" i="3" s="1"/>
  <c r="F121" i="3" s="1"/>
  <c r="M50" i="211"/>
  <c r="M42" i="211"/>
  <c r="M41" i="211"/>
  <c r="M40" i="211"/>
  <c r="M39" i="211"/>
  <c r="M31" i="211"/>
  <c r="M34" i="211" s="1"/>
  <c r="E120" i="3"/>
  <c r="F120" i="3" s="1"/>
  <c r="J55" i="210"/>
  <c r="M55" i="210" s="1"/>
  <c r="M58" i="210" s="1"/>
  <c r="M50" i="210"/>
  <c r="M42" i="210"/>
  <c r="M41" i="210"/>
  <c r="M40" i="210"/>
  <c r="M39" i="210"/>
  <c r="M31" i="210"/>
  <c r="M34" i="210" s="1"/>
  <c r="J55" i="209"/>
  <c r="M55" i="209" s="1"/>
  <c r="M58" i="209" s="1"/>
  <c r="M50" i="209"/>
  <c r="M42" i="209"/>
  <c r="M41" i="209"/>
  <c r="M40" i="209"/>
  <c r="M39" i="209"/>
  <c r="M31" i="209"/>
  <c r="M34" i="209" s="1"/>
  <c r="F20" i="3"/>
  <c r="F50" i="3"/>
  <c r="F56" i="3"/>
  <c r="F77" i="3"/>
  <c r="F78" i="3"/>
  <c r="F79" i="3"/>
  <c r="F80" i="3"/>
  <c r="F81" i="3"/>
  <c r="F82" i="3"/>
  <c r="F83" i="3"/>
  <c r="F84" i="3"/>
  <c r="F85" i="3"/>
  <c r="F86" i="3"/>
  <c r="F87" i="3"/>
  <c r="F88" i="3"/>
  <c r="F89" i="3"/>
  <c r="F90" i="3"/>
  <c r="F92" i="3"/>
  <c r="F93" i="3"/>
  <c r="F94" i="3"/>
  <c r="F95" i="3"/>
  <c r="F96" i="3"/>
  <c r="F97" i="3"/>
  <c r="F98" i="3"/>
  <c r="F99" i="3"/>
  <c r="F100" i="3"/>
  <c r="F104" i="3"/>
  <c r="F129" i="3"/>
  <c r="F130" i="3"/>
  <c r="J55" i="208"/>
  <c r="M55" i="208" s="1"/>
  <c r="M58" i="208" s="1"/>
  <c r="M50" i="208"/>
  <c r="M42" i="208"/>
  <c r="M41" i="208"/>
  <c r="M40" i="208"/>
  <c r="M39" i="208"/>
  <c r="M31" i="208"/>
  <c r="M34" i="208" s="1"/>
  <c r="M55" i="207"/>
  <c r="M58" i="207" s="1"/>
  <c r="J55" i="207"/>
  <c r="M50" i="207"/>
  <c r="M42" i="207"/>
  <c r="M41" i="207"/>
  <c r="M40" i="207"/>
  <c r="M39" i="207"/>
  <c r="M34" i="207"/>
  <c r="M31" i="207"/>
  <c r="M42" i="206"/>
  <c r="M43" i="208" l="1"/>
  <c r="M60" i="208" s="1"/>
  <c r="E118" i="3" s="1"/>
  <c r="F118" i="3" s="1"/>
  <c r="M60" i="220"/>
  <c r="K67" i="220" s="1"/>
  <c r="K68" i="220" s="1"/>
  <c r="G91" i="3"/>
  <c r="G126" i="3"/>
  <c r="G131" i="3"/>
  <c r="M43" i="219"/>
  <c r="J31" i="219"/>
  <c r="M31" i="219" s="1"/>
  <c r="M34" i="219" s="1"/>
  <c r="M60" i="219" s="1"/>
  <c r="E114" i="3" s="1"/>
  <c r="F114" i="3" s="1"/>
  <c r="K63" i="218"/>
  <c r="K64" i="218"/>
  <c r="M43" i="211"/>
  <c r="M43" i="210"/>
  <c r="K66" i="210" s="1"/>
  <c r="M43" i="209"/>
  <c r="E119" i="3"/>
  <c r="F119" i="3" s="1"/>
  <c r="M43" i="207"/>
  <c r="M55" i="206"/>
  <c r="M58" i="206" s="1"/>
  <c r="J55" i="206"/>
  <c r="M50" i="206"/>
  <c r="M41" i="206"/>
  <c r="M40" i="206"/>
  <c r="M39" i="206"/>
  <c r="M34" i="206"/>
  <c r="M31" i="206"/>
  <c r="K65" i="220" l="1"/>
  <c r="K66" i="220"/>
  <c r="K66" i="219"/>
  <c r="K65" i="219"/>
  <c r="K67" i="219"/>
  <c r="K68" i="219" s="1"/>
  <c r="K65" i="218"/>
  <c r="K66" i="218" s="1"/>
  <c r="M67" i="218"/>
  <c r="M69" i="218" s="1"/>
  <c r="K66" i="217"/>
  <c r="K65" i="217"/>
  <c r="K67" i="217"/>
  <c r="K68" i="217" s="1"/>
  <c r="K67" i="216"/>
  <c r="K68" i="216" s="1"/>
  <c r="K66" i="216"/>
  <c r="K65" i="216"/>
  <c r="K66" i="215"/>
  <c r="K65" i="215"/>
  <c r="K67" i="215"/>
  <c r="K68" i="215" s="1"/>
  <c r="K66" i="214"/>
  <c r="K65" i="214"/>
  <c r="K67" i="214"/>
  <c r="K68" i="214" s="1"/>
  <c r="K65" i="213"/>
  <c r="K67" i="213"/>
  <c r="K68" i="213" s="1"/>
  <c r="K66" i="213"/>
  <c r="K66" i="212"/>
  <c r="K65" i="212"/>
  <c r="K67" i="212"/>
  <c r="K68" i="212" s="1"/>
  <c r="K66" i="211"/>
  <c r="K67" i="211"/>
  <c r="K68" i="211" s="1"/>
  <c r="K65" i="211"/>
  <c r="K67" i="210"/>
  <c r="K68" i="210" s="1"/>
  <c r="K65" i="210"/>
  <c r="M69" i="210"/>
  <c r="M71" i="210" s="1"/>
  <c r="K66" i="209"/>
  <c r="K65" i="209"/>
  <c r="K67" i="209"/>
  <c r="K68" i="209" s="1"/>
  <c r="K66" i="208"/>
  <c r="K67" i="208"/>
  <c r="K68" i="208" s="1"/>
  <c r="K65" i="208"/>
  <c r="K66" i="207"/>
  <c r="K65" i="207"/>
  <c r="K67" i="207"/>
  <c r="K68" i="207" s="1"/>
  <c r="M43" i="206"/>
  <c r="E116" i="3" s="1"/>
  <c r="F116" i="3" s="1"/>
  <c r="G115" i="3" s="1"/>
  <c r="M69" i="220" l="1"/>
  <c r="M71" i="220" s="1"/>
  <c r="M69" i="208"/>
  <c r="M71" i="208" s="1"/>
  <c r="M69" i="219"/>
  <c r="M71" i="219" s="1"/>
  <c r="M69" i="217"/>
  <c r="M71" i="217" s="1"/>
  <c r="M69" i="216"/>
  <c r="M71" i="216" s="1"/>
  <c r="M69" i="215"/>
  <c r="M71" i="215" s="1"/>
  <c r="M69" i="214"/>
  <c r="M71" i="214" s="1"/>
  <c r="M69" i="213"/>
  <c r="M71" i="213" s="1"/>
  <c r="M69" i="212"/>
  <c r="M71" i="212" s="1"/>
  <c r="M69" i="211"/>
  <c r="M71" i="211" s="1"/>
  <c r="M69" i="209"/>
  <c r="M71" i="209" s="1"/>
  <c r="M69" i="207"/>
  <c r="M71" i="207" s="1"/>
  <c r="K66" i="206"/>
  <c r="K65" i="206"/>
  <c r="K67" i="206"/>
  <c r="K68" i="206" s="1"/>
  <c r="M69" i="206" l="1"/>
  <c r="M71" i="206" s="1"/>
  <c r="M39" i="151" l="1"/>
  <c r="M40" i="151"/>
  <c r="M40" i="205"/>
  <c r="J59" i="205" l="1"/>
  <c r="M59" i="205" s="1"/>
  <c r="M62" i="205" s="1"/>
  <c r="M54" i="205"/>
  <c r="M39" i="205"/>
  <c r="M47" i="205" s="1"/>
  <c r="M64" i="205" s="1"/>
  <c r="E55" i="3" s="1"/>
  <c r="F55" i="3" s="1"/>
  <c r="M38" i="205"/>
  <c r="M33" i="205"/>
  <c r="E21" i="3"/>
  <c r="F21" i="3" s="1"/>
  <c r="J55" i="204"/>
  <c r="M55" i="204" s="1"/>
  <c r="M56" i="204" s="1"/>
  <c r="M50" i="204"/>
  <c r="M43" i="204"/>
  <c r="M31" i="204"/>
  <c r="M33" i="204" s="1"/>
  <c r="B67" i="3"/>
  <c r="B15" i="3"/>
  <c r="M32" i="119"/>
  <c r="M31" i="119"/>
  <c r="B19" i="3"/>
  <c r="E113" i="3"/>
  <c r="F113" i="3" s="1"/>
  <c r="E112" i="3"/>
  <c r="F112" i="3" s="1"/>
  <c r="B111" i="3"/>
  <c r="B110" i="3"/>
  <c r="B109" i="3"/>
  <c r="K41" i="201"/>
  <c r="K40" i="201"/>
  <c r="K39" i="201"/>
  <c r="M39" i="201" s="1"/>
  <c r="B108" i="3"/>
  <c r="K39" i="198"/>
  <c r="M39" i="198" s="1"/>
  <c r="B107" i="3"/>
  <c r="B106" i="3"/>
  <c r="J55" i="203"/>
  <c r="M55" i="203" s="1"/>
  <c r="M58" i="203" s="1"/>
  <c r="M50" i="203"/>
  <c r="M42" i="203"/>
  <c r="M41" i="203"/>
  <c r="M40" i="203"/>
  <c r="M39" i="203"/>
  <c r="M31" i="203"/>
  <c r="M34" i="203" s="1"/>
  <c r="K26" i="203"/>
  <c r="J60" i="202"/>
  <c r="M60" i="202" s="1"/>
  <c r="M63" i="202" s="1"/>
  <c r="M55" i="202"/>
  <c r="M42" i="202"/>
  <c r="M41" i="202"/>
  <c r="M40" i="202"/>
  <c r="M39" i="202"/>
  <c r="M34" i="202"/>
  <c r="K26" i="202"/>
  <c r="J60" i="201"/>
  <c r="M60" i="201" s="1"/>
  <c r="M63" i="201" s="1"/>
  <c r="M55" i="201"/>
  <c r="M42" i="201"/>
  <c r="M41" i="201"/>
  <c r="M40" i="201"/>
  <c r="M34" i="201"/>
  <c r="K26" i="201"/>
  <c r="J60" i="198"/>
  <c r="M60" i="198" s="1"/>
  <c r="M63" i="198" s="1"/>
  <c r="M55" i="198"/>
  <c r="M46" i="198"/>
  <c r="M45" i="198"/>
  <c r="M44" i="198"/>
  <c r="M33" i="198"/>
  <c r="M32" i="198"/>
  <c r="M31" i="198"/>
  <c r="K26" i="198"/>
  <c r="J59" i="197"/>
  <c r="M59" i="197" s="1"/>
  <c r="M62" i="197" s="1"/>
  <c r="M54" i="197"/>
  <c r="M45" i="197"/>
  <c r="M44" i="197"/>
  <c r="M43" i="197"/>
  <c r="M42" i="197"/>
  <c r="M41" i="197"/>
  <c r="M40" i="197"/>
  <c r="M39" i="197"/>
  <c r="M38" i="197"/>
  <c r="M31" i="197"/>
  <c r="M33" i="197" s="1"/>
  <c r="M26" i="197"/>
  <c r="K26" i="197"/>
  <c r="J59" i="195"/>
  <c r="M59" i="195" s="1"/>
  <c r="M62" i="195" s="1"/>
  <c r="M54" i="195"/>
  <c r="M45" i="195"/>
  <c r="M44" i="195"/>
  <c r="M43" i="195"/>
  <c r="M42" i="195"/>
  <c r="M41" i="195"/>
  <c r="M40" i="195"/>
  <c r="M39" i="195"/>
  <c r="M38" i="195"/>
  <c r="M33" i="195"/>
  <c r="M31" i="195"/>
  <c r="K26" i="195"/>
  <c r="B103" i="3"/>
  <c r="J33" i="194"/>
  <c r="K31" i="194"/>
  <c r="J48" i="194"/>
  <c r="J47" i="194"/>
  <c r="J46" i="194"/>
  <c r="J45" i="194"/>
  <c r="J44" i="194"/>
  <c r="J43" i="194"/>
  <c r="J42" i="194"/>
  <c r="J41" i="194"/>
  <c r="J40" i="194"/>
  <c r="J39" i="194"/>
  <c r="J61" i="194"/>
  <c r="M61" i="194" s="1"/>
  <c r="M64" i="194" s="1"/>
  <c r="M56" i="194"/>
  <c r="K48" i="194"/>
  <c r="M48" i="194" s="1"/>
  <c r="K47" i="194"/>
  <c r="M47" i="194" s="1"/>
  <c r="K46" i="194"/>
  <c r="K45" i="194"/>
  <c r="M45" i="194" s="1"/>
  <c r="K44" i="194"/>
  <c r="M44" i="194" s="1"/>
  <c r="K43" i="194"/>
  <c r="M43" i="194" s="1"/>
  <c r="K42" i="194"/>
  <c r="M42" i="194" s="1"/>
  <c r="K41" i="194"/>
  <c r="M41" i="194" s="1"/>
  <c r="K40" i="194"/>
  <c r="M40" i="194" s="1"/>
  <c r="K39" i="194"/>
  <c r="M39" i="194" s="1"/>
  <c r="M33" i="194"/>
  <c r="M32" i="194"/>
  <c r="M31" i="194"/>
  <c r="B102" i="3"/>
  <c r="K48" i="193"/>
  <c r="M48" i="193" s="1"/>
  <c r="K47" i="193"/>
  <c r="M47" i="193" s="1"/>
  <c r="K46" i="193"/>
  <c r="M46" i="193" s="1"/>
  <c r="K45" i="193"/>
  <c r="M45" i="193" s="1"/>
  <c r="K44" i="193"/>
  <c r="M44" i="193" s="1"/>
  <c r="K43" i="193"/>
  <c r="M43" i="193" s="1"/>
  <c r="K42" i="193"/>
  <c r="M42" i="193" s="1"/>
  <c r="K41" i="193"/>
  <c r="K40" i="193"/>
  <c r="M40" i="193" s="1"/>
  <c r="K39" i="193"/>
  <c r="M39" i="193" s="1"/>
  <c r="M31" i="193"/>
  <c r="J61" i="193"/>
  <c r="M61" i="193" s="1"/>
  <c r="M64" i="193" s="1"/>
  <c r="M56" i="193"/>
  <c r="M41" i="193"/>
  <c r="M33" i="193"/>
  <c r="M32" i="193"/>
  <c r="M34" i="193"/>
  <c r="K26" i="193"/>
  <c r="B76" i="3"/>
  <c r="K70" i="205" l="1"/>
  <c r="M48" i="202"/>
  <c r="M34" i="198"/>
  <c r="M48" i="198"/>
  <c r="M43" i="203"/>
  <c r="M48" i="201"/>
  <c r="E109" i="3" s="1"/>
  <c r="F109" i="3" s="1"/>
  <c r="E108" i="3"/>
  <c r="F108" i="3" s="1"/>
  <c r="M47" i="197"/>
  <c r="E107" i="3" s="1"/>
  <c r="F107" i="3" s="1"/>
  <c r="M47" i="195"/>
  <c r="E106" i="3" s="1"/>
  <c r="F106" i="3" s="1"/>
  <c r="K70" i="198"/>
  <c r="E110" i="3"/>
  <c r="F110" i="3" s="1"/>
  <c r="E111" i="3"/>
  <c r="F111" i="3" s="1"/>
  <c r="M34" i="194"/>
  <c r="M46" i="194"/>
  <c r="M49" i="194" s="1"/>
  <c r="M49" i="193"/>
  <c r="Q31" i="179"/>
  <c r="Q30" i="179"/>
  <c r="Q29" i="179"/>
  <c r="Q28" i="179"/>
  <c r="Q27" i="179"/>
  <c r="Q26" i="179"/>
  <c r="Q25" i="179"/>
  <c r="Q24" i="179"/>
  <c r="J59" i="179"/>
  <c r="M59" i="179" s="1"/>
  <c r="M62" i="179" s="1"/>
  <c r="M54" i="179"/>
  <c r="M46" i="179"/>
  <c r="M45" i="179"/>
  <c r="M44" i="179"/>
  <c r="M43" i="179"/>
  <c r="M42" i="179"/>
  <c r="M41" i="179"/>
  <c r="M40" i="179"/>
  <c r="M39" i="179"/>
  <c r="M32" i="179"/>
  <c r="M31" i="179"/>
  <c r="B75" i="3"/>
  <c r="J60" i="176"/>
  <c r="M60" i="176" s="1"/>
  <c r="M63" i="176" s="1"/>
  <c r="M55" i="176"/>
  <c r="M40" i="176"/>
  <c r="M39" i="176"/>
  <c r="M31" i="176"/>
  <c r="M34" i="176" s="1"/>
  <c r="K26" i="176"/>
  <c r="B74" i="3"/>
  <c r="J61" i="174"/>
  <c r="M61" i="174" s="1"/>
  <c r="M64" i="174" s="1"/>
  <c r="M56" i="174"/>
  <c r="M48" i="174"/>
  <c r="M47" i="174"/>
  <c r="M46" i="174"/>
  <c r="M45" i="174"/>
  <c r="M44" i="174"/>
  <c r="M43" i="174"/>
  <c r="M42" i="174"/>
  <c r="M41" i="174"/>
  <c r="M40" i="174"/>
  <c r="M39" i="174"/>
  <c r="M34" i="174"/>
  <c r="K26" i="174"/>
  <c r="K47" i="172"/>
  <c r="M47" i="172" s="1"/>
  <c r="K46" i="172"/>
  <c r="M46" i="172" s="1"/>
  <c r="K45" i="172"/>
  <c r="M45" i="172" s="1"/>
  <c r="K44" i="172"/>
  <c r="M44" i="172" s="1"/>
  <c r="K43" i="172"/>
  <c r="M43" i="172" s="1"/>
  <c r="K41" i="172"/>
  <c r="M41" i="172" s="1"/>
  <c r="K42" i="172"/>
  <c r="K40" i="172"/>
  <c r="M40" i="172" s="1"/>
  <c r="K39" i="172"/>
  <c r="M39" i="172" s="1"/>
  <c r="B73" i="3"/>
  <c r="M42" i="172"/>
  <c r="J61" i="172"/>
  <c r="M61" i="172" s="1"/>
  <c r="M64" i="172" s="1"/>
  <c r="M56" i="172"/>
  <c r="M48" i="172"/>
  <c r="M32" i="172"/>
  <c r="M31" i="172"/>
  <c r="M34" i="172" s="1"/>
  <c r="B72" i="3"/>
  <c r="J60" i="171"/>
  <c r="M60" i="171" s="1"/>
  <c r="M63" i="171" s="1"/>
  <c r="M55" i="171"/>
  <c r="M47" i="171"/>
  <c r="M46" i="171"/>
  <c r="M45" i="171"/>
  <c r="M44" i="171"/>
  <c r="M43" i="171"/>
  <c r="M42" i="171"/>
  <c r="M41" i="171"/>
  <c r="M48" i="171" s="1"/>
  <c r="M40" i="171"/>
  <c r="M39" i="171"/>
  <c r="M32" i="171"/>
  <c r="M31" i="171"/>
  <c r="M34" i="171" s="1"/>
  <c r="B71" i="3"/>
  <c r="M44" i="170"/>
  <c r="M45" i="170"/>
  <c r="M46" i="170"/>
  <c r="M47" i="170"/>
  <c r="J60" i="170"/>
  <c r="M60" i="170" s="1"/>
  <c r="M63" i="170" s="1"/>
  <c r="M55" i="170"/>
  <c r="M43" i="170"/>
  <c r="M42" i="170"/>
  <c r="M41" i="170"/>
  <c r="M40" i="170"/>
  <c r="M39" i="170"/>
  <c r="M32" i="170"/>
  <c r="M31" i="170"/>
  <c r="M34" i="170" s="1"/>
  <c r="G105" i="3" l="1"/>
  <c r="K69" i="205"/>
  <c r="K71" i="205"/>
  <c r="K72" i="205" s="1"/>
  <c r="K64" i="204"/>
  <c r="K65" i="204"/>
  <c r="K66" i="204" s="1"/>
  <c r="K63" i="204"/>
  <c r="K71" i="198"/>
  <c r="M74" i="198" s="1"/>
  <c r="M76" i="198" s="1"/>
  <c r="M49" i="174"/>
  <c r="E74" i="3" s="1"/>
  <c r="F74" i="3" s="1"/>
  <c r="M48" i="176"/>
  <c r="K71" i="193"/>
  <c r="E102" i="3"/>
  <c r="F102" i="3" s="1"/>
  <c r="K72" i="198"/>
  <c r="K73" i="198" s="1"/>
  <c r="K70" i="201"/>
  <c r="K72" i="201"/>
  <c r="K73" i="201" s="1"/>
  <c r="K71" i="201"/>
  <c r="K66" i="203"/>
  <c r="K65" i="203"/>
  <c r="K67" i="203"/>
  <c r="K68" i="203" s="1"/>
  <c r="K69" i="195"/>
  <c r="K71" i="195"/>
  <c r="K72" i="195" s="1"/>
  <c r="K70" i="195"/>
  <c r="K71" i="202"/>
  <c r="K70" i="202"/>
  <c r="K72" i="202"/>
  <c r="K73" i="202" s="1"/>
  <c r="K70" i="197"/>
  <c r="K69" i="197"/>
  <c r="K71" i="197"/>
  <c r="K72" i="197" s="1"/>
  <c r="K73" i="193"/>
  <c r="K74" i="193" s="1"/>
  <c r="K72" i="193"/>
  <c r="M34" i="179"/>
  <c r="M47" i="179"/>
  <c r="E76" i="3" s="1"/>
  <c r="F76" i="3" s="1"/>
  <c r="K71" i="176"/>
  <c r="M49" i="172"/>
  <c r="E73" i="3" s="1"/>
  <c r="F73" i="3" s="1"/>
  <c r="E72" i="3"/>
  <c r="F72" i="3" s="1"/>
  <c r="M48" i="170"/>
  <c r="E71" i="3" s="1"/>
  <c r="F71" i="3" s="1"/>
  <c r="M73" i="205" l="1"/>
  <c r="M75" i="205" s="1"/>
  <c r="M67" i="204"/>
  <c r="M69" i="204" s="1"/>
  <c r="K72" i="194"/>
  <c r="E103" i="3"/>
  <c r="F103" i="3" s="1"/>
  <c r="G101" i="3" s="1"/>
  <c r="K70" i="176"/>
  <c r="E75" i="3"/>
  <c r="F75" i="3" s="1"/>
  <c r="M69" i="203"/>
  <c r="M71" i="203" s="1"/>
  <c r="M74" i="202"/>
  <c r="M76" i="202" s="1"/>
  <c r="M73" i="197"/>
  <c r="M75" i="197" s="1"/>
  <c r="M73" i="195"/>
  <c r="M75" i="195" s="1"/>
  <c r="M74" i="201"/>
  <c r="M76" i="201" s="1"/>
  <c r="K73" i="194"/>
  <c r="K74" i="194" s="1"/>
  <c r="K71" i="194"/>
  <c r="M75" i="193"/>
  <c r="M77" i="193" s="1"/>
  <c r="K69" i="179"/>
  <c r="K71" i="179"/>
  <c r="K72" i="179" s="1"/>
  <c r="K70" i="179"/>
  <c r="K72" i="176"/>
  <c r="K73" i="176" s="1"/>
  <c r="M74" i="176"/>
  <c r="M76" i="176" s="1"/>
  <c r="K72" i="174"/>
  <c r="K71" i="174"/>
  <c r="K73" i="174"/>
  <c r="K74" i="174" s="1"/>
  <c r="K72" i="172"/>
  <c r="K71" i="172"/>
  <c r="K73" i="172"/>
  <c r="K74" i="172" s="1"/>
  <c r="K71" i="171"/>
  <c r="K70" i="171"/>
  <c r="K72" i="171"/>
  <c r="K73" i="171" s="1"/>
  <c r="K71" i="170"/>
  <c r="K70" i="170"/>
  <c r="K72" i="170"/>
  <c r="K73" i="170" s="1"/>
  <c r="M75" i="194" l="1"/>
  <c r="M77" i="194" s="1"/>
  <c r="M73" i="179"/>
  <c r="M75" i="179" s="1"/>
  <c r="M75" i="174"/>
  <c r="M77" i="174" s="1"/>
  <c r="M75" i="172"/>
  <c r="M77" i="172" s="1"/>
  <c r="M74" i="171"/>
  <c r="M76" i="171" s="1"/>
  <c r="M74" i="170"/>
  <c r="M76" i="170" s="1"/>
  <c r="B70" i="3" l="1"/>
  <c r="J60" i="169"/>
  <c r="M60" i="169" s="1"/>
  <c r="M63" i="169" s="1"/>
  <c r="M31" i="169"/>
  <c r="M55" i="169"/>
  <c r="M43" i="169"/>
  <c r="M42" i="169"/>
  <c r="M41" i="169"/>
  <c r="M40" i="169"/>
  <c r="M39" i="169"/>
  <c r="M32" i="169"/>
  <c r="B69" i="3"/>
  <c r="M60" i="168"/>
  <c r="M63" i="168" s="1"/>
  <c r="J60" i="168"/>
  <c r="M55" i="168"/>
  <c r="M43" i="168"/>
  <c r="M42" i="168"/>
  <c r="M41" i="168"/>
  <c r="M40" i="168"/>
  <c r="M39" i="168"/>
  <c r="M32" i="168"/>
  <c r="M31" i="168"/>
  <c r="B68" i="3"/>
  <c r="J60" i="167"/>
  <c r="M60" i="167" s="1"/>
  <c r="M63" i="167" s="1"/>
  <c r="M55" i="167"/>
  <c r="M43" i="167"/>
  <c r="M42" i="167"/>
  <c r="M41" i="167"/>
  <c r="M40" i="167"/>
  <c r="M39" i="167"/>
  <c r="M32" i="167"/>
  <c r="M31" i="167"/>
  <c r="M34" i="167" s="1"/>
  <c r="J60" i="165"/>
  <c r="M60" i="165" s="1"/>
  <c r="M63" i="165" s="1"/>
  <c r="M55" i="165"/>
  <c r="M41" i="165"/>
  <c r="M40" i="165"/>
  <c r="M39" i="165"/>
  <c r="M34" i="165"/>
  <c r="M32" i="165"/>
  <c r="M31" i="165"/>
  <c r="B66" i="3"/>
  <c r="J60" i="164"/>
  <c r="M60" i="164" s="1"/>
  <c r="M63" i="164" s="1"/>
  <c r="M55" i="164"/>
  <c r="M41" i="164"/>
  <c r="M40" i="164"/>
  <c r="M39" i="164"/>
  <c r="M32" i="164"/>
  <c r="M31" i="164"/>
  <c r="B65" i="3"/>
  <c r="M32" i="163"/>
  <c r="J60" i="163"/>
  <c r="M60" i="163" s="1"/>
  <c r="M63" i="163" s="1"/>
  <c r="M55" i="163"/>
  <c r="M41" i="163"/>
  <c r="M40" i="163"/>
  <c r="M39" i="163"/>
  <c r="M31" i="163"/>
  <c r="B64" i="3"/>
  <c r="J60" i="162"/>
  <c r="M60" i="162" s="1"/>
  <c r="M63" i="162" s="1"/>
  <c r="M55" i="162"/>
  <c r="M41" i="162"/>
  <c r="M40" i="162"/>
  <c r="M48" i="162" s="1"/>
  <c r="M39" i="162"/>
  <c r="M34" i="162"/>
  <c r="B63" i="3"/>
  <c r="J61" i="161"/>
  <c r="M61" i="161" s="1"/>
  <c r="M64" i="161" s="1"/>
  <c r="M56" i="161"/>
  <c r="M39" i="161"/>
  <c r="M49" i="161" s="1"/>
  <c r="M34" i="161"/>
  <c r="K26" i="161"/>
  <c r="M34" i="169" l="1"/>
  <c r="E63" i="3"/>
  <c r="F63" i="3" s="1"/>
  <c r="M34" i="168"/>
  <c r="M48" i="163"/>
  <c r="M34" i="164"/>
  <c r="M48" i="165"/>
  <c r="M48" i="169"/>
  <c r="E70" i="3" s="1"/>
  <c r="F70" i="3" s="1"/>
  <c r="M48" i="168"/>
  <c r="M48" i="167"/>
  <c r="E68" i="3" s="1"/>
  <c r="F68" i="3" s="1"/>
  <c r="M48" i="164"/>
  <c r="E66" i="3" s="1"/>
  <c r="F66" i="3" s="1"/>
  <c r="M34" i="163"/>
  <c r="K72" i="161"/>
  <c r="K71" i="161"/>
  <c r="K73" i="161"/>
  <c r="K74" i="161" s="1"/>
  <c r="K72" i="168" l="1"/>
  <c r="K73" i="168" s="1"/>
  <c r="E69" i="3"/>
  <c r="F69" i="3" s="1"/>
  <c r="K72" i="165"/>
  <c r="K73" i="165" s="1"/>
  <c r="E67" i="3"/>
  <c r="F67" i="3" s="1"/>
  <c r="K70" i="165"/>
  <c r="K71" i="165"/>
  <c r="K71" i="162"/>
  <c r="E64" i="3"/>
  <c r="F64" i="3" s="1"/>
  <c r="E65" i="3"/>
  <c r="F65" i="3" s="1"/>
  <c r="K71" i="169"/>
  <c r="K70" i="169"/>
  <c r="K72" i="169"/>
  <c r="K73" i="169" s="1"/>
  <c r="K70" i="168"/>
  <c r="K71" i="168"/>
  <c r="K72" i="167"/>
  <c r="K73" i="167" s="1"/>
  <c r="K71" i="167"/>
  <c r="K70" i="167"/>
  <c r="K70" i="164"/>
  <c r="K71" i="164"/>
  <c r="K72" i="164"/>
  <c r="K73" i="164" s="1"/>
  <c r="K72" i="163"/>
  <c r="K73" i="163" s="1"/>
  <c r="K70" i="163"/>
  <c r="K71" i="163"/>
  <c r="K72" i="162"/>
  <c r="K73" i="162" s="1"/>
  <c r="K70" i="162"/>
  <c r="M75" i="161"/>
  <c r="M77" i="161" s="1"/>
  <c r="M74" i="165" l="1"/>
  <c r="M76" i="165" s="1"/>
  <c r="G62" i="3"/>
  <c r="M74" i="169"/>
  <c r="M76" i="169" s="1"/>
  <c r="M74" i="168"/>
  <c r="M76" i="168" s="1"/>
  <c r="M74" i="167"/>
  <c r="M76" i="167" s="1"/>
  <c r="M74" i="164"/>
  <c r="M76" i="164" s="1"/>
  <c r="M74" i="163"/>
  <c r="M76" i="163" s="1"/>
  <c r="M74" i="162"/>
  <c r="M76" i="162" s="1"/>
  <c r="C61" i="3" l="1"/>
  <c r="B61" i="3"/>
  <c r="C60" i="3"/>
  <c r="B60" i="3"/>
  <c r="C59" i="3"/>
  <c r="B59" i="3"/>
  <c r="B58" i="3"/>
  <c r="J59" i="160"/>
  <c r="M59" i="160" s="1"/>
  <c r="M62" i="160" s="1"/>
  <c r="M54" i="160"/>
  <c r="M45" i="160"/>
  <c r="M44" i="160"/>
  <c r="M43" i="160"/>
  <c r="M42" i="160"/>
  <c r="M41" i="160"/>
  <c r="M40" i="160"/>
  <c r="M39" i="160"/>
  <c r="M38" i="160"/>
  <c r="M47" i="160" s="1"/>
  <c r="M31" i="160"/>
  <c r="M33" i="160" s="1"/>
  <c r="J59" i="159"/>
  <c r="M59" i="159" s="1"/>
  <c r="M62" i="159" s="1"/>
  <c r="M54" i="159"/>
  <c r="M45" i="159"/>
  <c r="M44" i="159"/>
  <c r="M43" i="159"/>
  <c r="M42" i="159"/>
  <c r="M41" i="159"/>
  <c r="M40" i="159"/>
  <c r="M39" i="159"/>
  <c r="M38" i="159"/>
  <c r="M47" i="159" s="1"/>
  <c r="M31" i="159"/>
  <c r="M33" i="159" s="1"/>
  <c r="J59" i="158"/>
  <c r="M59" i="158" s="1"/>
  <c r="M62" i="158" s="1"/>
  <c r="M54" i="158"/>
  <c r="M45" i="158"/>
  <c r="M44" i="158"/>
  <c r="M43" i="158"/>
  <c r="M42" i="158"/>
  <c r="M41" i="158"/>
  <c r="M40" i="158"/>
  <c r="M39" i="158"/>
  <c r="M38" i="158"/>
  <c r="M47" i="158" s="1"/>
  <c r="M31" i="158"/>
  <c r="M33" i="158" s="1"/>
  <c r="J59" i="157"/>
  <c r="M59" i="157" s="1"/>
  <c r="M62" i="157" s="1"/>
  <c r="M54" i="157"/>
  <c r="M45" i="157"/>
  <c r="M44" i="157"/>
  <c r="M43" i="157"/>
  <c r="M42" i="157"/>
  <c r="M41" i="157"/>
  <c r="M40" i="157"/>
  <c r="M39" i="157"/>
  <c r="M38" i="157"/>
  <c r="M47" i="157" s="1"/>
  <c r="M31" i="157"/>
  <c r="M33" i="157" s="1"/>
  <c r="K26" i="157"/>
  <c r="C19" i="3"/>
  <c r="J56" i="155"/>
  <c r="M56" i="155" s="1"/>
  <c r="M51" i="155"/>
  <c r="M44" i="155"/>
  <c r="M31" i="155"/>
  <c r="M34" i="155" s="1"/>
  <c r="B54" i="3"/>
  <c r="M33" i="153"/>
  <c r="M31" i="153"/>
  <c r="J60" i="153"/>
  <c r="M60" i="153" s="1"/>
  <c r="M63" i="153" s="1"/>
  <c r="M55" i="153"/>
  <c r="M44" i="153"/>
  <c r="M43" i="153"/>
  <c r="M42" i="153"/>
  <c r="M41" i="153"/>
  <c r="M40" i="153"/>
  <c r="M39" i="153"/>
  <c r="M32" i="153"/>
  <c r="E59" i="3" l="1"/>
  <c r="F59" i="3" s="1"/>
  <c r="E61" i="3"/>
  <c r="F61" i="3" s="1"/>
  <c r="E60" i="3"/>
  <c r="F60" i="3" s="1"/>
  <c r="K71" i="158"/>
  <c r="K72" i="158" s="1"/>
  <c r="K70" i="158"/>
  <c r="K69" i="158"/>
  <c r="E58" i="3"/>
  <c r="F58" i="3" s="1"/>
  <c r="M59" i="155"/>
  <c r="E19" i="3" s="1"/>
  <c r="F19" i="3" s="1"/>
  <c r="M34" i="153"/>
  <c r="M48" i="153"/>
  <c r="E54" i="3" s="1"/>
  <c r="F54" i="3" s="1"/>
  <c r="G57" i="3" l="1"/>
  <c r="M73" i="158"/>
  <c r="M75" i="158" s="1"/>
  <c r="K69" i="160"/>
  <c r="K71" i="160"/>
  <c r="K72" i="160" s="1"/>
  <c r="K70" i="160"/>
  <c r="K71" i="159"/>
  <c r="K72" i="159" s="1"/>
  <c r="K70" i="159"/>
  <c r="K69" i="159"/>
  <c r="K70" i="157"/>
  <c r="K69" i="157"/>
  <c r="K71" i="157"/>
  <c r="K72" i="157" s="1"/>
  <c r="K67" i="155"/>
  <c r="K66" i="155"/>
  <c r="K68" i="155"/>
  <c r="K69" i="155" s="1"/>
  <c r="K72" i="153"/>
  <c r="K73" i="153" s="1"/>
  <c r="K71" i="153"/>
  <c r="K70" i="153"/>
  <c r="M73" i="159" l="1"/>
  <c r="M75" i="159" s="1"/>
  <c r="M73" i="160"/>
  <c r="M75" i="160" s="1"/>
  <c r="M73" i="157"/>
  <c r="M75" i="157" s="1"/>
  <c r="M70" i="155"/>
  <c r="M72" i="155" s="1"/>
  <c r="M74" i="153"/>
  <c r="M76" i="153" s="1"/>
  <c r="B53" i="3" l="1"/>
  <c r="K47" i="152"/>
  <c r="M47" i="152" s="1"/>
  <c r="K46" i="152"/>
  <c r="M46" i="152" s="1"/>
  <c r="K45" i="152"/>
  <c r="M45" i="152" s="1"/>
  <c r="K44" i="152"/>
  <c r="M44" i="152" s="1"/>
  <c r="K43" i="152"/>
  <c r="K42" i="152"/>
  <c r="M36" i="152"/>
  <c r="M32" i="152"/>
  <c r="M33" i="152"/>
  <c r="M34" i="152"/>
  <c r="M35" i="152"/>
  <c r="J63" i="152"/>
  <c r="M63" i="152" s="1"/>
  <c r="M66" i="152" s="1"/>
  <c r="M58" i="152"/>
  <c r="M43" i="152"/>
  <c r="M42" i="152"/>
  <c r="M51" i="152" l="1"/>
  <c r="M31" i="152"/>
  <c r="M37" i="152" s="1"/>
  <c r="J58" i="151"/>
  <c r="M58" i="151" s="1"/>
  <c r="M61" i="151" s="1"/>
  <c r="M53" i="151"/>
  <c r="M38" i="151"/>
  <c r="M33" i="151"/>
  <c r="M46" i="151" l="1"/>
  <c r="B52" i="3"/>
  <c r="M33" i="150"/>
  <c r="M32" i="150"/>
  <c r="J60" i="150"/>
  <c r="M60" i="150" s="1"/>
  <c r="M63" i="150" s="1"/>
  <c r="J31" i="150" s="1"/>
  <c r="M31" i="150" s="1"/>
  <c r="M55" i="150"/>
  <c r="M40" i="150"/>
  <c r="M39" i="150"/>
  <c r="M48" i="150" l="1"/>
  <c r="K73" i="152"/>
  <c r="F53" i="3"/>
  <c r="K74" i="152"/>
  <c r="K75" i="152"/>
  <c r="K76" i="152" s="1"/>
  <c r="K69" i="151"/>
  <c r="K70" i="151"/>
  <c r="K71" i="151" s="1"/>
  <c r="K68" i="151"/>
  <c r="M34" i="150"/>
  <c r="M72" i="151" l="1"/>
  <c r="M74" i="151" s="1"/>
  <c r="M77" i="152"/>
  <c r="M79" i="152" s="1"/>
  <c r="K72" i="150"/>
  <c r="K73" i="150" s="1"/>
  <c r="E52" i="3"/>
  <c r="F52" i="3" s="1"/>
  <c r="K70" i="150"/>
  <c r="K71" i="150"/>
  <c r="M74" i="150" l="1"/>
  <c r="M76" i="150" s="1"/>
  <c r="B51" i="3" l="1"/>
  <c r="M39" i="148"/>
  <c r="J59" i="148"/>
  <c r="M59" i="148" s="1"/>
  <c r="M62" i="148" s="1"/>
  <c r="M54" i="148"/>
  <c r="M38" i="148"/>
  <c r="M33" i="148"/>
  <c r="B48" i="3"/>
  <c r="H59" i="147"/>
  <c r="J59" i="147" s="1"/>
  <c r="M59" i="147" s="1"/>
  <c r="M62" i="147" s="1"/>
  <c r="E48" i="3" s="1"/>
  <c r="F48" i="3" s="1"/>
  <c r="M54" i="147"/>
  <c r="M40" i="147"/>
  <c r="M38" i="147"/>
  <c r="M47" i="147" s="1"/>
  <c r="M31" i="147"/>
  <c r="M33" i="147" s="1"/>
  <c r="B47" i="3"/>
  <c r="H59" i="144"/>
  <c r="J59" i="144" s="1"/>
  <c r="M59" i="144" s="1"/>
  <c r="M62" i="144" s="1"/>
  <c r="M31" i="144"/>
  <c r="M33" i="144" s="1"/>
  <c r="M54" i="144"/>
  <c r="M40" i="144"/>
  <c r="M39" i="144"/>
  <c r="M38" i="144"/>
  <c r="B46" i="3"/>
  <c r="M39" i="143"/>
  <c r="M40" i="143"/>
  <c r="M38" i="143"/>
  <c r="J59" i="143"/>
  <c r="M59" i="143" s="1"/>
  <c r="M62" i="143" s="1"/>
  <c r="M54" i="143"/>
  <c r="M33" i="143"/>
  <c r="B45" i="3"/>
  <c r="J59" i="142"/>
  <c r="M59" i="142" s="1"/>
  <c r="M62" i="142" s="1"/>
  <c r="J31" i="142" s="1"/>
  <c r="M31" i="142" s="1"/>
  <c r="M33" i="142" s="1"/>
  <c r="E45" i="3" s="1"/>
  <c r="F45" i="3" s="1"/>
  <c r="M54" i="142"/>
  <c r="M38" i="142"/>
  <c r="M47" i="142" s="1"/>
  <c r="M26" i="142"/>
  <c r="K26" i="142"/>
  <c r="B44" i="3"/>
  <c r="J59" i="141"/>
  <c r="M59" i="141" s="1"/>
  <c r="M62" i="141" s="1"/>
  <c r="J31" i="141" s="1"/>
  <c r="M31" i="141" s="1"/>
  <c r="M33" i="141" s="1"/>
  <c r="M54" i="141"/>
  <c r="M38" i="141"/>
  <c r="M47" i="141" s="1"/>
  <c r="K26" i="141"/>
  <c r="B43" i="3"/>
  <c r="J59" i="140"/>
  <c r="M59" i="140" s="1"/>
  <c r="M62" i="140" s="1"/>
  <c r="M54" i="140"/>
  <c r="M38" i="140"/>
  <c r="M47" i="140" s="1"/>
  <c r="M32" i="140"/>
  <c r="M31" i="140"/>
  <c r="P26" i="140"/>
  <c r="B42" i="3"/>
  <c r="M38" i="139"/>
  <c r="M47" i="139" s="1"/>
  <c r="J59" i="139"/>
  <c r="M59" i="139" s="1"/>
  <c r="M62" i="139" s="1"/>
  <c r="M54" i="139"/>
  <c r="M32" i="139"/>
  <c r="M33" i="139" s="1"/>
  <c r="M31" i="139"/>
  <c r="P26" i="139"/>
  <c r="B41" i="3"/>
  <c r="J59" i="138"/>
  <c r="M59" i="138" s="1"/>
  <c r="M62" i="138" s="1"/>
  <c r="M54" i="138"/>
  <c r="M42" i="138"/>
  <c r="M41" i="138"/>
  <c r="M40" i="138"/>
  <c r="M39" i="138"/>
  <c r="M38" i="138"/>
  <c r="M33" i="138"/>
  <c r="B40" i="3"/>
  <c r="M42" i="137"/>
  <c r="J59" i="137"/>
  <c r="M59" i="137" s="1"/>
  <c r="M62" i="137" s="1"/>
  <c r="M54" i="137"/>
  <c r="M41" i="137"/>
  <c r="M40" i="137"/>
  <c r="M39" i="137"/>
  <c r="M38" i="137"/>
  <c r="M33" i="137"/>
  <c r="C37" i="3"/>
  <c r="B37" i="3"/>
  <c r="E44" i="3" l="1"/>
  <c r="F44" i="3" s="1"/>
  <c r="M33" i="140"/>
  <c r="E43" i="3" s="1"/>
  <c r="F43" i="3" s="1"/>
  <c r="M47" i="148"/>
  <c r="E51" i="3" s="1"/>
  <c r="F51" i="3" s="1"/>
  <c r="G49" i="3" s="1"/>
  <c r="M47" i="144"/>
  <c r="M47" i="143"/>
  <c r="E46" i="3" s="1"/>
  <c r="F46" i="3" s="1"/>
  <c r="K71" i="142"/>
  <c r="K72" i="142" s="1"/>
  <c r="K70" i="142"/>
  <c r="K69" i="142"/>
  <c r="K71" i="141"/>
  <c r="K72" i="141" s="1"/>
  <c r="K70" i="141"/>
  <c r="K69" i="141"/>
  <c r="M47" i="138"/>
  <c r="M47" i="137"/>
  <c r="E40" i="3" s="1"/>
  <c r="F40" i="3" s="1"/>
  <c r="J59" i="136"/>
  <c r="M59" i="136" s="1"/>
  <c r="M62" i="136" s="1"/>
  <c r="M54" i="136"/>
  <c r="M38" i="136"/>
  <c r="M32" i="136"/>
  <c r="M31" i="136"/>
  <c r="C36" i="3"/>
  <c r="B36" i="3"/>
  <c r="J46" i="135"/>
  <c r="J45" i="135"/>
  <c r="J43" i="135"/>
  <c r="J42" i="135"/>
  <c r="M42" i="135" s="1"/>
  <c r="J41" i="135"/>
  <c r="J40" i="135"/>
  <c r="M40" i="135" s="1"/>
  <c r="J59" i="135"/>
  <c r="M54" i="135"/>
  <c r="M46" i="135"/>
  <c r="M45" i="135"/>
  <c r="M44" i="135"/>
  <c r="M43" i="135"/>
  <c r="M41" i="135"/>
  <c r="M39" i="135"/>
  <c r="M38" i="135"/>
  <c r="M32" i="135"/>
  <c r="M31" i="135"/>
  <c r="C35" i="3"/>
  <c r="B35" i="3"/>
  <c r="J59" i="133"/>
  <c r="M59" i="133" s="1"/>
  <c r="M62" i="133" s="1"/>
  <c r="M54" i="133"/>
  <c r="M46" i="133"/>
  <c r="M45" i="133"/>
  <c r="M44" i="133"/>
  <c r="M43" i="133"/>
  <c r="M42" i="133"/>
  <c r="M41" i="133"/>
  <c r="M40" i="133"/>
  <c r="M39" i="133"/>
  <c r="M38" i="133"/>
  <c r="M32" i="133"/>
  <c r="M31" i="133"/>
  <c r="M33" i="133" s="1"/>
  <c r="C34" i="3"/>
  <c r="B34" i="3"/>
  <c r="M42" i="132"/>
  <c r="M43" i="132"/>
  <c r="M44" i="132"/>
  <c r="M45" i="132"/>
  <c r="J59" i="132"/>
  <c r="M59" i="132" s="1"/>
  <c r="M62" i="132" s="1"/>
  <c r="M54" i="132"/>
  <c r="M46" i="132"/>
  <c r="M41" i="132"/>
  <c r="M40" i="132"/>
  <c r="M39" i="132"/>
  <c r="M38" i="132"/>
  <c r="M32" i="132"/>
  <c r="M33" i="136" l="1"/>
  <c r="M33" i="135"/>
  <c r="K69" i="138"/>
  <c r="E41" i="3"/>
  <c r="F41" i="3" s="1"/>
  <c r="E47" i="3"/>
  <c r="F47" i="3" s="1"/>
  <c r="M73" i="142"/>
  <c r="M75" i="142" s="1"/>
  <c r="K69" i="148"/>
  <c r="K71" i="148"/>
  <c r="K72" i="148" s="1"/>
  <c r="K70" i="148"/>
  <c r="K70" i="147"/>
  <c r="K71" i="147"/>
  <c r="K72" i="147" s="1"/>
  <c r="K69" i="147"/>
  <c r="K69" i="144"/>
  <c r="K70" i="143"/>
  <c r="K71" i="143"/>
  <c r="K72" i="143" s="1"/>
  <c r="K69" i="143"/>
  <c r="M73" i="141"/>
  <c r="M75" i="141" s="1"/>
  <c r="K70" i="139"/>
  <c r="E42" i="3"/>
  <c r="F42" i="3" s="1"/>
  <c r="K70" i="140"/>
  <c r="K71" i="140"/>
  <c r="K72" i="140" s="1"/>
  <c r="K69" i="140"/>
  <c r="K71" i="139"/>
  <c r="K72" i="139" s="1"/>
  <c r="K69" i="139"/>
  <c r="K70" i="138"/>
  <c r="K71" i="138"/>
  <c r="K72" i="138" s="1"/>
  <c r="K70" i="137"/>
  <c r="K69" i="137"/>
  <c r="K71" i="137"/>
  <c r="K72" i="137" s="1"/>
  <c r="M47" i="136"/>
  <c r="E37" i="3" s="1"/>
  <c r="F37" i="3" s="1"/>
  <c r="M59" i="135"/>
  <c r="M62" i="135" s="1"/>
  <c r="M47" i="135"/>
  <c r="M47" i="133"/>
  <c r="E35" i="3" s="1"/>
  <c r="F35" i="3" s="1"/>
  <c r="M47" i="132"/>
  <c r="M31" i="132"/>
  <c r="M33" i="132" s="1"/>
  <c r="G39" i="3" l="1"/>
  <c r="K71" i="144"/>
  <c r="K72" i="144" s="1"/>
  <c r="E34" i="3"/>
  <c r="F34" i="3" s="1"/>
  <c r="K70" i="144"/>
  <c r="M73" i="144" s="1"/>
  <c r="M75" i="144" s="1"/>
  <c r="M73" i="148"/>
  <c r="M75" i="148" s="1"/>
  <c r="M73" i="147"/>
  <c r="M75" i="147" s="1"/>
  <c r="M73" i="143"/>
  <c r="M75" i="143" s="1"/>
  <c r="M73" i="140"/>
  <c r="M75" i="140" s="1"/>
  <c r="M73" i="139"/>
  <c r="M75" i="139" s="1"/>
  <c r="M73" i="138"/>
  <c r="M75" i="138" s="1"/>
  <c r="M73" i="137"/>
  <c r="M75" i="137" s="1"/>
  <c r="K70" i="136"/>
  <c r="K71" i="136"/>
  <c r="K72" i="136" s="1"/>
  <c r="K69" i="136"/>
  <c r="K70" i="133"/>
  <c r="K71" i="133"/>
  <c r="K72" i="133" s="1"/>
  <c r="K69" i="133"/>
  <c r="K70" i="132"/>
  <c r="K69" i="132"/>
  <c r="K71" i="132"/>
  <c r="K72" i="132" s="1"/>
  <c r="K70" i="135" l="1"/>
  <c r="E36" i="3"/>
  <c r="F36" i="3" s="1"/>
  <c r="M73" i="136"/>
  <c r="M75" i="136" s="1"/>
  <c r="K71" i="135"/>
  <c r="K72" i="135" s="1"/>
  <c r="K69" i="135"/>
  <c r="M73" i="133"/>
  <c r="M75" i="133" s="1"/>
  <c r="M73" i="132"/>
  <c r="M75" i="132" s="1"/>
  <c r="M73" i="135" l="1"/>
  <c r="M75" i="135" s="1"/>
  <c r="C33" i="3" l="1"/>
  <c r="B33" i="3"/>
  <c r="M39" i="131"/>
  <c r="M40" i="131"/>
  <c r="M41" i="131"/>
  <c r="M42" i="131"/>
  <c r="M32" i="131"/>
  <c r="J55" i="131" l="1"/>
  <c r="M55" i="131" s="1"/>
  <c r="M58" i="131" s="1"/>
  <c r="J31" i="131" s="1"/>
  <c r="M31" i="131" s="1"/>
  <c r="M33" i="131" s="1"/>
  <c r="M50" i="131"/>
  <c r="M38" i="131"/>
  <c r="M43" i="131" l="1"/>
  <c r="E33" i="3" s="1"/>
  <c r="F33" i="3" s="1"/>
  <c r="K66" i="131" l="1"/>
  <c r="K65" i="131"/>
  <c r="K67" i="131"/>
  <c r="K68" i="131" s="1"/>
  <c r="M69" i="131" l="1"/>
  <c r="M71" i="131" s="1"/>
  <c r="C32" i="3" l="1"/>
  <c r="B32" i="3"/>
  <c r="M38" i="130"/>
  <c r="M39" i="130"/>
  <c r="J55" i="130"/>
  <c r="M55" i="130" s="1"/>
  <c r="M58" i="130" s="1"/>
  <c r="M50" i="130"/>
  <c r="M42" i="130"/>
  <c r="M41" i="130"/>
  <c r="M40" i="130"/>
  <c r="M33" i="130"/>
  <c r="C31" i="3"/>
  <c r="B31" i="3"/>
  <c r="J55" i="129"/>
  <c r="M55" i="129" s="1"/>
  <c r="M58" i="129" s="1"/>
  <c r="M50" i="129"/>
  <c r="M42" i="129"/>
  <c r="M41" i="129"/>
  <c r="M40" i="129"/>
  <c r="M39" i="129"/>
  <c r="M38" i="129"/>
  <c r="M33" i="129"/>
  <c r="B30" i="3"/>
  <c r="J55" i="128"/>
  <c r="M55" i="128" s="1"/>
  <c r="M58" i="128" s="1"/>
  <c r="M50" i="128"/>
  <c r="M42" i="128"/>
  <c r="M41" i="128"/>
  <c r="M40" i="128"/>
  <c r="M39" i="128"/>
  <c r="M38" i="128"/>
  <c r="M43" i="128" s="1"/>
  <c r="M33" i="128"/>
  <c r="K26" i="128"/>
  <c r="C30" i="3" s="1"/>
  <c r="C29" i="3"/>
  <c r="B29" i="3"/>
  <c r="M40" i="127"/>
  <c r="M39" i="127"/>
  <c r="M38" i="127"/>
  <c r="M47" i="127" s="1"/>
  <c r="J59" i="127"/>
  <c r="M59" i="127" s="1"/>
  <c r="M62" i="127" s="1"/>
  <c r="M54" i="127"/>
  <c r="M33" i="127"/>
  <c r="C28" i="3"/>
  <c r="B28" i="3"/>
  <c r="J59" i="126"/>
  <c r="M59" i="126" s="1"/>
  <c r="M62" i="126" s="1"/>
  <c r="M54" i="126"/>
  <c r="M38" i="126"/>
  <c r="M47" i="126" s="1"/>
  <c r="M33" i="126"/>
  <c r="C27" i="3"/>
  <c r="B27" i="3"/>
  <c r="J59" i="125"/>
  <c r="M59" i="125" s="1"/>
  <c r="M62" i="125" s="1"/>
  <c r="M54" i="125"/>
  <c r="M38" i="125"/>
  <c r="M47" i="125" s="1"/>
  <c r="M33" i="125"/>
  <c r="B26" i="3"/>
  <c r="B25" i="3"/>
  <c r="J59" i="124"/>
  <c r="M59" i="124" s="1"/>
  <c r="M62" i="124" s="1"/>
  <c r="M54" i="124"/>
  <c r="M38" i="124"/>
  <c r="M47" i="124" s="1"/>
  <c r="M33" i="124"/>
  <c r="K26" i="124"/>
  <c r="C26" i="3" s="1"/>
  <c r="J59" i="123"/>
  <c r="M59" i="123" s="1"/>
  <c r="M62" i="123" s="1"/>
  <c r="M54" i="123"/>
  <c r="M38" i="123"/>
  <c r="M47" i="123" s="1"/>
  <c r="M33" i="123"/>
  <c r="K26" i="123"/>
  <c r="C25" i="3" s="1"/>
  <c r="E25" i="3" l="1"/>
  <c r="F25" i="3" s="1"/>
  <c r="E26" i="3"/>
  <c r="F26" i="3" s="1"/>
  <c r="E30" i="3"/>
  <c r="F30" i="3" s="1"/>
  <c r="M43" i="129"/>
  <c r="M43" i="130"/>
  <c r="K67" i="128"/>
  <c r="K68" i="128" s="1"/>
  <c r="K69" i="123"/>
  <c r="K71" i="123"/>
  <c r="K72" i="123" s="1"/>
  <c r="K70" i="124" l="1"/>
  <c r="E31" i="3"/>
  <c r="F31" i="3" s="1"/>
  <c r="K67" i="129"/>
  <c r="K68" i="129" s="1"/>
  <c r="K66" i="129"/>
  <c r="K65" i="129"/>
  <c r="K70" i="125"/>
  <c r="E27" i="3"/>
  <c r="F27" i="3" s="1"/>
  <c r="K65" i="128"/>
  <c r="M69" i="128" s="1"/>
  <c r="M71" i="128" s="1"/>
  <c r="K71" i="126"/>
  <c r="K72" i="126" s="1"/>
  <c r="E28" i="3"/>
  <c r="F28" i="3" s="1"/>
  <c r="K65" i="130"/>
  <c r="E32" i="3"/>
  <c r="F32" i="3" s="1"/>
  <c r="K69" i="124"/>
  <c r="K71" i="127"/>
  <c r="K72" i="127" s="1"/>
  <c r="E29" i="3"/>
  <c r="F29" i="3" s="1"/>
  <c r="K71" i="124"/>
  <c r="K72" i="124" s="1"/>
  <c r="K70" i="123"/>
  <c r="M73" i="123" s="1"/>
  <c r="M75" i="123" s="1"/>
  <c r="K66" i="128"/>
  <c r="K67" i="130"/>
  <c r="K68" i="130" s="1"/>
  <c r="K66" i="130"/>
  <c r="K70" i="127"/>
  <c r="K69" i="127"/>
  <c r="K69" i="126"/>
  <c r="K70" i="126"/>
  <c r="K71" i="125"/>
  <c r="K72" i="125" s="1"/>
  <c r="K69" i="125"/>
  <c r="M73" i="125"/>
  <c r="M75" i="125" s="1"/>
  <c r="M73" i="127" l="1"/>
  <c r="M75" i="127" s="1"/>
  <c r="M73" i="124"/>
  <c r="M75" i="124" s="1"/>
  <c r="M69" i="129"/>
  <c r="M71" i="129" s="1"/>
  <c r="M69" i="130"/>
  <c r="M71" i="130" s="1"/>
  <c r="M73" i="126"/>
  <c r="M75" i="126" s="1"/>
  <c r="B24" i="3" l="1"/>
  <c r="J60" i="121" l="1"/>
  <c r="M60" i="121" s="1"/>
  <c r="M63" i="121" s="1"/>
  <c r="M55" i="121"/>
  <c r="M41" i="121"/>
  <c r="M40" i="121"/>
  <c r="M39" i="121"/>
  <c r="M34" i="121"/>
  <c r="K26" i="121"/>
  <c r="C24" i="3" s="1"/>
  <c r="B23" i="3"/>
  <c r="J60" i="120"/>
  <c r="M60" i="120" s="1"/>
  <c r="M63" i="120" s="1"/>
  <c r="M55" i="120"/>
  <c r="M42" i="120"/>
  <c r="M41" i="120"/>
  <c r="M40" i="120"/>
  <c r="M39" i="120"/>
  <c r="M34" i="120"/>
  <c r="K26" i="120"/>
  <c r="C23" i="3" s="1"/>
  <c r="C18" i="3"/>
  <c r="B18" i="3"/>
  <c r="M33" i="119"/>
  <c r="J56" i="119"/>
  <c r="M56" i="119" s="1"/>
  <c r="M59" i="119" s="1"/>
  <c r="M51" i="119"/>
  <c r="M44" i="119"/>
  <c r="M34" i="119" l="1"/>
  <c r="M48" i="120"/>
  <c r="M65" i="120"/>
  <c r="E23" i="3" s="1"/>
  <c r="F23" i="3" s="1"/>
  <c r="M48" i="121"/>
  <c r="E24" i="3" s="1"/>
  <c r="F24" i="3" s="1"/>
  <c r="K70" i="120"/>
  <c r="K72" i="120"/>
  <c r="K73" i="120" s="1"/>
  <c r="J32" i="119"/>
  <c r="E18" i="3"/>
  <c r="F18" i="3" s="1"/>
  <c r="G22" i="3" l="1"/>
  <c r="K71" i="120"/>
  <c r="K72" i="121"/>
  <c r="K73" i="121" s="1"/>
  <c r="K71" i="121"/>
  <c r="K70" i="121"/>
  <c r="M74" i="120"/>
  <c r="M76" i="120" s="1"/>
  <c r="K67" i="119"/>
  <c r="K68" i="119"/>
  <c r="K69" i="119" s="1"/>
  <c r="K66" i="119"/>
  <c r="M74" i="121" l="1"/>
  <c r="M76" i="121" s="1"/>
  <c r="M70" i="119"/>
  <c r="M72" i="119" s="1"/>
  <c r="B17" i="3" l="1"/>
  <c r="J55" i="118"/>
  <c r="M55" i="118" s="1"/>
  <c r="M58" i="118" s="1"/>
  <c r="M50" i="118"/>
  <c r="M42" i="118"/>
  <c r="M41" i="118"/>
  <c r="M40" i="118"/>
  <c r="M39" i="118"/>
  <c r="M38" i="118"/>
  <c r="M33" i="118"/>
  <c r="K26" i="118"/>
  <c r="C17" i="3" s="1"/>
  <c r="C16" i="3"/>
  <c r="B16" i="3"/>
  <c r="J55" i="116"/>
  <c r="M55" i="116" s="1"/>
  <c r="M56" i="116" s="1"/>
  <c r="M31" i="116"/>
  <c r="M33" i="116" s="1"/>
  <c r="M50" i="116"/>
  <c r="M43" i="116"/>
  <c r="C15" i="3"/>
  <c r="M38" i="115"/>
  <c r="J55" i="115"/>
  <c r="M55" i="115" s="1"/>
  <c r="M56" i="115" s="1"/>
  <c r="M50" i="115"/>
  <c r="M33" i="115"/>
  <c r="C14" i="3"/>
  <c r="B14" i="3"/>
  <c r="J55" i="114"/>
  <c r="M55" i="114" s="1"/>
  <c r="M56" i="114" s="1"/>
  <c r="M50" i="114"/>
  <c r="M43" i="114"/>
  <c r="M31" i="114"/>
  <c r="M33" i="114" s="1"/>
  <c r="C13" i="3"/>
  <c r="B13" i="3"/>
  <c r="M43" i="115" l="1"/>
  <c r="M43" i="118"/>
  <c r="E14" i="3"/>
  <c r="F14" i="3" s="1"/>
  <c r="E17" i="3" l="1"/>
  <c r="F17" i="3" s="1"/>
  <c r="K67" i="118"/>
  <c r="K68" i="118" s="1"/>
  <c r="K65" i="118"/>
  <c r="K66" i="118"/>
  <c r="K65" i="115"/>
  <c r="K66" i="115" s="1"/>
  <c r="E15" i="3"/>
  <c r="F15" i="3" s="1"/>
  <c r="K63" i="116"/>
  <c r="E16" i="3"/>
  <c r="F16" i="3" s="1"/>
  <c r="K64" i="116"/>
  <c r="K65" i="116"/>
  <c r="K66" i="116" s="1"/>
  <c r="K63" i="115"/>
  <c r="K64" i="115"/>
  <c r="K65" i="114"/>
  <c r="K66" i="114" s="1"/>
  <c r="K64" i="114"/>
  <c r="K63" i="114"/>
  <c r="M69" i="118" l="1"/>
  <c r="M71" i="118" s="1"/>
  <c r="M67" i="116"/>
  <c r="M69" i="116" s="1"/>
  <c r="M67" i="115"/>
  <c r="M69" i="115" s="1"/>
  <c r="M67" i="114"/>
  <c r="M69" i="114" s="1"/>
  <c r="J55" i="113" l="1"/>
  <c r="M55" i="113" s="1"/>
  <c r="M56" i="113" s="1"/>
  <c r="M50" i="113"/>
  <c r="M43" i="113"/>
  <c r="M31" i="113"/>
  <c r="M33" i="113" s="1"/>
  <c r="C12" i="3"/>
  <c r="B12" i="3"/>
  <c r="J55" i="112"/>
  <c r="M55" i="112" s="1"/>
  <c r="M56" i="112" s="1"/>
  <c r="M50" i="112"/>
  <c r="M43" i="112"/>
  <c r="M31" i="112"/>
  <c r="M33" i="112" s="1"/>
  <c r="C11" i="3"/>
  <c r="B11" i="3"/>
  <c r="J55" i="111"/>
  <c r="M55" i="111" s="1"/>
  <c r="M56" i="111" s="1"/>
  <c r="M50" i="111"/>
  <c r="M43" i="111"/>
  <c r="M31" i="111"/>
  <c r="M33" i="111" s="1"/>
  <c r="C10" i="3"/>
  <c r="B10" i="3"/>
  <c r="J55" i="110"/>
  <c r="M55" i="110" s="1"/>
  <c r="M56" i="110" s="1"/>
  <c r="M50" i="110"/>
  <c r="M43" i="110"/>
  <c r="M31" i="110"/>
  <c r="M33" i="110" s="1"/>
  <c r="C9" i="3"/>
  <c r="B9" i="3"/>
  <c r="J55" i="109"/>
  <c r="M55" i="109" s="1"/>
  <c r="M56" i="109" s="1"/>
  <c r="M50" i="109"/>
  <c r="M43" i="109"/>
  <c r="M31" i="109"/>
  <c r="M33" i="109" s="1"/>
  <c r="C8" i="3"/>
  <c r="C7" i="3"/>
  <c r="B8" i="3"/>
  <c r="J55" i="108"/>
  <c r="M55" i="108" s="1"/>
  <c r="M56" i="108" s="1"/>
  <c r="M50" i="108"/>
  <c r="M43" i="108"/>
  <c r="M31" i="108"/>
  <c r="M33" i="108" s="1"/>
  <c r="B7" i="3"/>
  <c r="J55" i="107"/>
  <c r="M55" i="107" s="1"/>
  <c r="M56" i="107" s="1"/>
  <c r="M50" i="107"/>
  <c r="M43" i="107"/>
  <c r="M31" i="107"/>
  <c r="M33" i="107" s="1"/>
  <c r="E12" i="3" l="1"/>
  <c r="F12" i="3" s="1"/>
  <c r="E11" i="3"/>
  <c r="F11" i="3" s="1"/>
  <c r="E10" i="3"/>
  <c r="F10" i="3" s="1"/>
  <c r="E7" i="3"/>
  <c r="F7" i="3" s="1"/>
  <c r="E13" i="3"/>
  <c r="F13" i="3" s="1"/>
  <c r="J32" i="113"/>
  <c r="K65" i="113"/>
  <c r="K66" i="113" s="1"/>
  <c r="K65" i="112"/>
  <c r="K66" i="112" s="1"/>
  <c r="K64" i="112"/>
  <c r="K63" i="112"/>
  <c r="K64" i="111"/>
  <c r="K63" i="111"/>
  <c r="K65" i="111"/>
  <c r="K66" i="111" s="1"/>
  <c r="K64" i="110"/>
  <c r="K63" i="110"/>
  <c r="K65" i="109"/>
  <c r="K66" i="109" s="1"/>
  <c r="K63" i="107"/>
  <c r="K64" i="107" l="1"/>
  <c r="K65" i="108"/>
  <c r="K66" i="108" s="1"/>
  <c r="E8" i="3"/>
  <c r="F8" i="3" s="1"/>
  <c r="K63" i="113"/>
  <c r="M67" i="113" s="1"/>
  <c r="M69" i="113" s="1"/>
  <c r="K64" i="109"/>
  <c r="E9" i="3"/>
  <c r="F9" i="3" s="1"/>
  <c r="K64" i="113"/>
  <c r="K65" i="107"/>
  <c r="K66" i="107" s="1"/>
  <c r="K64" i="108"/>
  <c r="K65" i="110"/>
  <c r="K66" i="110" s="1"/>
  <c r="M67" i="112"/>
  <c r="M69" i="112" s="1"/>
  <c r="M67" i="111"/>
  <c r="M69" i="111" s="1"/>
  <c r="K63" i="109"/>
  <c r="M67" i="109"/>
  <c r="M69" i="109" s="1"/>
  <c r="K63" i="108"/>
  <c r="M67" i="108" s="1"/>
  <c r="M69" i="108" s="1"/>
  <c r="M67" i="110" l="1"/>
  <c r="M69" i="110" s="1"/>
  <c r="M67" i="107"/>
  <c r="M69" i="107" s="1"/>
  <c r="C6" i="3"/>
  <c r="B6" i="3"/>
  <c r="J55" i="106"/>
  <c r="M55" i="106" s="1"/>
  <c r="M56" i="106" s="1"/>
  <c r="M50" i="106"/>
  <c r="M43" i="106"/>
  <c r="M31" i="106"/>
  <c r="M33" i="106" s="1"/>
  <c r="C5" i="3"/>
  <c r="B5" i="3"/>
  <c r="J55" i="105"/>
  <c r="M55" i="105" s="1"/>
  <c r="M56" i="105" s="1"/>
  <c r="M50" i="105"/>
  <c r="M43" i="105"/>
  <c r="M31" i="105"/>
  <c r="M33" i="105" s="1"/>
  <c r="B4" i="3"/>
  <c r="K63" i="105" l="1"/>
  <c r="E5" i="3"/>
  <c r="F5" i="3" s="1"/>
  <c r="K64" i="106"/>
  <c r="E6" i="3"/>
  <c r="F6" i="3" s="1"/>
  <c r="K63" i="106"/>
  <c r="K65" i="106"/>
  <c r="K66" i="106" s="1"/>
  <c r="K64" i="105"/>
  <c r="K65" i="105"/>
  <c r="K66" i="105" s="1"/>
  <c r="M67" i="106" l="1"/>
  <c r="M69" i="106" s="1"/>
  <c r="M67" i="105"/>
  <c r="M69" i="105" s="1"/>
  <c r="J55" i="4" l="1"/>
  <c r="M55" i="4" s="1"/>
  <c r="M31" i="4"/>
  <c r="K26" i="4"/>
  <c r="M50" i="4"/>
  <c r="M56" i="4" l="1"/>
  <c r="M43" i="4"/>
  <c r="M33" i="4"/>
  <c r="K63" i="4" l="1"/>
  <c r="E4" i="3"/>
  <c r="K64" i="4"/>
  <c r="K65" i="4"/>
  <c r="K66" i="4" s="1"/>
  <c r="F4" i="3" l="1"/>
  <c r="F134" i="3" s="1"/>
  <c r="M67" i="4"/>
  <c r="M69" i="4" s="1"/>
  <c r="F136" i="3" l="1"/>
  <c r="G3" i="3"/>
  <c r="F135" i="3" l="1"/>
  <c r="F137" i="3"/>
  <c r="F138" i="3" s="1"/>
  <c r="F139" i="3" l="1"/>
  <c r="F140" i="3" s="1"/>
  <c r="G140" i="3" s="1"/>
</calcChain>
</file>

<file path=xl/sharedStrings.xml><?xml version="1.0" encoding="utf-8"?>
<sst xmlns="http://schemas.openxmlformats.org/spreadsheetml/2006/main" count="6618" uniqueCount="469">
  <si>
    <t xml:space="preserve">Descripción </t>
  </si>
  <si>
    <t xml:space="preserve">Unidad de medida </t>
  </si>
  <si>
    <t>Cantidad</t>
  </si>
  <si>
    <t>Valor Unitario</t>
  </si>
  <si>
    <t xml:space="preserve">Item </t>
  </si>
  <si>
    <t>SubTotal</t>
  </si>
  <si>
    <t>PRELIMINARES</t>
  </si>
  <si>
    <t>CERCA EN TELA VERDE H = 2.10 M</t>
  </si>
  <si>
    <t>ML</t>
  </si>
  <si>
    <t>M2</t>
  </si>
  <si>
    <t>M3</t>
  </si>
  <si>
    <t>UN</t>
  </si>
  <si>
    <t>CIELO RASO</t>
  </si>
  <si>
    <t>Costo directo</t>
  </si>
  <si>
    <t>Imprevistos (1%)</t>
  </si>
  <si>
    <t>Utilidad (5%)</t>
  </si>
  <si>
    <t>IVA sobre la utilidad (19%)</t>
  </si>
  <si>
    <t>Costo indirecto</t>
  </si>
  <si>
    <t>Valor total del proyecto</t>
  </si>
  <si>
    <t>1.1</t>
  </si>
  <si>
    <t>1.2</t>
  </si>
  <si>
    <t>1.3</t>
  </si>
  <si>
    <t>1.5</t>
  </si>
  <si>
    <t>3.2</t>
  </si>
  <si>
    <t>3.5</t>
  </si>
  <si>
    <t>KG</t>
  </si>
  <si>
    <t>ASEO Y RETIRO DE ESCOMBROS</t>
  </si>
  <si>
    <t>Administración (19%)</t>
  </si>
  <si>
    <t>INSTALACIONES HIDRAULICAS</t>
  </si>
  <si>
    <t>1.4</t>
  </si>
  <si>
    <t>1.6</t>
  </si>
  <si>
    <t>1.7</t>
  </si>
  <si>
    <t>1.8</t>
  </si>
  <si>
    <t>1.9</t>
  </si>
  <si>
    <t>1.10</t>
  </si>
  <si>
    <t>1.11</t>
  </si>
  <si>
    <t>2.1</t>
  </si>
  <si>
    <t>2.2</t>
  </si>
  <si>
    <t>2.3</t>
  </si>
  <si>
    <t>2.4</t>
  </si>
  <si>
    <t>2.5</t>
  </si>
  <si>
    <t>2.6</t>
  </si>
  <si>
    <t>2.7</t>
  </si>
  <si>
    <t>2.8</t>
  </si>
  <si>
    <t>2.9</t>
  </si>
  <si>
    <t>2.10</t>
  </si>
  <si>
    <t>2.11</t>
  </si>
  <si>
    <t>2.12</t>
  </si>
  <si>
    <t>2.13</t>
  </si>
  <si>
    <t>2.14</t>
  </si>
  <si>
    <t>2.15</t>
  </si>
  <si>
    <t>3.1</t>
  </si>
  <si>
    <t>3.3</t>
  </si>
  <si>
    <t>3.4</t>
  </si>
  <si>
    <t>3.6</t>
  </si>
  <si>
    <t>3.7</t>
  </si>
  <si>
    <t>3.8</t>
  </si>
  <si>
    <t>3.9</t>
  </si>
  <si>
    <t>10.1</t>
  </si>
  <si>
    <t>10.2</t>
  </si>
  <si>
    <t>10.5</t>
  </si>
  <si>
    <t>10.3</t>
  </si>
  <si>
    <t>10.4</t>
  </si>
  <si>
    <t>10.6</t>
  </si>
  <si>
    <t>10.7</t>
  </si>
  <si>
    <t>10.8</t>
  </si>
  <si>
    <t>10.9</t>
  </si>
  <si>
    <t>ANALISIS DE PRECIOS NO PREVISTOS</t>
  </si>
  <si>
    <t xml:space="preserve">ENTIDAD EJECUTORA: </t>
  </si>
  <si>
    <t>FECHA</t>
  </si>
  <si>
    <t>CONTRATO No. :</t>
  </si>
  <si>
    <t>DE</t>
  </si>
  <si>
    <t xml:space="preserve">OBJETO DEL CONTRATO: </t>
  </si>
  <si>
    <t>CONTRATISTA:</t>
  </si>
  <si>
    <t>INTERVENTOR:</t>
  </si>
  <si>
    <t>DATOS ESPECÍFICOS</t>
  </si>
  <si>
    <t>ITEM</t>
  </si>
  <si>
    <t>DESCRIPCIÓN</t>
  </si>
  <si>
    <t>GRUPO DE AJUSTE</t>
  </si>
  <si>
    <t>UNIDAD</t>
  </si>
  <si>
    <t>CANTIDAD</t>
  </si>
  <si>
    <t>I. EQUIPO</t>
  </si>
  <si>
    <t>TIPO</t>
  </si>
  <si>
    <t>TARIFA/HORA</t>
  </si>
  <si>
    <t>RENDIMIENTO</t>
  </si>
  <si>
    <t>Vr. UNITARIO</t>
  </si>
  <si>
    <t>GENERAL</t>
  </si>
  <si>
    <t>SUBTOTAL $</t>
  </si>
  <si>
    <t>II. MATERIALES</t>
  </si>
  <si>
    <t>PRECIO UNIT.</t>
  </si>
  <si>
    <t>III. TRANSPORTES</t>
  </si>
  <si>
    <t>MATERIAL</t>
  </si>
  <si>
    <t>VOL. o PESO</t>
  </si>
  <si>
    <t>DISTANCIA</t>
  </si>
  <si>
    <r>
      <t>M</t>
    </r>
    <r>
      <rPr>
        <b/>
        <vertAlign val="superscript"/>
        <sz val="10"/>
        <rFont val="Arial"/>
        <family val="2"/>
      </rPr>
      <t>3</t>
    </r>
    <r>
      <rPr>
        <b/>
        <sz val="10"/>
        <rFont val="Arial"/>
        <family val="2"/>
      </rPr>
      <t xml:space="preserve"> o Ton/Km</t>
    </r>
  </si>
  <si>
    <t>TARIFA</t>
  </si>
  <si>
    <t>IV. MANO DE OBRA</t>
  </si>
  <si>
    <t>TRABAJADOR</t>
  </si>
  <si>
    <t>JORNAL</t>
  </si>
  <si>
    <t>PRESTACIONES</t>
  </si>
  <si>
    <t>JORNAL TOTAL</t>
  </si>
  <si>
    <t>TOTAL COSTO DIRECTO $</t>
  </si>
  <si>
    <t>V. COSTOS INDIRECTOS</t>
  </si>
  <si>
    <t>Descripción</t>
  </si>
  <si>
    <t>Porcentaje</t>
  </si>
  <si>
    <t>Valor Total</t>
  </si>
  <si>
    <t>ADMINISTRACION</t>
  </si>
  <si>
    <t xml:space="preserve">IMPREVISTOS </t>
  </si>
  <si>
    <t>UTILIDAD</t>
  </si>
  <si>
    <t>Precio Unitario Total Aproximado al peso $</t>
  </si>
  <si>
    <t>DIA</t>
  </si>
  <si>
    <t>LB</t>
  </si>
  <si>
    <t>UNIVERSIDAD DE CUNDINAMRCA</t>
  </si>
  <si>
    <t xml:space="preserve">SUPERVISOR TÉCNICO DEL 
CONTRATO: </t>
  </si>
  <si>
    <t>PUNTILLA CON CABEZA DE 2"</t>
  </si>
  <si>
    <t>UND</t>
  </si>
  <si>
    <t>AYUDANTE (1) AA</t>
  </si>
  <si>
    <t>IVA SOBRE LA UTILIDAD</t>
  </si>
  <si>
    <t>VARA CLAVO</t>
  </si>
  <si>
    <t>TIRAS DE ALISTADO 3X3X3</t>
  </si>
  <si>
    <t>TELA VERDE</t>
  </si>
  <si>
    <t xml:space="preserve">CONCRETO DE 2000PSI </t>
  </si>
  <si>
    <t>AYUDANTE (2) AA</t>
  </si>
  <si>
    <t>HR</t>
  </si>
  <si>
    <t xml:space="preserve">HERRAMIENTA MENOR </t>
  </si>
  <si>
    <t>GL</t>
  </si>
  <si>
    <t>MANO DE OBRA (AA)</t>
  </si>
  <si>
    <t>LT</t>
  </si>
  <si>
    <t>CEMENTO GRIS</t>
  </si>
  <si>
    <t>AGUA</t>
  </si>
  <si>
    <t>ARENA LAVADA DE PEÑA EN MUNICIPIO</t>
  </si>
  <si>
    <t>ALISTADO ENDURECIDO 1:3, E=0.04</t>
  </si>
  <si>
    <t>ROCKTOP ROJO</t>
  </si>
  <si>
    <t>SECCION DE ANDAMIOS</t>
  </si>
  <si>
    <t>VOLQUETA M3</t>
  </si>
  <si>
    <t>MANO DE OBRA AA</t>
  </si>
  <si>
    <t xml:space="preserve"> PRESUPUESTO ADECUACIÓN SALA DE DOCENTES SECCIONAL GIRARDOT</t>
  </si>
  <si>
    <t>DEMOLICIÓN CIELO RASO FALSO</t>
  </si>
  <si>
    <t>DESMONTE MARCOS Y PUERTAS</t>
  </si>
  <si>
    <t>DESMONTE DE VENTANAS</t>
  </si>
  <si>
    <t>DESMONTE PUNTOS RED ELÉCTRICA EXISTENTE</t>
  </si>
  <si>
    <t>DESMONTE APARATOS SANITARIOS</t>
  </si>
  <si>
    <t>DEMOLICIÓN BALDOSA DE PISO H=0.04 M</t>
  </si>
  <si>
    <t>DEMOLICIÓN DE GUARDAESCOBA</t>
  </si>
  <si>
    <t>DEMOLICIÓN ENCHAPE MURO</t>
  </si>
  <si>
    <t>DEMOLICIÓN PAÑETE MURO</t>
  </si>
  <si>
    <t>DESMONTE MUROS SECOS</t>
  </si>
  <si>
    <t>1.12</t>
  </si>
  <si>
    <t>1.13</t>
  </si>
  <si>
    <t>1.14</t>
  </si>
  <si>
    <t>1.15</t>
  </si>
  <si>
    <t>DEMOLICIÓN PLACA PISO 0.10M</t>
  </si>
  <si>
    <t>DEMOLICIÓN MUROS EN MAMPOSTERÍA 0.15 M</t>
  </si>
  <si>
    <t>PRESUPUESTO ADECUACIÓN SALA DE DOCENTES SECCIONAL GIRARDOT</t>
  </si>
  <si>
    <t>DESMONTE DE CANALETA EXISTENTE</t>
  </si>
  <si>
    <t>ALISTADO PISOS 1:3, E= 0.04</t>
  </si>
  <si>
    <t>PAÑETE IMPERMEABILIZADO MUROS 1:3, E=1.5 CM</t>
  </si>
  <si>
    <t>MORTERO 1:3 IMPERMEABILIZADO ELABORADO EN OBRA</t>
  </si>
  <si>
    <t>PAÑETE IMPERMEABILIZADO MUROS 1:3, E=1.5 CM (LINEAL)</t>
  </si>
  <si>
    <t>PAÑETE LISO MUROS 1:4, E=1.5 CM</t>
  </si>
  <si>
    <t>MORTERO 1:4 ELABORADO EN OBRA</t>
  </si>
  <si>
    <t>PAÑETE LISO MUROS 1:4, E=1.5 CM (LINEAL)</t>
  </si>
  <si>
    <t>FILOS O DILATACIONES S/MURO</t>
  </si>
  <si>
    <t>MURO EN BLOQUE No. 5 E=0.12 (LINEAL)</t>
  </si>
  <si>
    <t>BLOQUE No 5</t>
  </si>
  <si>
    <t>MURO EN BLOQUE No. 5 E=0.12</t>
  </si>
  <si>
    <t>DINTELES CONCRETO DE 2500 PSI 15x20</t>
  </si>
  <si>
    <t>ACERO DE REFUERZO 60000 PSI</t>
  </si>
  <si>
    <t>ALAMBRE NEGRO No. 18</t>
  </si>
  <si>
    <t>CONCRETO 2500 PSI</t>
  </si>
  <si>
    <t>TABLA BURRA ORDINARIO 0.10</t>
  </si>
  <si>
    <t>VIBRADOR ELECTRICO</t>
  </si>
  <si>
    <t xml:space="preserve">COLUMNETAS DE 0.12 X 0.25 MTS PARA CONFINAMIENTO DE MAMPOSTERÍA, EN CONCRETO  EN F'C=3.000 PSI. INCLUYE FORMALETA, CURADO Y TODOS LOS ELEMENTOS NECESARIOS PARA SU CORRECTA EJECUCIÓN. . </t>
  </si>
  <si>
    <t>CONCRETO DE 3.000 PSI</t>
  </si>
  <si>
    <t>PUNTILLA CON CABEZA DE 3"</t>
  </si>
  <si>
    <t>REPISA ORDINARIO DE 3 MTS</t>
  </si>
  <si>
    <t>TABLA CHAPA EN ORDINARIO DE 0.25 DE ANCHO</t>
  </si>
  <si>
    <t>ANTISOL BLANCO SIKA 20 KILOGRAMOS</t>
  </si>
  <si>
    <t>MURO DRYWALL DOBLE CARA 0.12 M</t>
  </si>
  <si>
    <t>CANAL B 9X2.44 CAL. 26</t>
  </si>
  <si>
    <t>CARGA FULMINANTE FUERTE + CLAVO 5/16" B. VEL. 1"</t>
  </si>
  <si>
    <t>CINTA DE PAPEL SUPERCINTA 250</t>
  </si>
  <si>
    <t>LÁMINA DRYWALL 1/2" SUPERPLACA 1.22X2.44</t>
  </si>
  <si>
    <t>LIJA DE AGUA 150 SUPER</t>
  </si>
  <si>
    <t>MASILLA SUPERMÁSTICO 5GLN</t>
  </si>
  <si>
    <t>PARAL B 9X2.44 CAL. 26</t>
  </si>
  <si>
    <t>TORNILLO 7 X 7/16</t>
  </si>
  <si>
    <t>TORNILLO GRABER 6X1"</t>
  </si>
  <si>
    <t>RL</t>
  </si>
  <si>
    <t>FIBRA DE VIDRIO 2½" TIPO FRESCASA (DENSIDAD: 10KG/M³)</t>
  </si>
  <si>
    <t>FIBRA DE VIDRIO 2½" TIPO FRESCASA</t>
  </si>
  <si>
    <t>PINTURAS Y FACHADAS</t>
  </si>
  <si>
    <t>CAOLIN</t>
  </si>
  <si>
    <t>BT</t>
  </si>
  <si>
    <t>YESO CORRIENTE VENCEDOR</t>
  </si>
  <si>
    <t>MANO DE OBRA (CC)</t>
  </si>
  <si>
    <t>ESTUCO Y VINILO 3 MANOS</t>
  </si>
  <si>
    <t>VINILO TIPO 1</t>
  </si>
  <si>
    <t>ESTUCO Y VINILO 3 MANOS (LINEAL)</t>
  </si>
  <si>
    <t xml:space="preserve">VINILO SOBRE ESTUCO 2 MANOS </t>
  </si>
  <si>
    <t>VINILO SOBRE ESTUCO 2 MANOS (LINEAL)</t>
  </si>
  <si>
    <t>PINTURA TIPO KORAZA O SIMILARES A 2 MANOS ( COLOR A ELEGIR)</t>
  </si>
  <si>
    <t>PINTURA TIPO KORAZA</t>
  </si>
  <si>
    <t>GALON</t>
  </si>
  <si>
    <t>MANO DE OBRA (DD)</t>
  </si>
  <si>
    <t>ESMALTE SOBRE LAMINA LLENA</t>
  </si>
  <si>
    <t>DISOLVENTE THINNER</t>
  </si>
  <si>
    <t>ESMALTE SINTÉTICO</t>
  </si>
  <si>
    <t>LAVADA DE FACHADA</t>
  </si>
  <si>
    <t>ANDAMIO TUBULAR CERTIFICADO</t>
  </si>
  <si>
    <t xml:space="preserve">SEMANA </t>
  </si>
  <si>
    <t xml:space="preserve">GENERAL </t>
  </si>
  <si>
    <t>ÁCIDO MURIATICO</t>
  </si>
  <si>
    <t>IMPERMEABILIZACIÓN FACHADA EN SIKA TRANSPARENTE O SIMILAR</t>
  </si>
  <si>
    <t>SIKA TRANSPARENTE 10</t>
  </si>
  <si>
    <t>FLANCHE EN LÁMINA GALVANIZADA CAL. 22; DS=30</t>
  </si>
  <si>
    <t>LÁMINA GALVANIZADA CAL.22 1.20 x 2.40</t>
  </si>
  <si>
    <t>SOLDADURA ELÉCTRICA LM. GALVANIZADA</t>
  </si>
  <si>
    <t>MANO DE OBRA DD</t>
  </si>
  <si>
    <t>PULIDORA</t>
  </si>
  <si>
    <t>CANAL EN LÁMINA GALVANIZADA CAL 22, DS=90</t>
  </si>
  <si>
    <t>LAMINA GALVANIZADA CAL.22 1.20 x 2.40</t>
  </si>
  <si>
    <t>CUBIERTAS</t>
  </si>
  <si>
    <t>SUMINISTRO E INSTALACION DE TEJA COLONIAL</t>
  </si>
  <si>
    <t>GANCHO GALVANIZADO</t>
  </si>
  <si>
    <t>EQUIPO DE SOLDADURA</t>
  </si>
  <si>
    <t>PULIDORA MANUAL</t>
  </si>
  <si>
    <t>COMPRESOR PINTURA</t>
  </si>
  <si>
    <t>PISTOLA PINTURA</t>
  </si>
  <si>
    <t>TRONZADORA</t>
  </si>
  <si>
    <t>ACERO A-36</t>
  </si>
  <si>
    <t>SOLDADURA ELÉCTRICA 0.004 KG DE 3/23"</t>
  </si>
  <si>
    <t>LÁMINA HR</t>
  </si>
  <si>
    <t>GLN</t>
  </si>
  <si>
    <t>ANTICORROSIVO</t>
  </si>
  <si>
    <t>CELOSÍA ANGULAR  ASTM-36, INCLUYE: CORREAS, CONTRAVIENTOS, TENSORES, COLUMNAS, VIGAS DE AMARRE, ANCLAJES, TORNILLERÍA, PINTURA Y PLATINERÍA. CONTEMPLA TAMBIÉN:FABRICACIÓN, SUMINISTRO Y MONTAJE</t>
  </si>
  <si>
    <t>BAJANTE AGUAS LLUVIAS PVC 3"</t>
  </si>
  <si>
    <t>CODO 90 D 3" ALL</t>
  </si>
  <si>
    <t>TUBO PVC D 3" ALL</t>
  </si>
  <si>
    <t>SOLDADURA PVC LÍQUIDA 1/4</t>
  </si>
  <si>
    <t>LIMPIADOR PVC 1/4</t>
  </si>
  <si>
    <t>MANO DE OBRA BB</t>
  </si>
  <si>
    <t>1.16</t>
  </si>
  <si>
    <t>MANO DE OBRA (BB)</t>
  </si>
  <si>
    <t>PUNTO HIDRÁULICO PVC-P/PARAL 1/2"</t>
  </si>
  <si>
    <t>TUBO PVC-P 1/2" RDE 9</t>
  </si>
  <si>
    <t>CODO 90 PVC-P 1/2"</t>
  </si>
  <si>
    <t>TEE PVC-P 1/2"</t>
  </si>
  <si>
    <t>TAPÓN SOLDADO PVC-P 1/2"</t>
  </si>
  <si>
    <t>TAPÓN ROSCAR PVC-P 1/2"</t>
  </si>
  <si>
    <t>ADAPTADOR MACHO PVC-P 1/2"</t>
  </si>
  <si>
    <t>SALIDA SANITARIA PVC-S/PARAL 2"</t>
  </si>
  <si>
    <t>TUBO PVC SANITARIO 2"</t>
  </si>
  <si>
    <t>CODO 90 1/4 CXC SANITARIO 2"</t>
  </si>
  <si>
    <t>TAPÓN PRUEBAS PVC SANITARIO 2"</t>
  </si>
  <si>
    <t>RED SUMINISTRO PVC 2"</t>
  </si>
  <si>
    <t>CODO 90 PVC-P 2"</t>
  </si>
  <si>
    <t>TUBO PVC-P 2" RDE 21</t>
  </si>
  <si>
    <t>REGISTRO RED WHITE TOYO 1/2"</t>
  </si>
  <si>
    <t>UNIVERSAL PVC 1/2"</t>
  </si>
  <si>
    <t>REGISTRO 1/2"</t>
  </si>
  <si>
    <t>DESMONTE DE CUBIERTAS (ASBESTO CEMENTO)</t>
  </si>
  <si>
    <t>TEMPORIZADOR DIGITAL PROGRAMABLE 110V PARA BALAS LED</t>
  </si>
  <si>
    <t xml:space="preserve">TEMPORIZADOR DIGITAL </t>
  </si>
  <si>
    <t>INSTALACIÓNES ELECTRICAS</t>
  </si>
  <si>
    <t>LÁMPARA A PRUEBA DE HUMEDAD TIPO TORTUGA</t>
  </si>
  <si>
    <t>LÁMPARA TIPO TORTUGA 60V</t>
  </si>
  <si>
    <t>PERNO 1/4 X 2</t>
  </si>
  <si>
    <t>SUMINISTRO E INSTALACION LÁMPARA HERMÉTICA LED 40W 110/220V SYLVANIA O SIMILAR (INCLUYE ESTRUCTURA DE FIJACION CON GUAYA Y SOPORTE, CABLE DE CONEXIÓN Y ATERRIZAJE Y TODO LO NECESARIO PARA SU INSTALACION Y FUNCIONAMIENTO)</t>
  </si>
  <si>
    <t>LÁMPARA HERMÉTICA LED 40W 110/220V SYLVANIA O SIMILAR</t>
  </si>
  <si>
    <t>CABLE DE CU ENCAUCHETADO 3X10 AWG</t>
  </si>
  <si>
    <t>JUEGO CABLE DE ACERO 1/16 5 M + 2 PERROS PARA SUJECION</t>
  </si>
  <si>
    <t>LUMINARIA BALA LED 30 W JUPITER DE SYLVANIA O SIMILAR</t>
  </si>
  <si>
    <t>MANO DE OBRA (EE)</t>
  </si>
  <si>
    <t>TUBERÍA CONDUIT EMT GALVANIZADA 3/4"</t>
  </si>
  <si>
    <t>TUBO CONDUIT EMT GALVANIZADA 3/4"</t>
  </si>
  <si>
    <t>CONECTOR EMT GALVANIZADO 3/4"</t>
  </si>
  <si>
    <t>CURVA EMT GALVANIZADO 3/4"</t>
  </si>
  <si>
    <t>UNIÓN EMT GALVANIZADO 3/4"</t>
  </si>
  <si>
    <t>ABRAZADERA 3/4"</t>
  </si>
  <si>
    <t>TUBERÍA CONDUIT EMT GALVANIZADA 1".</t>
  </si>
  <si>
    <t>TUBO CONDUIT EMT GALVANIZADA 1"</t>
  </si>
  <si>
    <t>CONECTOR EMT GALVANIZADO 1"</t>
  </si>
  <si>
    <t>CURVA EMT GALVANIZADO 1"</t>
  </si>
  <si>
    <t>UNIÓN EMT GALVANIZADO 1"</t>
  </si>
  <si>
    <t>ABRAZADERA 1"</t>
  </si>
  <si>
    <t>ADAPTADOR PVC 1/2" CONDUIT</t>
  </si>
  <si>
    <t>TUBO PVC 1/2" CONDUIT</t>
  </si>
  <si>
    <t xml:space="preserve">ADAPTADOR PVC 1/2" CONDUIT </t>
  </si>
  <si>
    <t>CABLE CU THW # 12 AWG</t>
  </si>
  <si>
    <t xml:space="preserve">CABLE CU THW # 12 AWG </t>
  </si>
  <si>
    <t>CAJA OCTAGONAL</t>
  </si>
  <si>
    <t xml:space="preserve">CAJA GALVANIZADA 5800 </t>
  </si>
  <si>
    <t>TUBO PVC 1/2"</t>
  </si>
  <si>
    <t xml:space="preserve">SOLDADURA PVC LIQUIDA 1/4 </t>
  </si>
  <si>
    <t xml:space="preserve">LIMPIADOR PVC 1/4 </t>
  </si>
  <si>
    <t>SALIDA TOMA DOBLE PVC COMPLETA</t>
  </si>
  <si>
    <t>ALAMBRE CU THW # 12 AWG</t>
  </si>
  <si>
    <t>ALAMBRE CU THW # 14 AWG</t>
  </si>
  <si>
    <t>CAJA GALVANIZADA 5800</t>
  </si>
  <si>
    <t>TOMA DOBLE</t>
  </si>
  <si>
    <t>SALIDA TOMA DOBLE PVC COMPLETA (REGULADA)</t>
  </si>
  <si>
    <t>TUBERIA PVC 1/2"</t>
  </si>
  <si>
    <t xml:space="preserve">CONDUCTOR EN CU #12 FASE AWG  LSZH . </t>
  </si>
  <si>
    <t xml:space="preserve">CONDUCTOR EN CU #12 NEUTRO AWG  LSZH . </t>
  </si>
  <si>
    <t>TERMINAL PVC DE 1/2"</t>
  </si>
  <si>
    <t>CAJA OCTOGONAL</t>
  </si>
  <si>
    <t>LIMPIADOR REMOVEDOR PVC X 1/8 GALÓN</t>
  </si>
  <si>
    <t>SOLDADURA PVC CONDUIT X 1/8 GALON</t>
  </si>
  <si>
    <t>ALAMBRE NEGRO</t>
  </si>
  <si>
    <t>TOMA CORRIENTE DOBLE REGULADA Y TAPA</t>
  </si>
  <si>
    <t>CONDUCTOR EN CU #12 TIERRA AWG  LSZH .</t>
  </si>
  <si>
    <t>SALIDA LÁMPARA TOMA EMT COMPLETA</t>
  </si>
  <si>
    <t>ADAPTADOR EMT 1/2" CONDUIT</t>
  </si>
  <si>
    <t xml:space="preserve">
INTERRUPTOR</t>
  </si>
  <si>
    <t>ROCETA</t>
  </si>
  <si>
    <t>TUBO EMT 1/2" CONDUIT</t>
  </si>
  <si>
    <t>SENSOR DE MOVIMIENTO 360° - 120V</t>
  </si>
  <si>
    <t>CAJA 4"X4" METÁLICA GALVANIZADA</t>
  </si>
  <si>
    <t>TUBERIA PVC 1"</t>
  </si>
  <si>
    <t>TERMINAL PVC DE 1"</t>
  </si>
  <si>
    <t>VOZ Y DATOS</t>
  </si>
  <si>
    <t>CEMENTO BLANCO</t>
  </si>
  <si>
    <t>ACOMETIDA A SALIDAS BIFÁSICA EN CABLE 2X10F + 1X10N + 1X10F AWG CABLE LSHZ. INCLUYE ACCESORIOS PARA INSTALACIÓN</t>
  </si>
  <si>
    <t>CIELO RASO PLANO DRYWALL DILATACIÓN EN Z (INCLUYE PINTURA)</t>
  </si>
  <si>
    <t>TALADRO</t>
  </si>
  <si>
    <t>LÁMINA DRYWALL 1/2" SUPERPLACA</t>
  </si>
  <si>
    <t>ÁNGULO CAL.26 LÁMINA GALV. 2.44 M</t>
  </si>
  <si>
    <t>CHAZO PLÁSTICO 1/4"</t>
  </si>
  <si>
    <t>PERNO 1/2" ALT. VEL. 1 3/4"</t>
  </si>
  <si>
    <t>PERFIL OMEGA METÁLICO 63 MM X 3,05 M</t>
  </si>
  <si>
    <t>DILATACIÓN EN Z</t>
  </si>
  <si>
    <t>CIELO RASO PLANO DRYWALL DILATACIÓN EN Z LINEAL (INCLUYE PINTURA)</t>
  </si>
  <si>
    <t>PISO EN CERAMICA ANTIDESLIZANTE 60X60 CM. TRAFICO PESADO CALIDAD PRIMERA. COLOR A ELEGIR</t>
  </si>
  <si>
    <t xml:space="preserve">PEGANTE PARA CERAMICA </t>
  </si>
  <si>
    <t>CERAMICA ANTIDESLIZANTE 60X60 CM</t>
  </si>
  <si>
    <t>BALDOSA CERÁMICA PARED 60X30, CALIDAD PRIMERA</t>
  </si>
  <si>
    <t>SUMINISTRO E INSTALACION MESON EN GRANITO INCLUYE SALPICADERO</t>
  </si>
  <si>
    <t xml:space="preserve">TALADRO PERCUTOR </t>
  </si>
  <si>
    <t xml:space="preserve">DIA </t>
  </si>
  <si>
    <t>MESON EN GRANITO INCLUYE SALPICADERO</t>
  </si>
  <si>
    <t>MORTERO 1:4 ARENA LAVADA DE PEÑA</t>
  </si>
  <si>
    <t>ARENA DE PEÑA EN MUNICIPIO</t>
  </si>
  <si>
    <t>REMATES BOCEL WING ALUMINIO</t>
  </si>
  <si>
    <t>WING ALUMINIO</t>
  </si>
  <si>
    <t xml:space="preserve">ML </t>
  </si>
  <si>
    <t>DILATACIÓN EN BRONCE</t>
  </si>
  <si>
    <t>CERAMICA ANTIDESLIZANTE 60X30 CM</t>
  </si>
  <si>
    <t xml:space="preserve">DILATACIÓN EN BRONCE PARA PISO </t>
  </si>
  <si>
    <t>GUARDAESCOBA EN MDF FORRADO EN MADEFILM COLOR  ROBLE CLARO, H: 23 CMS Y E:12 MM, INCLUYE TODO LO NECESARIO PARA SU CORRECTA INSTALACIÓN</t>
  </si>
  <si>
    <t>ALFOMBRA TRÁFICO COMERCIAL VICTORY RALLY-1  DE ALFA O SIMILAR, EN NYLON BCF ARGOLLADA, DE 750 GRAMOS/M2 Y 6 MM DE ALTURA. INCLUYE ESPUMA DE POLIETILENO DE ALTA DENSIDAD, ADHESIVO Y TODO LO NECESARIO PARA SU CORRECTA INSTALACIÓN</t>
  </si>
  <si>
    <t>16+</t>
  </si>
  <si>
    <t>HERRAMIENTA MENOR</t>
  </si>
  <si>
    <t>REPLANTEO MANUAL</t>
  </si>
  <si>
    <t>DESMONTE DE LUMINARIAS</t>
  </si>
  <si>
    <t>MUROS Y PAÑETES.</t>
  </si>
  <si>
    <t>PISOS</t>
  </si>
  <si>
    <t>PUERTAS, VENTANAS Y VIDRIOS</t>
  </si>
  <si>
    <t>SISTEMA DE AIRE ACONDICIONADO</t>
  </si>
  <si>
    <t>ICCU 1,14</t>
  </si>
  <si>
    <t>DESMONTE DE CUBIERTAS (TEJA DE BARRO)</t>
  </si>
  <si>
    <t>PINTURA TIPO KORAZA O SIMILARES A 2 MANOS ( COLOR A ELEGIR, LINEAL)</t>
  </si>
  <si>
    <t>SUMINISTRO E INSTALACION TEJA DE FIBROCEMENTO. INCLUYE ACABADO EN PINTURA TERRACOTA APLICADA SOBRE LOS VALLES DE LA TEJA</t>
  </si>
  <si>
    <t>TUBERÍA PVC CONDUIT 3/4"</t>
  </si>
  <si>
    <t>TOMA DOBLE GFCI</t>
  </si>
  <si>
    <t xml:space="preserve">SALIDA TOMA DOBLE GFCI </t>
  </si>
  <si>
    <t>CIELO RASO DURACUSTIC</t>
  </si>
  <si>
    <t>1.17</t>
  </si>
  <si>
    <t>1.18</t>
  </si>
  <si>
    <t>Teja Perfil 7 Gris #6 183x92cm Área Util:1.48m</t>
  </si>
  <si>
    <t>Pintura para Exterior Blanco 5 Galones</t>
  </si>
  <si>
    <t>SUMINISTRO E INSTALACION TEJA DE BARRO</t>
  </si>
  <si>
    <t>ICCU 7,9 PG 25</t>
  </si>
  <si>
    <t>TEJA DE BARRO</t>
  </si>
  <si>
    <t>ARENA DE PEÑA</t>
  </si>
  <si>
    <t>ICCU 7,7 PG 25</t>
  </si>
  <si>
    <t>CABALLETE FIJO TEJA FIBROCEMENTO</t>
  </si>
  <si>
    <t>SUMINISTRO E INSTALACION PUERTA EN VIDRIO TEMPLADO DE 10MM DE ESPESOR, ACCESORIOS EN ACERO INOXIDABLE; CHAPETA DE GIRO INFERIOR CON PIVOTE CIRCULAR O TUBO A PISO, BISAGRA HIDRÁULICA DE PISO, MANIJA HELADERA TIPO ROMA 400X600. INCLUYE HERRAJES, CHAPA Y DEMÁS ACCESORIOS, REFUERZOS SUPERIORES O LATERALES PARA ANCLAJE.</t>
  </si>
  <si>
    <t xml:space="preserve">DIVISIÓN EN VIDRIO TEMPLADO DE SEGURIDAD DE 10 MM DE ESPESOR PISO TECHO CON PERFIL EN F Y L, SEGÚN MODULACIÓN. INCLUYE HERRAJES, CHAPAS, PERFORACIONES DE VENTILACION DE 2" Y DEMÁS ACCESORIOS. </t>
  </si>
  <si>
    <t>SUMINISTRO E INSTALACIÓN DE CORTINA ENROLLABLE BLACKOUT. INCLUYE TODOS LOS ELEMENTOS NECESARIOS PARA SU INSTALACION</t>
  </si>
  <si>
    <t>SUMINISTRO E INSTALACIÓN DE PERSIANA VERTICAL. INCLUYE TODOS LOS ELEMENTOS NECESARIOS PARA SU INSTALACION</t>
  </si>
  <si>
    <t>SUMINISTRO EN INSTALACION VINILO ADHESIVO (COLOR Y DISEÑO A ELEGIR)</t>
  </si>
  <si>
    <t>SUMINISTRO E INSTALACIÓN DE PELICULA UV</t>
  </si>
  <si>
    <t>SUMINISTRO E INSTALACIÓN DE PELICULA SANDBLASTING</t>
  </si>
  <si>
    <t>MINI SPLIT INVERTER, 36.000 BTU, MARCA RECONOCIDA, 220 V MONOFÁSICO. INCLUYE: KIT DE INSTALACIÓN 3 ML</t>
  </si>
  <si>
    <t xml:space="preserve">SUMINISTRO E INSTALACIÓN DE KIT DE AIRE ACONDICIONADO (TUBERÍA DE COBRE, AISLANTE TÉRMICO Y CABLE ENCAUCHETADO 4X14) </t>
  </si>
  <si>
    <t>ASEO GENERAL</t>
  </si>
  <si>
    <t>RETIRO A ESCOMBRERA CERTIFICADA A 30 KM</t>
  </si>
  <si>
    <t>SALIDA TOMA BIFÁSICA COMPLETA , RADIO DE MANIPULACIÓN HASTA 4 MTS</t>
  </si>
  <si>
    <t>ADECUACION DE MUDULO DE TOTALIZADORES GABINETE EXISTENTE. INCLUYE DESMONTE DE TOTALIZADORES Y TODOS LOS ACCESORIOS NECESARIOS PARA SU CORRECTO FUNCIONAMIENTO</t>
  </si>
  <si>
    <t>ALIMENTADOR TRIFÁSICO EN 3X3/0F+1X3/0N+1/0T AWG- LSZH DE COBRE CERTIFICADOS (CENTELSA O SIMILAR CERTIFICADO), TERMINALES DE CONEXIÓN, AMARRES PLÁSTICOS, MARQUILLAS DE IDENTIFICACIÓN  Y  LOS MATERIALES NECESARIOS PARA REALIZAR LA INSTALACIÓN DE LOS CONDUCTOR QUE INTERCONECTAN LOS EQUIPOS- INCLUYE TODOS LOS ACCESORIOS DE ENSAMBLE, FIJACIÓN Y MARCACIÓN DE FÁBRICA TALES COMO TERMINALES, UNIONES, CODOS, CONDULETAS, GRAPAS AJUSTABLES, ANCLAS, PORTA MARCADORES DEXON EN AMBOS EXTREMOS Y BORNAS DE COMPRESIÓN CON SELLO UL</t>
  </si>
  <si>
    <t>SUMINISTRO E INSTALACIÓN DE CABLE 2/0  DE COBRE CERTIFICADO (CENTELSA O SIMILAR CERTIFICADO)</t>
  </si>
  <si>
    <t>Suministro e instalación TGA – Tablero general de acometidas 700 A de 30 circuitos de marca reconocida fabricado en CR calibre 16/18, pintado en polvo electrostática, dimensiones 1800X100X400 (Alto, Ancho, Profundo) SEGUN DISEÑO. Grado de protección IP65, IK09. Con frente muerto. Barraje en cobre electrolítico 700 A. Icc 18kA, pintado RETIE 208VAC, montado en aisladores de resina epoxica y tornillería. Suministro de cable, terminales, amarres plásticos, canaleta, barra de tierra, barra de neutro y demás elementos necesarios para un correcto funcionamiento del equipo. Mano de obra por ensamble y conexionado del tablero en cumplimiento de la norma RETIE.      
Instalado sobre placa en concreto e=10 cm con pases en tuberia para acometidas.</t>
  </si>
  <si>
    <t>ADECUACION DE ALIMENTADOR TRIFÁSICO EN CABLE 7 HILOS  AWG- LSZH DE COBRE CERTIFICADOS (CENTELSA O SIMILAR CERTIFICADO), EMPALMES TUBULARES, TERMINALES DE CONEXIÓN, AMARRES PLÁSTICOS, MARQUILLAS DE IDENTIFICACIÓN  Y  LOS MATERIALES NECESARIOS PARA REALIZAR LA INSTALACIÓN DE LOS CONDUCTORES EXISTENTES A INTERCONECTAR EN EL NUEVO TABLERO DE DISTRIBUCION INCLUYE TUBERÍA DE EMT COLMENA O SIMILAR CERTIFICADA, SEÑALIZACIÓN, TERMINALES, ADAPTADORES Y UNIONES, HERRAJES DE SOPORTERIA E  INCLUYE TODOS LOS ACCESORIOS Y MATERIALES NECESARIOS PARA REALIZAR LA INSTALACIÓN DE DUCTERIA PARA LAS ACOMETIDAS EXISTENTES.  DESDE CAJA DE PASO 275 HASTA EL TABLERO DE DISTRIBUCCION, INCLUYE TODOS LOS ACCESORIOS DE ENSAMBLE, FIJACIÓN Y MARCACIÓN DE FÁBRICA TALES COMO TERMINALES, UNIONES, CODOS, CONDULETAS CADA 30 METROS MÍNIMO, GRAPAS AJUSTABLES, ANCLAS, PORTA MARCADORES DEXON EN AMBOS EXTREMOS Y BORNAS DE COMPRESIÓN CON SELLO UL</t>
  </si>
  <si>
    <t>MANTENIMIENTO PREVENTIVO UPS EXISTENTE DE 30 KVA. INCLUYE
VERIFICACIÓN DE ENCENDIDO Y CONTROL DE COMANDOS, APAGADO DE EQUIPO PUESTA RED NORMAL, RETORQUE BORNERAS, LIMPIEZA GENERAL, CAMBIO DE BATERIAS, MEDICIÓN DE CARGAS,
PUESTA EN MARCHA E INFORME.</t>
  </si>
  <si>
    <t xml:space="preserve">ALIMENTADOR MONOFASICO EN 3X12 AWG-LSZH PARA SALIDAS ELECTRICAS (AZUL+BLANCO+VERDE PARA RED NORMAL, ROJO+BLANCO+VERDE RED REGULADA) PRE-ENTORCHADO EN FABRICA LIBRE DE HALOGENOS, DESDE TABLERO ELECTRICO, INCLUYE FIJACION  DE  BANDEJA, CADA 2 MTS MEDIANTE AMARRE PLASTICO </t>
  </si>
  <si>
    <t>SALIDA HDMI PARA PROYECCION DE PANTALLAS</t>
  </si>
  <si>
    <t>TUBERÍA CONDUIT EMT GALVANIZADA 1"</t>
  </si>
  <si>
    <t>ICCU 21,15 PG 33</t>
  </si>
  <si>
    <t>ICCU 21,14 PG 33</t>
  </si>
  <si>
    <t>PUNTO DE DATOS COMPLETO (INCLUYE FACE PLATE DOBLE ANGULADO,TAPA ESPACIO, JACK CAT 6A CERTIFICADO, CABLE DE RED F/UTP CAT6A 100% COBRE CERTIFICADO, PACTCH CORD DE 3 MT CAT6A CERTIFICADO.) DESDE EL RACK HASTA
LA SALIDA,  INCLUYE: REPORTE DE CERTIFICACION DE CADA UNO.</t>
  </si>
  <si>
    <t>MÓDULO TRANSCEPTOR O TRANSCEIVER MULTIMODO PARA FIBRA TIPO MULTIMODO, ANCHO DE BANDA 1000MBPS, TIPO DE CONECTOR LC, VENTANA DE TRANSMISIÓN 850NM, DISTANCIA MÁXIMA 220M (CON FIBRA OM1) Y 550M (CON FIBRA OM3) INSTALAR EN LOS SWITCHES EXISTENTE Y NUEVO.</t>
  </si>
  <si>
    <t>ORGANIZADORES HORIZONTALES SENCILLOS.</t>
  </si>
  <si>
    <t>PDU VERTICALES CON DPS TIPO 3 SEGÚN IEEE C62.41 TERCERA EDICIÓN UL 1449, INCLUYE EXTENSION CON CLAVIJA AEREA L5-20R, 12 RECEPTACULOS DUPLEX 5-20R, SWITH CON LUZ PILOTO DE INDICACION ON/OFF  A INSTALAR EN GABINETE</t>
  </si>
  <si>
    <t>PARTNER WATCHDOG SUPPORT PER VSZ-E AP POR 1 AÑO + LICIENCIAMIENTO AP’S</t>
  </si>
  <si>
    <t>MURO DRYWALL UNA CARA 0.12 M</t>
  </si>
  <si>
    <t>MURO DRYWALL UNA CARA 0.12 M (LINEAL)</t>
  </si>
  <si>
    <t>SUMINISTRO E INSTALACIÓN CANALETA METALICA 12x5cm PERIMETRAL CON DIVISION CENTRAL FABRICADA EN LAMINA CALIBRE 20 USG Y PINTURA FINALELECTROSTATICA, INCLUYE TAPA, TROQUELES TRIPLES REALZADOS, EJECUCION DE ACCESORIOS COMO CURVAS, TEES Y ELEMENTOS DE FIJACION A MURO   Y CUMPLIR LAS ULTIMAS  PRESCRIPCIONES QUE APLIQUEN DEL RETIE 2019 (NUMERAL 20.6.2) PARA CABLEADO DE DATOS Y PUNTOS ELECTRICOS.</t>
  </si>
  <si>
    <t>SALIDA ELÉCTRICA MONOFASICA REGULADA PARA PUESTO DE
TRABAJO, INCLUYE: TUBO EMT DE 3/4", TOMA 5-15R GRADO COMERCIAL CON POLO A TIERRA AISLADO, CABLE 3X12 AWG-LSZH PARA SALIDAS, TERMINALES DE OJO, CINTA 33, CINTA DE IDENTIFICACIÓN DE COLORES PARA F (SEGÚN NUMERO DE CIRCUITO Y NIVEL DE VOLTAJE, CAJAS DE PASO Y CAJA FINAL 5800, TROQUEL PARA TOMA ELÉCTRICA, IDENTIFICACIÓN DE LA TOMA CON MARQUILLA SEGÚN LO INDICADO EN PLANOS DE DISEÑO</t>
  </si>
  <si>
    <t>SALIDA ELÉCTRICA MONOFASICA NORMAL PARA PUESTO DE TRABAJO, INCLUYE: TUBO EMT DE 3/4", TOMA 5-15R GRADO COMERCIAL CON POLO A TIERRA AISLADO, CABLE 3X12 AWG-LSZH PARA SALIDAS, TERMINALES DE OJO, CINTA 33, CINTA DE IDENTIFICACIÓN DE COLORES PARA F (SEGÚN NUMERO DE CIRCUITO Y NIVEL DE VOLTAJE, CAJAS DE PASO Y CAJA FINAL 5800, TROQUEL PARA TOMA ELÉCTRICA, IDENTIFICACIÓN DE LA TOMA CON MARQUILLA SEGÚN LO INDICADO EN PLANOS DE DISEÑO.</t>
  </si>
  <si>
    <t>PUERTAS METALICAS EN LAMINA COLD ROLLED C.18 CON PERSIANA INFERIOR Y MONTANTE EN VIDRIO, INCLUYE MARCO EN LAMINA COLD ROLLED C.18 Y ACABADO EN PINTURA ELECTROSTATICA MATE COLOR A ELEGIR.  INCLUYE CERRADURA TIPO PALANCA ENTRADA PRINCIPAL</t>
  </si>
  <si>
    <t>LAMINA COLD ROLLED C.18</t>
  </si>
  <si>
    <t>SOLDADURA ELECTRICO 1/8 6013</t>
  </si>
  <si>
    <t>PINTURA MAGNERICA GRIS</t>
  </si>
  <si>
    <t>CERRADURA TIPO PALANCA</t>
  </si>
  <si>
    <t>SUMINISTRO E INSTALACION PUERTA EN VIDRIO TEMPLADO DE 10MM DE ESPESOR, ACCESORIOS EN ACERO INOXIDABLE; CHAPETA DE GIRO INFERIOR CON PIVOTE CIRCULAR O TUBO A PISO, MANIJA HELADERA TIPO ROMA 400X600. INCLUYE HERRAJES, CHAPA Y DEMÁS ACCESORIOS, REFUERZOS SUPERIORES O LATERALES PARA ANCLAJE.</t>
  </si>
  <si>
    <t>BISAGRA HIDRÁULICA DE PISO</t>
  </si>
  <si>
    <t>VENTANA EN ALUMINIO ANODIZADO FIJA Y CORREDIZA CON VIDRIO TEMPLADO INCOLORO DE 6MM. INCLUYE ALFAJIA, BRAZOS, BISAGRAS, MANIJA, PISAVIDRIO Y ACCESORIOS DE INSTALACION.</t>
  </si>
  <si>
    <t>VENTANA EN ALUMINIO ANODIZADO FIJA Y CORREDIZA CON VIDRIO TEMPLADO INCOLORO DE 6MM. INCLUYE, ALFAJIA, BRAZOS, BISAGRAS, MANIJA, PISAVIDRIO Y ACCESORIOS DE INSTALACION.</t>
  </si>
  <si>
    <t>CERRADURA PICO DE LORO</t>
  </si>
  <si>
    <t>PUERTA VENTANA CORREDIZA EN ALUMINIO ANODIZADO NEGRO, CON DOS CUERPOS LATERALES MOVILES Y UN CUERPO FIJO. DISEÑO A CONVENIR. INCLUYE HERRAJE, CHAPA, REFUERZOS LATERALES-SUPERIORES, PERFORACIONES DE VENTILACION DE 2" Y TODOS LOS ELEMENTOS NECESARIOS PARA SU INSTALACION.</t>
  </si>
  <si>
    <t>PUERTA VENTANA CORREDIZA EN ALUMINIO ANODIZADO NEGRO, VIDRIO TEMPLADO INCOLORO 6MM CON DOS CUERPOS LATERALES MOVILES Y UN CUERPO FIJO. DISEÑO A CONVENIR. INCLUYE HERRAJE, CERRADURA, REFUERZOS LATERALES-SUPERIORES, PERFORACIONES DE VENTILACION DE 2" Y TODOS LOS ELEMENTOS NECESARIOS PARA SU INSTALACION.</t>
  </si>
  <si>
    <t>VIDRIO TEMPLADO INCOLORO DE 10MM.</t>
  </si>
  <si>
    <t>VIDRIO TEMPLADO INCOLORO DE 6MM.</t>
  </si>
  <si>
    <t>PERFILERIA ALUMINIO</t>
  </si>
  <si>
    <t>SUMINISTRO E INSTALACIÓN DE PELICULA UV INCOLORA</t>
  </si>
  <si>
    <t>PISO LAMINADO SPC, COLOR A ELEGIR, INCLUYE TODOS LOS ELEMENTOS REQUERIDOS PARA SU INSTALACIÓN, ESPESOR 5MM, TRÁFICO PESADO, SISTEMA TIPO CLICK, PIRLANES, CALIDAD PRIMERA.</t>
  </si>
  <si>
    <t>PIRLAN DE TRANSICION</t>
  </si>
  <si>
    <t>CELOSÍA ALUMINIO 100CM X 60 CM</t>
  </si>
  <si>
    <t>2.16</t>
  </si>
  <si>
    <t>ICCU 10.2 pg 26</t>
  </si>
  <si>
    <t>7.2</t>
  </si>
  <si>
    <t>7.4</t>
  </si>
  <si>
    <t>7.3</t>
  </si>
  <si>
    <t>7.5</t>
  </si>
  <si>
    <t>7.6</t>
  </si>
  <si>
    <t>7.7</t>
  </si>
  <si>
    <t>7.8</t>
  </si>
  <si>
    <t>7.9</t>
  </si>
  <si>
    <t>AIRE ACONDICIONADO 36.000 BTU, MARCA RECONOCIDA, 220 V MONOFÁSICO. INCLUYE: KIT DE INSTALACIÓN 3 ML</t>
  </si>
  <si>
    <t>AIRE ACONDICIONADO 18.000 BTU, MARCA RECONOCIDA, 220 V MONOFÁSICO. INCLUYE: KIT DE INSTALACIÓN 3 ML</t>
  </si>
  <si>
    <t>LAMPARA PANEL LED 30X120 40W LUZ CALIDA</t>
  </si>
  <si>
    <t>BANDEJA TIPO CABLOFIL CF 100/54 EN DUCTO ELÉCTRICO</t>
  </si>
  <si>
    <t>11.1</t>
  </si>
  <si>
    <t>11.2</t>
  </si>
  <si>
    <t>11.3</t>
  </si>
  <si>
    <t>11.4</t>
  </si>
  <si>
    <t>11.5</t>
  </si>
  <si>
    <t>11.6</t>
  </si>
  <si>
    <t>11.7</t>
  </si>
  <si>
    <t>11.8</t>
  </si>
  <si>
    <t>11.9</t>
  </si>
  <si>
    <t>11.10</t>
  </si>
  <si>
    <t xml:space="preserve">BARANDA DE 0,8M  EN ACERO INOXIDABLE DE 2". PARALES DISTANCIADOS A 1,40M.  INCUYE TODOS LOS ELEMENTOS NECASARIOS PARA SU INSTALACION </t>
  </si>
  <si>
    <t>BARANDA DE 0,8M  EN ACERO INOXIDABLE DE 2"</t>
  </si>
  <si>
    <t>ACCESORIO BARANDA ACCERO INOXIDABLE</t>
  </si>
  <si>
    <t>TEJA TERMOACUSTICA 2MM</t>
  </si>
  <si>
    <t xml:space="preserve">SUMINISTRO E INSTALACION TEJA TERMOACUSTICA </t>
  </si>
  <si>
    <t xml:space="preserve">PUERTA VIDRIO TEMPLADO ENTRE 6 Y 8MM DE SEGURIDAD, ANCHO DE 90 A 110 CM, CON DOS CUERPOS FIJOS LATERALES, MARCO EN ALUMINIO ANODIZADO NEGRO,  DISEÑO A ELEGIR. INCLUYE, BISAGRA HIDRAULICA, HERRAJES, CHAPA,  REFUERZOS SUPERIORES Y LATERALES PARA ANCLAJE. </t>
  </si>
  <si>
    <t xml:space="preserve">PUERTA, ANCHO DE 90 A 110 CM, CON DOS CUERPOS FIJOS LATERALES, MARCO EN ALUMINIO ANODIZADO NEGRO,  DISEÑO A ELEGIR. INCLUYE, HERRAJES, REFUERZOS SUPERIORES Y LATERALES PARA ANCLAJE. </t>
  </si>
  <si>
    <t>CHAPA TIPO PALANCA</t>
  </si>
  <si>
    <t>SWITCH ADMINISTRABLE CAPA 3 DE 48-PUERTOS 10/100/1000 1000 (IEEE 802.3 Type 10BASE-T, IEEE 802.3u Type 100BASE-T Type 100BASE-TX IEEE802.3ab Type 1000BASE-T); Duplex; 10BASE-T/100BASE-TX: half or full; 1000BASE-T: full only; Ports 1-24 support MACSec, 1 module slack para cables DAC</t>
  </si>
  <si>
    <t>PATCH PANEL ANGULADO DE 48 PUERTOS CATEGORÍA 6A  PARA F/ UTP DEBIDAMENTE BLINDADO Y ATERRIZADO</t>
  </si>
  <si>
    <t>ZONEFLEX R850 DUAL-BAND IEEE 802.11a/b/g/n/ac/ax WIRELESS ACCESS POINT, 8x8:8 SU-MIMO and MU-MIMO, SUPPORT. INCLUYE ADAPTADOR DE CORRIENTE O EL INYECTOR POE.</t>
  </si>
  <si>
    <t>SPARES OF POWER OVER ETHERNET (POE) ADAPTER (10/100/1000 MBPS) CON EL ADAPTADOR DE ENERGÍA, CANTIDAD DE 1 UNIDAD (APLICABLE PARA, R850)</t>
  </si>
  <si>
    <t>JONATAN ALEJANDRO SANCHEZ CARDOZO</t>
  </si>
  <si>
    <t>ARQUITECTO BIENES Y SERVICIOS</t>
  </si>
  <si>
    <t>UNIVERSIDAD DE CUNDINAMARCA</t>
  </si>
  <si>
    <t>ICCU 10.23 PG 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</si>
</sst>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2" formatCode="_-&quot;$&quot;\ * #,##0_-;\-&quot;$&quot;\ * #,##0_-;_-&quot;$&quot;\ * &quot;-&quot;_-;_-@_-"/>
    <numFmt numFmtId="44" formatCode="_-&quot;$&quot;\ * #,##0.00_-;\-&quot;$&quot;\ * #,##0.00_-;_-&quot;$&quot;\ * &quot;-&quot;??_-;_-@_-"/>
    <numFmt numFmtId="164" formatCode="_-&quot;$&quot;* #,##0_-;\-&quot;$&quot;* #,##0_-;_-&quot;$&quot;* &quot;-&quot;_-;_-@_-"/>
    <numFmt numFmtId="165" formatCode="_-&quot;$&quot;* #,##0.00_-;\-&quot;$&quot;* #,##0.00_-;_-&quot;$&quot;* &quot;-&quot;??_-;_-@_-"/>
    <numFmt numFmtId="166" formatCode="0.0"/>
    <numFmt numFmtId="167" formatCode="_(&quot;$&quot;\ * #,##0_);_(&quot;$&quot;\ * \(#,##0\);_(&quot;$&quot;\ * &quot;-&quot;_);_(@_)"/>
    <numFmt numFmtId="168" formatCode="_-&quot;$&quot;* #,##0_-;\-&quot;$&quot;* #,##0_-;_-&quot;$&quot;* &quot;-&quot;??_-;_-@_-"/>
    <numFmt numFmtId="169" formatCode="_(* #,##0.00_);_(* \(#,##0.00\);_(* &quot;-&quot;??_);_(@_)"/>
    <numFmt numFmtId="170" formatCode="_(* #,##0_);_(* \(#,##0\);_(* &quot;-&quot;??_);_(@_)"/>
    <numFmt numFmtId="171" formatCode="_-&quot;$&quot;* #,##0.00_-;\-&quot;$&quot;* #,##0.00_-;_-&quot;$&quot;* &quot;-&quot;_-;_-@_-"/>
    <numFmt numFmtId="172" formatCode="0.000"/>
    <numFmt numFmtId="173" formatCode="_-* #,##0.000\ [$€]_-;\-* #,##0.000\ [$€]_-;_-* &quot;-&quot;??\ [$€]_-;_-@_-"/>
    <numFmt numFmtId="174" formatCode="_-&quot;$&quot;\ * #,##0.00_-;\-&quot;$&quot;\ * #,##0.00_-;_-&quot;$&quot;\ * &quot;-&quot;_-;_-@_-"/>
    <numFmt numFmtId="175" formatCode="#,##0.00_ ;\-#,##0.00\ "/>
    <numFmt numFmtId="176" formatCode="0.0000"/>
    <numFmt numFmtId="177" formatCode="#,##0.0000"/>
    <numFmt numFmtId="178" formatCode="#,##0.0_ ;\-#,##0.0\ "/>
    <numFmt numFmtId="179" formatCode="#,##0.0"/>
    <numFmt numFmtId="180" formatCode="_-&quot;$&quot;* #,##0.0000_-;\-&quot;$&quot;* #,##0.0000_-;_-&quot;$&quot;* &quot;-&quot;_-;_-@_-"/>
  </numFmts>
  <fonts count="20">
    <font>
      <sz val="11"/>
      <color theme="1"/>
      <name val="Calibri"/>
      <family val="2"/>
      <scheme val="minor"/>
    </font>
    <font>
      <sz val="11"/>
      <color theme="1"/>
      <name val="Calibri"/>
      <family val="2"/>
      <scheme val="minor"/>
    </font>
    <font>
      <sz val="10"/>
      <name val="Arial"/>
      <family val="2"/>
    </font>
    <font>
      <b/>
      <sz val="10"/>
      <name val="Arial"/>
      <family val="2"/>
    </font>
    <font>
      <sz val="10"/>
      <name val="Geneva"/>
    </font>
    <font>
      <b/>
      <vertAlign val="superscript"/>
      <sz val="10"/>
      <name val="Arial"/>
      <family val="2"/>
    </font>
    <font>
      <b/>
      <sz val="10"/>
      <color rgb="FFFFFFFF"/>
      <name val="Arial Narrow"/>
      <family val="2"/>
    </font>
    <font>
      <sz val="10"/>
      <color theme="1"/>
      <name val="Arial Narrow"/>
      <family val="2"/>
    </font>
    <font>
      <sz val="10"/>
      <color rgb="FF000000"/>
      <name val="Arial Narrow"/>
      <family val="2"/>
    </font>
    <font>
      <b/>
      <sz val="10"/>
      <color theme="1"/>
      <name val="Arial Narrow"/>
      <family val="2"/>
    </font>
    <font>
      <b/>
      <sz val="10"/>
      <color rgb="FF000000"/>
      <name val="Arial Narrow"/>
      <family val="2"/>
    </font>
    <font>
      <sz val="10"/>
      <color theme="1" tint="0.14999847407452621"/>
      <name val="Arial Narrow"/>
      <family val="2"/>
    </font>
    <font>
      <sz val="10"/>
      <name val="Geneva"/>
      <family val="2"/>
    </font>
    <font>
      <sz val="10"/>
      <color rgb="FFFF0000"/>
      <name val="Arial Narrow"/>
      <family val="2"/>
    </font>
    <font>
      <sz val="10"/>
      <name val="Futura Md BT"/>
      <family val="2"/>
    </font>
    <font>
      <b/>
      <sz val="24"/>
      <color rgb="FF333333"/>
      <name val="Arial"/>
      <family val="2"/>
    </font>
    <font>
      <sz val="8"/>
      <name val="Calibri"/>
      <family val="2"/>
      <scheme val="minor"/>
    </font>
    <font>
      <sz val="8"/>
      <color rgb="FF000000"/>
      <name val="Calibri "/>
    </font>
    <font>
      <sz val="8"/>
      <color theme="1"/>
      <name val="Arial"/>
      <family val="2"/>
    </font>
    <font>
      <sz val="9"/>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2" tint="-9.9978637043366805E-2"/>
        <bgColor indexed="64"/>
      </patternFill>
    </fill>
    <fill>
      <patternFill patternType="solid">
        <fgColor rgb="FFEDE395"/>
        <bgColor indexed="64"/>
      </patternFill>
    </fill>
    <fill>
      <patternFill patternType="solid">
        <fgColor theme="7" tint="0.79998168889431442"/>
        <bgColor indexed="64"/>
      </patternFill>
    </fill>
    <fill>
      <patternFill patternType="solid">
        <fgColor rgb="FF4B514E"/>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79998168889431442"/>
        <bgColor indexed="64"/>
      </patternFill>
    </fill>
    <fill>
      <patternFill patternType="solid">
        <fgColor indexed="22"/>
        <bgColor indexed="64"/>
      </patternFill>
    </fill>
  </fills>
  <borders count="64">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s>
  <cellStyleXfs count="14">
    <xf numFmtId="0" fontId="0" fillId="0" borderId="0"/>
    <xf numFmtId="164" fontId="1" fillId="0" borderId="0" applyFont="0" applyFill="0" applyBorder="0" applyAlignment="0" applyProtection="0"/>
    <xf numFmtId="0" fontId="2" fillId="0" borderId="0"/>
    <xf numFmtId="0" fontId="4" fillId="0" borderId="0"/>
    <xf numFmtId="167" fontId="2" fillId="0" borderId="0" applyFont="0" applyFill="0" applyBorder="0" applyAlignment="0" applyProtection="0"/>
    <xf numFmtId="44" fontId="1"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173" fontId="1" fillId="0" borderId="0"/>
    <xf numFmtId="42" fontId="1" fillId="0" borderId="0" applyFont="0" applyFill="0" applyBorder="0" applyAlignment="0" applyProtection="0"/>
    <xf numFmtId="173" fontId="1" fillId="0" borderId="0"/>
    <xf numFmtId="165" fontId="1" fillId="0" borderId="0" applyFont="0" applyFill="0" applyBorder="0" applyAlignment="0" applyProtection="0"/>
    <xf numFmtId="42" fontId="1" fillId="0" borderId="0" applyFont="0" applyFill="0" applyBorder="0" applyAlignment="0" applyProtection="0"/>
    <xf numFmtId="0" fontId="12" fillId="0" borderId="0"/>
  </cellStyleXfs>
  <cellXfs count="561">
    <xf numFmtId="0" fontId="0" fillId="0" borderId="0" xfId="0"/>
    <xf numFmtId="44" fontId="2" fillId="0" borderId="6" xfId="5" applyFont="1" applyFill="1" applyBorder="1" applyAlignment="1">
      <alignment vertical="center" wrapText="1"/>
    </xf>
    <xf numFmtId="9" fontId="2" fillId="0" borderId="6" xfId="5" applyNumberFormat="1" applyFont="1" applyFill="1" applyBorder="1" applyAlignment="1">
      <alignment vertical="center" wrapText="1"/>
    </xf>
    <xf numFmtId="44" fontId="2" fillId="0" borderId="15" xfId="5" applyFont="1" applyFill="1" applyBorder="1" applyAlignment="1">
      <alignment vertical="center" wrapText="1"/>
    </xf>
    <xf numFmtId="9" fontId="2" fillId="0" borderId="15" xfId="5" applyNumberFormat="1" applyFont="1" applyFill="1" applyBorder="1" applyAlignment="1">
      <alignment vertical="center" wrapText="1"/>
    </xf>
    <xf numFmtId="9" fontId="2" fillId="0" borderId="6" xfId="7" applyNumberFormat="1" applyFont="1" applyBorder="1"/>
    <xf numFmtId="169" fontId="2" fillId="0" borderId="14" xfId="6" applyFont="1" applyBorder="1"/>
    <xf numFmtId="0" fontId="2" fillId="0" borderId="17" xfId="0" applyFont="1" applyBorder="1" applyAlignment="1">
      <alignment horizontal="center"/>
    </xf>
    <xf numFmtId="0" fontId="3" fillId="0" borderId="0" xfId="0" applyFont="1" applyFill="1" applyBorder="1" applyAlignment="1">
      <alignment horizontal="center"/>
    </xf>
    <xf numFmtId="0" fontId="2" fillId="0" borderId="0" xfId="0" applyFont="1" applyBorder="1" applyAlignment="1">
      <alignment vertical="center"/>
    </xf>
    <xf numFmtId="0" fontId="2" fillId="0" borderId="18" xfId="0" applyFont="1" applyBorder="1" applyAlignment="1">
      <alignment vertical="center"/>
    </xf>
    <xf numFmtId="0" fontId="2" fillId="0" borderId="0" xfId="0" applyFont="1" applyBorder="1" applyAlignment="1">
      <alignment horizontal="right"/>
    </xf>
    <xf numFmtId="0" fontId="2" fillId="0" borderId="0" xfId="0" applyFont="1" applyBorder="1" applyAlignment="1">
      <alignment horizontal="center"/>
    </xf>
    <xf numFmtId="0" fontId="2" fillId="0" borderId="18" xfId="0" applyFont="1" applyBorder="1" applyAlignment="1">
      <alignment horizontal="center"/>
    </xf>
    <xf numFmtId="0" fontId="2" fillId="0" borderId="7" xfId="0" applyFont="1" applyBorder="1"/>
    <xf numFmtId="0" fontId="2" fillId="0" borderId="20" xfId="0" applyFont="1" applyBorder="1"/>
    <xf numFmtId="0" fontId="2" fillId="0" borderId="21" xfId="0" applyFont="1" applyBorder="1"/>
    <xf numFmtId="0" fontId="2" fillId="0" borderId="22" xfId="0" applyFont="1" applyBorder="1"/>
    <xf numFmtId="0" fontId="2" fillId="0" borderId="23" xfId="0" applyFont="1" applyBorder="1"/>
    <xf numFmtId="0" fontId="2" fillId="0" borderId="0" xfId="0" applyFont="1" applyBorder="1"/>
    <xf numFmtId="0" fontId="2" fillId="0" borderId="24" xfId="0" applyFont="1" applyBorder="1"/>
    <xf numFmtId="0" fontId="3" fillId="0" borderId="17" xfId="0" applyFont="1" applyBorder="1" applyAlignment="1" applyProtection="1">
      <alignment horizontal="left"/>
      <protection locked="0"/>
    </xf>
    <xf numFmtId="0" fontId="3" fillId="0" borderId="0" xfId="0" applyFont="1" applyBorder="1" applyAlignment="1" applyProtection="1">
      <alignment horizontal="left"/>
      <protection locked="0"/>
    </xf>
    <xf numFmtId="0" fontId="2" fillId="0" borderId="0" xfId="0" applyFont="1" applyBorder="1" applyProtection="1">
      <protection locked="0"/>
    </xf>
    <xf numFmtId="0" fontId="2" fillId="0" borderId="18" xfId="0" applyFont="1" applyBorder="1"/>
    <xf numFmtId="0" fontId="3" fillId="0" borderId="17" xfId="0" applyFont="1" applyBorder="1" applyProtection="1">
      <protection locked="0"/>
    </xf>
    <xf numFmtId="0" fontId="3" fillId="0" borderId="0" xfId="0" applyFont="1" applyBorder="1"/>
    <xf numFmtId="0" fontId="2" fillId="0" borderId="0"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0" xfId="0" applyFont="1" applyBorder="1" applyProtection="1">
      <protection locked="0"/>
    </xf>
    <xf numFmtId="0" fontId="2" fillId="0" borderId="17" xfId="0" applyFont="1" applyBorder="1"/>
    <xf numFmtId="0" fontId="3" fillId="11" borderId="25" xfId="0" applyFont="1" applyFill="1" applyBorder="1" applyAlignment="1">
      <alignment horizontal="center"/>
    </xf>
    <xf numFmtId="0" fontId="3" fillId="11" borderId="26" xfId="0" applyFont="1" applyFill="1" applyBorder="1" applyAlignment="1">
      <alignment horizontal="center" wrapText="1"/>
    </xf>
    <xf numFmtId="0" fontId="2" fillId="0" borderId="29" xfId="0" applyFont="1" applyBorder="1"/>
    <xf numFmtId="0" fontId="2" fillId="0" borderId="30" xfId="0" applyFont="1" applyBorder="1" applyAlignment="1">
      <alignment horizontal="center"/>
    </xf>
    <xf numFmtId="2" fontId="2" fillId="0" borderId="29" xfId="0" applyNumberFormat="1" applyFont="1" applyBorder="1" applyAlignment="1"/>
    <xf numFmtId="0" fontId="3" fillId="11" borderId="33" xfId="0" applyFont="1" applyFill="1" applyBorder="1"/>
    <xf numFmtId="0" fontId="2" fillId="11" borderId="34" xfId="0" applyFont="1" applyFill="1" applyBorder="1"/>
    <xf numFmtId="0" fontId="2" fillId="11" borderId="35" xfId="0" applyFont="1" applyFill="1" applyBorder="1"/>
    <xf numFmtId="0" fontId="3" fillId="0" borderId="17" xfId="0" applyFont="1" applyFill="1" applyBorder="1"/>
    <xf numFmtId="0" fontId="2" fillId="0" borderId="0" xfId="0" applyFont="1" applyFill="1" applyBorder="1"/>
    <xf numFmtId="0" fontId="2" fillId="0" borderId="20" xfId="0" applyFont="1" applyFill="1" applyBorder="1"/>
    <xf numFmtId="0" fontId="2" fillId="0" borderId="18" xfId="0" applyFont="1" applyFill="1" applyBorder="1"/>
    <xf numFmtId="0" fontId="3" fillId="11" borderId="10" xfId="0" applyFont="1" applyFill="1" applyBorder="1" applyAlignment="1">
      <alignment horizontal="center"/>
    </xf>
    <xf numFmtId="0" fontId="3" fillId="11" borderId="13" xfId="0" applyFont="1" applyFill="1" applyBorder="1" applyAlignment="1">
      <alignment horizontal="center"/>
    </xf>
    <xf numFmtId="2" fontId="2" fillId="0" borderId="6" xfId="0" applyNumberFormat="1" applyFont="1" applyBorder="1"/>
    <xf numFmtId="2" fontId="2" fillId="0" borderId="14" xfId="0" applyNumberFormat="1" applyFont="1" applyBorder="1"/>
    <xf numFmtId="0" fontId="2" fillId="0" borderId="46" xfId="0" applyFont="1" applyBorder="1"/>
    <xf numFmtId="0" fontId="2" fillId="0" borderId="53" xfId="0" applyFont="1" applyBorder="1"/>
    <xf numFmtId="2" fontId="2" fillId="11" borderId="1" xfId="0" applyNumberFormat="1" applyFont="1" applyFill="1" applyBorder="1"/>
    <xf numFmtId="0" fontId="3" fillId="0" borderId="17" xfId="0" applyFont="1" applyBorder="1"/>
    <xf numFmtId="0" fontId="3" fillId="11" borderId="40" xfId="0" applyFont="1" applyFill="1" applyBorder="1"/>
    <xf numFmtId="0" fontId="2" fillId="11" borderId="41" xfId="0" applyFont="1" applyFill="1" applyBorder="1"/>
    <xf numFmtId="0" fontId="2" fillId="11" borderId="47" xfId="0" applyFont="1" applyFill="1" applyBorder="1"/>
    <xf numFmtId="0" fontId="3" fillId="11" borderId="37" xfId="0" applyFont="1" applyFill="1" applyBorder="1" applyAlignment="1">
      <alignment horizontal="center"/>
    </xf>
    <xf numFmtId="0" fontId="2" fillId="0" borderId="41" xfId="0" applyFont="1" applyBorder="1"/>
    <xf numFmtId="165" fontId="2" fillId="0" borderId="14" xfId="0" applyNumberFormat="1" applyFont="1" applyBorder="1"/>
    <xf numFmtId="0" fontId="2" fillId="0" borderId="15" xfId="0" applyFont="1" applyBorder="1"/>
    <xf numFmtId="165" fontId="2" fillId="11" borderId="1" xfId="0" applyNumberFormat="1" applyFont="1" applyFill="1" applyBorder="1"/>
    <xf numFmtId="0" fontId="3" fillId="11" borderId="27" xfId="0" applyFont="1" applyFill="1" applyBorder="1" applyAlignment="1">
      <alignment horizontal="center"/>
    </xf>
    <xf numFmtId="0" fontId="3" fillId="11" borderId="10" xfId="0" applyFont="1" applyFill="1" applyBorder="1" applyAlignment="1"/>
    <xf numFmtId="0" fontId="2" fillId="0" borderId="6" xfId="0" applyFont="1" applyBorder="1"/>
    <xf numFmtId="0" fontId="2" fillId="0" borderId="14" xfId="0" applyFont="1" applyBorder="1"/>
    <xf numFmtId="0" fontId="2" fillId="11" borderId="1" xfId="0" applyFont="1" applyFill="1" applyBorder="1"/>
    <xf numFmtId="0" fontId="3" fillId="11" borderId="10" xfId="0" applyFont="1" applyFill="1" applyBorder="1" applyAlignment="1">
      <alignment horizontal="center" wrapText="1"/>
    </xf>
    <xf numFmtId="0" fontId="3" fillId="11" borderId="13" xfId="0" applyFont="1" applyFill="1" applyBorder="1" applyAlignment="1">
      <alignment horizontal="center" wrapText="1"/>
    </xf>
    <xf numFmtId="165" fontId="2" fillId="0" borderId="6" xfId="0" applyNumberFormat="1" applyFont="1" applyBorder="1"/>
    <xf numFmtId="165" fontId="2" fillId="0" borderId="15" xfId="0" applyNumberFormat="1" applyFont="1" applyBorder="1"/>
    <xf numFmtId="165" fontId="2" fillId="0" borderId="16" xfId="0" applyNumberFormat="1" applyFont="1" applyBorder="1"/>
    <xf numFmtId="165" fontId="2" fillId="11" borderId="8" xfId="0" applyNumberFormat="1" applyFont="1" applyFill="1" applyBorder="1"/>
    <xf numFmtId="168" fontId="2" fillId="11" borderId="1" xfId="0" applyNumberFormat="1" applyFont="1" applyFill="1" applyBorder="1"/>
    <xf numFmtId="170" fontId="2" fillId="11" borderId="1" xfId="0" applyNumberFormat="1" applyFont="1" applyFill="1" applyBorder="1"/>
    <xf numFmtId="171" fontId="2" fillId="0" borderId="6" xfId="0" applyNumberFormat="1" applyFont="1" applyBorder="1"/>
    <xf numFmtId="0" fontId="2" fillId="0" borderId="41" xfId="0" applyFont="1" applyBorder="1" applyAlignment="1">
      <alignment horizontal="center"/>
    </xf>
    <xf numFmtId="0" fontId="2" fillId="0" borderId="34" xfId="0" applyFont="1" applyBorder="1" applyAlignment="1">
      <alignment horizontal="center"/>
    </xf>
    <xf numFmtId="164" fontId="2" fillId="0" borderId="16" xfId="0" applyNumberFormat="1" applyFont="1" applyBorder="1"/>
    <xf numFmtId="169" fontId="2" fillId="11" borderId="8" xfId="0" applyNumberFormat="1" applyFont="1" applyFill="1" applyBorder="1"/>
    <xf numFmtId="169" fontId="2" fillId="0" borderId="6" xfId="6" applyFont="1" applyBorder="1"/>
    <xf numFmtId="9" fontId="2" fillId="0" borderId="6" xfId="7" applyFont="1" applyBorder="1"/>
    <xf numFmtId="0" fontId="3" fillId="11" borderId="23" xfId="0" applyFont="1" applyFill="1" applyBorder="1" applyAlignment="1">
      <alignment horizontal="center"/>
    </xf>
    <xf numFmtId="0" fontId="3" fillId="11" borderId="12" xfId="0" applyFont="1" applyFill="1" applyBorder="1" applyAlignment="1">
      <alignment horizontal="center" wrapText="1"/>
    </xf>
    <xf numFmtId="0" fontId="3" fillId="11" borderId="48" xfId="0" applyFont="1" applyFill="1" applyBorder="1" applyAlignment="1">
      <alignment horizontal="center" wrapText="1"/>
    </xf>
    <xf numFmtId="0" fontId="3" fillId="11" borderId="49" xfId="0" applyFont="1" applyFill="1" applyBorder="1" applyAlignment="1">
      <alignment horizontal="center" wrapText="1"/>
    </xf>
    <xf numFmtId="169" fontId="2" fillId="0" borderId="10" xfId="6" applyFont="1" applyBorder="1"/>
    <xf numFmtId="9" fontId="2" fillId="0" borderId="10" xfId="7" applyFont="1" applyBorder="1"/>
    <xf numFmtId="9" fontId="2" fillId="0" borderId="10" xfId="7" applyNumberFormat="1" applyFont="1" applyBorder="1"/>
    <xf numFmtId="169" fontId="2" fillId="0" borderId="13" xfId="6" applyFont="1" applyBorder="1"/>
    <xf numFmtId="169" fontId="2" fillId="0" borderId="15" xfId="6" applyFont="1" applyBorder="1"/>
    <xf numFmtId="9" fontId="2" fillId="0" borderId="15" xfId="7" applyFont="1" applyBorder="1"/>
    <xf numFmtId="9" fontId="2" fillId="0" borderId="15" xfId="7" applyNumberFormat="1" applyFont="1" applyBorder="1"/>
    <xf numFmtId="169" fontId="2" fillId="0" borderId="16" xfId="6" applyFont="1" applyBorder="1"/>
    <xf numFmtId="164" fontId="2" fillId="0" borderId="46" xfId="0" applyNumberFormat="1" applyFont="1" applyBorder="1"/>
    <xf numFmtId="175" fontId="1" fillId="0" borderId="9" xfId="10" applyNumberFormat="1" applyBorder="1" applyAlignment="1">
      <alignment horizontal="center" vertical="center"/>
    </xf>
    <xf numFmtId="2" fontId="1" fillId="0" borderId="9" xfId="10" applyNumberFormat="1" applyBorder="1" applyAlignment="1">
      <alignment horizontal="center" vertical="center"/>
    </xf>
    <xf numFmtId="165" fontId="0" fillId="0" borderId="0" xfId="0" applyNumberFormat="1"/>
    <xf numFmtId="0" fontId="0" fillId="0" borderId="15" xfId="0" applyBorder="1" applyAlignment="1">
      <alignment horizontal="center"/>
    </xf>
    <xf numFmtId="165" fontId="0" fillId="0" borderId="15" xfId="11" applyFont="1" applyBorder="1" applyAlignment="1"/>
    <xf numFmtId="2" fontId="0" fillId="0" borderId="15" xfId="0" applyNumberFormat="1" applyBorder="1" applyAlignment="1"/>
    <xf numFmtId="44" fontId="0" fillId="0" borderId="15" xfId="9" applyNumberFormat="1" applyFont="1" applyBorder="1" applyAlignment="1">
      <alignment horizontal="right" vertical="center"/>
    </xf>
    <xf numFmtId="0" fontId="2" fillId="0" borderId="41" xfId="0" applyFont="1" applyBorder="1" applyAlignment="1">
      <alignment horizontal="center" wrapText="1"/>
    </xf>
    <xf numFmtId="0" fontId="2" fillId="0" borderId="30" xfId="0" applyFont="1" applyBorder="1" applyAlignment="1">
      <alignment horizontal="center"/>
    </xf>
    <xf numFmtId="0" fontId="2" fillId="0" borderId="0"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3" fillId="11" borderId="26" xfId="0" applyFont="1" applyFill="1" applyBorder="1" applyAlignment="1">
      <alignment horizontal="center" wrapText="1"/>
    </xf>
    <xf numFmtId="0" fontId="3" fillId="11" borderId="27" xfId="0" applyFont="1" applyFill="1" applyBorder="1" applyAlignment="1">
      <alignment horizontal="center"/>
    </xf>
    <xf numFmtId="0" fontId="3" fillId="11" borderId="37" xfId="0" applyFont="1" applyFill="1" applyBorder="1" applyAlignment="1">
      <alignment horizontal="center"/>
    </xf>
    <xf numFmtId="0" fontId="3" fillId="11" borderId="23" xfId="0" applyFont="1" applyFill="1" applyBorder="1" applyAlignment="1">
      <alignment horizontal="center"/>
    </xf>
    <xf numFmtId="0" fontId="3" fillId="11" borderId="12" xfId="0" applyFont="1" applyFill="1" applyBorder="1" applyAlignment="1">
      <alignment horizontal="center" wrapText="1"/>
    </xf>
    <xf numFmtId="0" fontId="2" fillId="0" borderId="17" xfId="0" applyFont="1" applyBorder="1" applyAlignment="1">
      <alignment horizontal="center"/>
    </xf>
    <xf numFmtId="0" fontId="2" fillId="0" borderId="0" xfId="0" applyFont="1" applyBorder="1" applyAlignment="1">
      <alignment horizontal="center"/>
    </xf>
    <xf numFmtId="0" fontId="3" fillId="11" borderId="10" xfId="0" applyFont="1" applyFill="1" applyBorder="1" applyAlignment="1">
      <alignment horizontal="center"/>
    </xf>
    <xf numFmtId="0" fontId="3" fillId="11" borderId="10" xfId="0" applyFont="1" applyFill="1" applyBorder="1" applyAlignment="1">
      <alignment horizontal="center" wrapText="1"/>
    </xf>
    <xf numFmtId="2" fontId="2" fillId="0" borderId="6" xfId="0" applyNumberFormat="1" applyFont="1" applyBorder="1" applyAlignment="1">
      <alignment horizontal="center"/>
    </xf>
    <xf numFmtId="0" fontId="3" fillId="11" borderId="48" xfId="0" applyFont="1" applyFill="1" applyBorder="1" applyAlignment="1">
      <alignment horizontal="center"/>
    </xf>
    <xf numFmtId="0" fontId="3" fillId="11" borderId="49" xfId="0" applyFont="1" applyFill="1" applyBorder="1" applyAlignment="1">
      <alignment horizontal="center"/>
    </xf>
    <xf numFmtId="0" fontId="7" fillId="0" borderId="0" xfId="0" applyFont="1" applyAlignment="1">
      <alignment wrapText="1"/>
    </xf>
    <xf numFmtId="3" fontId="9" fillId="0" borderId="0" xfId="0" applyNumberFormat="1" applyFont="1"/>
    <xf numFmtId="164" fontId="7" fillId="0" borderId="0" xfId="0" applyNumberFormat="1" applyFont="1" applyAlignment="1">
      <alignment wrapText="1"/>
    </xf>
    <xf numFmtId="164" fontId="7" fillId="2" borderId="0" xfId="0" applyNumberFormat="1" applyFont="1" applyFill="1" applyAlignment="1">
      <alignment wrapText="1"/>
    </xf>
    <xf numFmtId="0" fontId="7" fillId="2" borderId="0" xfId="0" applyFont="1" applyFill="1" applyAlignment="1">
      <alignment wrapText="1"/>
    </xf>
    <xf numFmtId="0" fontId="8" fillId="10" borderId="6" xfId="0" applyFont="1" applyFill="1" applyBorder="1" applyAlignment="1">
      <alignment horizontal="left" vertical="center" wrapText="1"/>
    </xf>
    <xf numFmtId="0" fontId="7" fillId="2" borderId="0" xfId="0" applyFont="1" applyFill="1" applyAlignment="1"/>
    <xf numFmtId="0" fontId="7" fillId="0" borderId="0" xfId="0" applyFont="1" applyAlignment="1"/>
    <xf numFmtId="0" fontId="7" fillId="10" borderId="6" xfId="0" applyFont="1" applyFill="1" applyBorder="1" applyAlignment="1">
      <alignment vertical="center" wrapText="1"/>
    </xf>
    <xf numFmtId="1" fontId="8" fillId="3" borderId="0" xfId="0" applyNumberFormat="1"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2" borderId="0" xfId="0" applyFont="1" applyFill="1" applyBorder="1" applyAlignment="1">
      <alignment vertical="center" wrapText="1"/>
    </xf>
    <xf numFmtId="0" fontId="10" fillId="2" borderId="0" xfId="0" applyFont="1" applyFill="1" applyBorder="1" applyAlignment="1">
      <alignment horizontal="center" vertical="center" wrapText="1"/>
    </xf>
    <xf numFmtId="0" fontId="7" fillId="2" borderId="0" xfId="0" applyFont="1" applyFill="1" applyBorder="1" applyAlignment="1">
      <alignment wrapText="1"/>
    </xf>
    <xf numFmtId="171" fontId="7" fillId="2" borderId="0" xfId="0" applyNumberFormat="1" applyFont="1" applyFill="1" applyBorder="1" applyAlignment="1">
      <alignment wrapText="1"/>
    </xf>
    <xf numFmtId="0" fontId="7" fillId="3" borderId="0" xfId="0" applyFont="1" applyFill="1" applyBorder="1" applyAlignment="1">
      <alignment horizontal="center" wrapText="1"/>
    </xf>
    <xf numFmtId="0" fontId="8" fillId="3" borderId="0" xfId="0" applyFont="1" applyFill="1" applyBorder="1" applyAlignment="1">
      <alignment horizontal="left" vertical="center" wrapText="1"/>
    </xf>
    <xf numFmtId="0" fontId="8" fillId="3" borderId="0" xfId="0" applyFont="1" applyFill="1" applyBorder="1" applyAlignment="1">
      <alignment horizontal="left" vertical="center"/>
    </xf>
    <xf numFmtId="171" fontId="8" fillId="3" borderId="0" xfId="1" applyNumberFormat="1" applyFont="1" applyFill="1" applyBorder="1" applyAlignment="1">
      <alignment horizontal="center" vertical="center" wrapText="1"/>
    </xf>
    <xf numFmtId="171" fontId="10" fillId="3" borderId="0" xfId="0" applyNumberFormat="1" applyFont="1" applyFill="1" applyBorder="1" applyAlignment="1">
      <alignment horizontal="center" vertical="center" wrapText="1"/>
    </xf>
    <xf numFmtId="164" fontId="7" fillId="0" borderId="0" xfId="1" applyFont="1" applyAlignment="1">
      <alignment wrapText="1"/>
    </xf>
    <xf numFmtId="171" fontId="8" fillId="3" borderId="0" xfId="0" applyNumberFormat="1" applyFont="1" applyFill="1" applyBorder="1" applyAlignment="1">
      <alignment horizontal="center" vertical="center" wrapText="1"/>
    </xf>
    <xf numFmtId="0" fontId="9" fillId="3" borderId="0" xfId="0" applyFont="1" applyFill="1" applyBorder="1" applyAlignment="1">
      <alignment horizontal="center" wrapText="1"/>
    </xf>
    <xf numFmtId="0" fontId="7" fillId="3" borderId="0" xfId="0" applyFont="1" applyFill="1" applyBorder="1" applyAlignment="1">
      <alignment horizontal="justify" vertical="top" wrapText="1"/>
    </xf>
    <xf numFmtId="171" fontId="7" fillId="2" borderId="0" xfId="0" applyNumberFormat="1" applyFont="1" applyFill="1"/>
    <xf numFmtId="0" fontId="7" fillId="2" borderId="0" xfId="0" applyFont="1" applyFill="1"/>
    <xf numFmtId="0" fontId="9" fillId="2" borderId="0" xfId="0" applyFont="1" applyFill="1" applyAlignment="1">
      <alignment horizontal="center"/>
    </xf>
    <xf numFmtId="171" fontId="9" fillId="2" borderId="0" xfId="0" applyNumberFormat="1" applyFont="1" applyFill="1" applyAlignment="1">
      <alignment horizontal="center"/>
    </xf>
    <xf numFmtId="0" fontId="7" fillId="2" borderId="0" xfId="0" applyFont="1" applyFill="1" applyAlignment="1">
      <alignment horizontal="center"/>
    </xf>
    <xf numFmtId="171" fontId="7" fillId="2" borderId="0" xfId="0" applyNumberFormat="1" applyFont="1" applyFill="1" applyAlignment="1">
      <alignment horizontal="center"/>
    </xf>
    <xf numFmtId="0" fontId="2" fillId="0" borderId="17" xfId="0" applyFont="1" applyBorder="1" applyAlignment="1">
      <alignment horizontal="center"/>
    </xf>
    <xf numFmtId="0" fontId="2" fillId="0" borderId="0" xfId="0" applyFont="1" applyBorder="1" applyAlignment="1">
      <alignment horizontal="center"/>
    </xf>
    <xf numFmtId="0" fontId="3" fillId="11" borderId="10" xfId="0" applyFont="1" applyFill="1" applyBorder="1" applyAlignment="1">
      <alignment horizontal="center"/>
    </xf>
    <xf numFmtId="0" fontId="3" fillId="11" borderId="10" xfId="0" applyFont="1" applyFill="1" applyBorder="1" applyAlignment="1">
      <alignment horizontal="center" wrapText="1"/>
    </xf>
    <xf numFmtId="0" fontId="3" fillId="11" borderId="23" xfId="0" applyFont="1" applyFill="1" applyBorder="1" applyAlignment="1">
      <alignment horizontal="center"/>
    </xf>
    <xf numFmtId="0" fontId="3" fillId="11" borderId="12" xfId="0" applyFont="1" applyFill="1" applyBorder="1" applyAlignment="1">
      <alignment horizontal="center" wrapText="1"/>
    </xf>
    <xf numFmtId="0" fontId="3" fillId="11" borderId="27" xfId="0" applyFont="1" applyFill="1" applyBorder="1" applyAlignment="1">
      <alignment horizontal="center"/>
    </xf>
    <xf numFmtId="0" fontId="3" fillId="11" borderId="37" xfId="0" applyFont="1" applyFill="1" applyBorder="1" applyAlignment="1">
      <alignment horizontal="center"/>
    </xf>
    <xf numFmtId="0" fontId="2" fillId="0" borderId="30" xfId="0" applyFont="1" applyBorder="1" applyAlignment="1">
      <alignment horizontal="center"/>
    </xf>
    <xf numFmtId="0" fontId="3" fillId="11" borderId="26" xfId="0" applyFont="1" applyFill="1" applyBorder="1" applyAlignment="1">
      <alignment horizontal="center" wrapText="1"/>
    </xf>
    <xf numFmtId="3" fontId="0" fillId="0" borderId="0" xfId="0" applyNumberFormat="1"/>
    <xf numFmtId="2" fontId="2" fillId="0" borderId="29" xfId="0" applyNumberFormat="1" applyFont="1" applyBorder="1"/>
    <xf numFmtId="165" fontId="2" fillId="0" borderId="46" xfId="0" applyNumberFormat="1" applyFont="1" applyBorder="1"/>
    <xf numFmtId="0" fontId="7" fillId="2" borderId="6" xfId="0" applyFont="1" applyFill="1" applyBorder="1" applyAlignment="1">
      <alignment horizontal="center" wrapText="1"/>
    </xf>
    <xf numFmtId="0" fontId="8" fillId="2" borderId="6" xfId="0" applyFont="1" applyFill="1" applyBorder="1" applyAlignment="1">
      <alignment horizontal="center" vertical="center" wrapText="1"/>
    </xf>
    <xf numFmtId="1" fontId="8" fillId="2" borderId="6" xfId="0" applyNumberFormat="1" applyFont="1" applyFill="1" applyBorder="1" applyAlignment="1">
      <alignment horizontal="center" vertical="center" wrapText="1"/>
    </xf>
    <xf numFmtId="171" fontId="8" fillId="0" borderId="6" xfId="1" applyNumberFormat="1" applyFont="1" applyFill="1" applyBorder="1" applyAlignment="1">
      <alignment horizontal="center" vertical="center" wrapText="1"/>
    </xf>
    <xf numFmtId="171" fontId="8" fillId="3" borderId="6" xfId="0" applyNumberFormat="1" applyFont="1" applyFill="1" applyBorder="1" applyAlignment="1">
      <alignment horizontal="center" vertical="center" wrapText="1"/>
    </xf>
    <xf numFmtId="0" fontId="8" fillId="3" borderId="6" xfId="0" applyFont="1" applyFill="1" applyBorder="1" applyAlignment="1">
      <alignment horizontal="center" vertical="center" wrapText="1"/>
    </xf>
    <xf numFmtId="1" fontId="8" fillId="3" borderId="6" xfId="0" applyNumberFormat="1" applyFont="1" applyFill="1" applyBorder="1" applyAlignment="1">
      <alignment horizontal="center" vertical="center" wrapText="1"/>
    </xf>
    <xf numFmtId="172" fontId="2" fillId="0" borderId="6" xfId="0" applyNumberFormat="1" applyFont="1" applyBorder="1"/>
    <xf numFmtId="2" fontId="2" fillId="11" borderId="8" xfId="0" applyNumberFormat="1" applyFont="1" applyFill="1" applyBorder="1"/>
    <xf numFmtId="171" fontId="2" fillId="0" borderId="10" xfId="0" applyNumberFormat="1" applyFont="1" applyBorder="1"/>
    <xf numFmtId="2" fontId="2" fillId="0" borderId="13" xfId="0" applyNumberFormat="1" applyFont="1" applyBorder="1"/>
    <xf numFmtId="171" fontId="2" fillId="0" borderId="15" xfId="0" applyNumberFormat="1" applyFont="1" applyBorder="1"/>
    <xf numFmtId="171" fontId="2" fillId="0" borderId="16" xfId="0" applyNumberFormat="1" applyFont="1" applyBorder="1"/>
    <xf numFmtId="171" fontId="8" fillId="3" borderId="6" xfId="1" applyNumberFormat="1" applyFont="1" applyFill="1" applyBorder="1" applyAlignment="1">
      <alignment horizontal="center" vertical="center" wrapText="1"/>
    </xf>
    <xf numFmtId="171" fontId="8" fillId="2" borderId="6" xfId="1" applyNumberFormat="1" applyFont="1" applyFill="1" applyBorder="1" applyAlignment="1">
      <alignment horizontal="center" vertical="center" wrapText="1"/>
    </xf>
    <xf numFmtId="0" fontId="3" fillId="11" borderId="26" xfId="0" applyFont="1" applyFill="1" applyBorder="1" applyAlignment="1">
      <alignment horizontal="center" wrapText="1"/>
    </xf>
    <xf numFmtId="0" fontId="3" fillId="11" borderId="27" xfId="0" applyFont="1" applyFill="1" applyBorder="1" applyAlignment="1">
      <alignment horizontal="center"/>
    </xf>
    <xf numFmtId="0" fontId="3" fillId="11" borderId="37" xfId="0" applyFont="1" applyFill="1" applyBorder="1" applyAlignment="1">
      <alignment horizontal="center"/>
    </xf>
    <xf numFmtId="0" fontId="3" fillId="11" borderId="23" xfId="0" applyFont="1" applyFill="1" applyBorder="1" applyAlignment="1">
      <alignment horizontal="center"/>
    </xf>
    <xf numFmtId="0" fontId="3" fillId="11" borderId="12" xfId="0" applyFont="1" applyFill="1" applyBorder="1" applyAlignment="1">
      <alignment horizontal="center" wrapText="1"/>
    </xf>
    <xf numFmtId="0" fontId="2" fillId="0" borderId="17" xfId="0" applyFont="1" applyBorder="1" applyAlignment="1">
      <alignment horizontal="center"/>
    </xf>
    <xf numFmtId="0" fontId="2" fillId="0" borderId="0" xfId="0" applyFont="1" applyBorder="1" applyAlignment="1">
      <alignment horizontal="center"/>
    </xf>
    <xf numFmtId="0" fontId="3" fillId="11" borderId="10" xfId="0" applyFont="1" applyFill="1" applyBorder="1" applyAlignment="1">
      <alignment horizontal="center"/>
    </xf>
    <xf numFmtId="0" fontId="3" fillId="11" borderId="10" xfId="0" applyFont="1" applyFill="1" applyBorder="1" applyAlignment="1">
      <alignment horizontal="center" wrapText="1"/>
    </xf>
    <xf numFmtId="164" fontId="13" fillId="9" borderId="0" xfId="0" applyNumberFormat="1" applyFont="1" applyFill="1" applyAlignment="1">
      <alignment wrapText="1"/>
    </xf>
    <xf numFmtId="164" fontId="13" fillId="0" borderId="0" xfId="0" applyNumberFormat="1" applyFont="1" applyAlignment="1">
      <alignment wrapText="1"/>
    </xf>
    <xf numFmtId="0" fontId="2" fillId="0" borderId="30" xfId="0" applyFont="1" applyBorder="1" applyAlignment="1">
      <alignment horizontal="center"/>
    </xf>
    <xf numFmtId="0" fontId="3" fillId="11" borderId="26" xfId="0" applyFont="1" applyFill="1" applyBorder="1" applyAlignment="1">
      <alignment horizontal="center" wrapText="1"/>
    </xf>
    <xf numFmtId="0" fontId="3" fillId="11" borderId="37" xfId="0" applyFont="1" applyFill="1" applyBorder="1" applyAlignment="1">
      <alignment horizontal="center"/>
    </xf>
    <xf numFmtId="0" fontId="3" fillId="11" borderId="27" xfId="0" applyFont="1" applyFill="1" applyBorder="1" applyAlignment="1">
      <alignment horizontal="center"/>
    </xf>
    <xf numFmtId="0" fontId="3" fillId="11" borderId="23" xfId="0" applyFont="1" applyFill="1" applyBorder="1" applyAlignment="1">
      <alignment horizontal="center"/>
    </xf>
    <xf numFmtId="0" fontId="3" fillId="11" borderId="12" xfId="0" applyFont="1" applyFill="1" applyBorder="1" applyAlignment="1">
      <alignment horizontal="center" wrapText="1"/>
    </xf>
    <xf numFmtId="0" fontId="3" fillId="11" borderId="10" xfId="0" applyFont="1" applyFill="1" applyBorder="1" applyAlignment="1">
      <alignment horizontal="center"/>
    </xf>
    <xf numFmtId="0" fontId="3" fillId="11" borderId="10" xfId="0" applyFont="1" applyFill="1" applyBorder="1" applyAlignment="1">
      <alignment horizontal="center" wrapText="1"/>
    </xf>
    <xf numFmtId="0" fontId="2" fillId="0" borderId="17" xfId="0" applyFont="1" applyBorder="1" applyAlignment="1">
      <alignment horizontal="center"/>
    </xf>
    <xf numFmtId="0" fontId="2" fillId="0" borderId="0" xfId="0" applyFont="1" applyBorder="1" applyAlignment="1">
      <alignment horizontal="center"/>
    </xf>
    <xf numFmtId="2" fontId="2" fillId="0" borderId="6" xfId="0" applyNumberFormat="1" applyFont="1" applyBorder="1" applyAlignment="1">
      <alignment horizontal="center"/>
    </xf>
    <xf numFmtId="0" fontId="3" fillId="11" borderId="10" xfId="0" applyFont="1" applyFill="1" applyBorder="1" applyAlignment="1">
      <alignment horizontal="center"/>
    </xf>
    <xf numFmtId="0" fontId="3" fillId="11" borderId="10" xfId="0" applyFont="1" applyFill="1" applyBorder="1" applyAlignment="1">
      <alignment horizontal="center" wrapText="1"/>
    </xf>
    <xf numFmtId="0" fontId="2" fillId="0" borderId="17" xfId="0" applyFont="1" applyBorder="1" applyAlignment="1">
      <alignment horizontal="center"/>
    </xf>
    <xf numFmtId="0" fontId="2" fillId="0" borderId="0" xfId="0" applyFont="1" applyBorder="1" applyAlignment="1">
      <alignment horizontal="center"/>
    </xf>
    <xf numFmtId="0" fontId="3" fillId="11" borderId="23" xfId="0" applyFont="1" applyFill="1" applyBorder="1" applyAlignment="1">
      <alignment horizontal="center"/>
    </xf>
    <xf numFmtId="0" fontId="3" fillId="11" borderId="12" xfId="0" applyFont="1" applyFill="1" applyBorder="1" applyAlignment="1">
      <alignment horizontal="center" wrapText="1"/>
    </xf>
    <xf numFmtId="0" fontId="3" fillId="11" borderId="27" xfId="0" applyFont="1" applyFill="1" applyBorder="1" applyAlignment="1">
      <alignment horizontal="center"/>
    </xf>
    <xf numFmtId="0" fontId="3" fillId="11" borderId="37" xfId="0" applyFont="1" applyFill="1" applyBorder="1" applyAlignment="1">
      <alignment horizontal="center"/>
    </xf>
    <xf numFmtId="0" fontId="2" fillId="0" borderId="30" xfId="0" applyFont="1" applyBorder="1" applyAlignment="1">
      <alignment horizontal="center"/>
    </xf>
    <xf numFmtId="0" fontId="3" fillId="11" borderId="26" xfId="0" applyFont="1" applyFill="1" applyBorder="1" applyAlignment="1">
      <alignment horizontal="center" wrapText="1"/>
    </xf>
    <xf numFmtId="0" fontId="2" fillId="0" borderId="29" xfId="0" applyFont="1" applyBorder="1" applyAlignment="1">
      <alignment horizontal="center" vertical="center"/>
    </xf>
    <xf numFmtId="0" fontId="2" fillId="0" borderId="30" xfId="0" applyFont="1" applyBorder="1" applyAlignment="1">
      <alignment horizontal="center" vertical="center"/>
    </xf>
    <xf numFmtId="2" fontId="2" fillId="0" borderId="29" xfId="0" applyNumberFormat="1" applyFont="1" applyBorder="1" applyAlignment="1">
      <alignment horizontal="center" vertical="center"/>
    </xf>
    <xf numFmtId="164" fontId="2" fillId="0" borderId="6" xfId="0" applyNumberFormat="1" applyFont="1" applyBorder="1"/>
    <xf numFmtId="164" fontId="2" fillId="0" borderId="14" xfId="0" applyNumberFormat="1" applyFont="1" applyBorder="1"/>
    <xf numFmtId="164" fontId="2" fillId="11" borderId="1" xfId="0" applyNumberFormat="1" applyFont="1" applyFill="1" applyBorder="1"/>
    <xf numFmtId="0" fontId="2" fillId="0" borderId="15" xfId="0" applyFont="1" applyBorder="1" applyAlignment="1">
      <alignment horizontal="center"/>
    </xf>
    <xf numFmtId="172" fontId="2" fillId="0" borderId="6" xfId="0" applyNumberFormat="1" applyFont="1" applyBorder="1" applyAlignment="1">
      <alignment horizontal="center"/>
    </xf>
    <xf numFmtId="166" fontId="8" fillId="2" borderId="6" xfId="0" applyNumberFormat="1" applyFont="1" applyFill="1" applyBorder="1" applyAlignment="1">
      <alignment horizontal="center" vertical="center" wrapText="1"/>
    </xf>
    <xf numFmtId="164" fontId="2" fillId="0" borderId="18" xfId="0" applyNumberFormat="1" applyFont="1" applyBorder="1"/>
    <xf numFmtId="0" fontId="2" fillId="0" borderId="30" xfId="0" applyFont="1" applyBorder="1" applyAlignment="1">
      <alignment horizontal="center"/>
    </xf>
    <xf numFmtId="0" fontId="3" fillId="11" borderId="26" xfId="0" applyFont="1" applyFill="1" applyBorder="1" applyAlignment="1">
      <alignment horizontal="center" wrapText="1"/>
    </xf>
    <xf numFmtId="0" fontId="3" fillId="11" borderId="37" xfId="0" applyFont="1" applyFill="1" applyBorder="1" applyAlignment="1">
      <alignment horizontal="center"/>
    </xf>
    <xf numFmtId="0" fontId="3" fillId="11" borderId="27" xfId="0" applyFont="1" applyFill="1" applyBorder="1" applyAlignment="1">
      <alignment horizontal="center"/>
    </xf>
    <xf numFmtId="0" fontId="3" fillId="11" borderId="23" xfId="0" applyFont="1" applyFill="1" applyBorder="1" applyAlignment="1">
      <alignment horizontal="center"/>
    </xf>
    <xf numFmtId="0" fontId="3" fillId="11" borderId="12" xfId="0" applyFont="1" applyFill="1" applyBorder="1" applyAlignment="1">
      <alignment horizontal="center" wrapText="1"/>
    </xf>
    <xf numFmtId="0" fontId="3" fillId="11" borderId="10" xfId="0" applyFont="1" applyFill="1" applyBorder="1" applyAlignment="1">
      <alignment horizontal="center"/>
    </xf>
    <xf numFmtId="0" fontId="3" fillId="11" borderId="10" xfId="0" applyFont="1" applyFill="1" applyBorder="1" applyAlignment="1">
      <alignment horizontal="center" wrapText="1"/>
    </xf>
    <xf numFmtId="0" fontId="2" fillId="0" borderId="17" xfId="0" applyFont="1" applyBorder="1" applyAlignment="1">
      <alignment horizontal="center"/>
    </xf>
    <xf numFmtId="0" fontId="2" fillId="0" borderId="0" xfId="0" applyFont="1" applyBorder="1" applyAlignment="1">
      <alignment horizontal="center"/>
    </xf>
    <xf numFmtId="2" fontId="2" fillId="0" borderId="6" xfId="0" applyNumberFormat="1" applyFont="1" applyBorder="1" applyAlignment="1">
      <alignment horizontal="center"/>
    </xf>
    <xf numFmtId="0" fontId="2" fillId="0" borderId="30" xfId="0" applyFont="1" applyBorder="1" applyAlignment="1">
      <alignment horizontal="center" vertical="center"/>
    </xf>
    <xf numFmtId="0" fontId="2" fillId="0" borderId="29" xfId="0" applyFont="1" applyBorder="1" applyAlignment="1">
      <alignment vertical="center"/>
    </xf>
    <xf numFmtId="2" fontId="2" fillId="0" borderId="29" xfId="0" applyNumberFormat="1" applyFont="1" applyBorder="1" applyAlignment="1">
      <alignment vertical="center"/>
    </xf>
    <xf numFmtId="176" fontId="2" fillId="0" borderId="6" xfId="0" applyNumberFormat="1" applyFont="1" applyBorder="1"/>
    <xf numFmtId="0" fontId="15" fillId="0" borderId="0" xfId="0" applyFont="1" applyAlignment="1">
      <alignment vertical="center" wrapText="1"/>
    </xf>
    <xf numFmtId="171" fontId="2" fillId="0" borderId="14" xfId="0" applyNumberFormat="1" applyFont="1" applyBorder="1"/>
    <xf numFmtId="171" fontId="2" fillId="11" borderId="1" xfId="0" applyNumberFormat="1" applyFont="1" applyFill="1" applyBorder="1"/>
    <xf numFmtId="0" fontId="3" fillId="11" borderId="58" xfId="0" applyFont="1" applyFill="1" applyBorder="1" applyAlignment="1">
      <alignment horizontal="center"/>
    </xf>
    <xf numFmtId="0" fontId="3" fillId="11" borderId="59" xfId="0" applyFont="1" applyFill="1" applyBorder="1" applyAlignment="1">
      <alignment horizontal="center"/>
    </xf>
    <xf numFmtId="0" fontId="3" fillId="11" borderId="60" xfId="0" applyFont="1" applyFill="1" applyBorder="1" applyAlignment="1">
      <alignment horizontal="center"/>
    </xf>
    <xf numFmtId="0" fontId="0" fillId="0" borderId="9" xfId="0" applyBorder="1" applyAlignment="1">
      <alignment horizontal="center"/>
    </xf>
    <xf numFmtId="2" fontId="0" fillId="0" borderId="9" xfId="0" applyNumberFormat="1" applyBorder="1"/>
    <xf numFmtId="165" fontId="2" fillId="0" borderId="62" xfId="0" applyNumberFormat="1" applyFont="1" applyBorder="1"/>
    <xf numFmtId="0" fontId="0" fillId="0" borderId="6" xfId="0" applyBorder="1" applyAlignment="1">
      <alignment horizontal="center"/>
    </xf>
    <xf numFmtId="2" fontId="0" fillId="0" borderId="6" xfId="0" applyNumberFormat="1" applyBorder="1"/>
    <xf numFmtId="2" fontId="0" fillId="0" borderId="15" xfId="0" applyNumberFormat="1" applyBorder="1"/>
    <xf numFmtId="172" fontId="1" fillId="0" borderId="9" xfId="10" applyNumberFormat="1" applyBorder="1" applyAlignment="1">
      <alignment horizontal="center" vertical="center"/>
    </xf>
    <xf numFmtId="2" fontId="0" fillId="0" borderId="10" xfId="0" applyNumberFormat="1" applyBorder="1"/>
    <xf numFmtId="42" fontId="0" fillId="0" borderId="10" xfId="9" applyFont="1" applyBorder="1"/>
    <xf numFmtId="42" fontId="0" fillId="0" borderId="6" xfId="9" applyFont="1" applyBorder="1"/>
    <xf numFmtId="42" fontId="0" fillId="0" borderId="15" xfId="9" applyFont="1" applyBorder="1"/>
    <xf numFmtId="0" fontId="2" fillId="0" borderId="6" xfId="0" applyFont="1" applyBorder="1" applyAlignment="1">
      <alignment horizontal="center" vertical="center"/>
    </xf>
    <xf numFmtId="4" fontId="14" fillId="0" borderId="6" xfId="2" applyNumberFormat="1" applyFont="1" applyFill="1" applyBorder="1"/>
    <xf numFmtId="4" fontId="14" fillId="0" borderId="14" xfId="2" applyNumberFormat="1" applyFont="1" applyFill="1" applyBorder="1"/>
    <xf numFmtId="4" fontId="14" fillId="0" borderId="63" xfId="2" applyNumberFormat="1" applyFont="1" applyFill="1" applyBorder="1"/>
    <xf numFmtId="4" fontId="14" fillId="0" borderId="35" xfId="2" applyNumberFormat="1" applyFont="1" applyFill="1" applyBorder="1"/>
    <xf numFmtId="177" fontId="14" fillId="0" borderId="63" xfId="2" applyNumberFormat="1" applyFont="1" applyFill="1" applyBorder="1"/>
    <xf numFmtId="0" fontId="14" fillId="0" borderId="40" xfId="2" applyFont="1" applyFill="1" applyBorder="1" applyAlignment="1">
      <alignment horizontal="left"/>
    </xf>
    <xf numFmtId="0" fontId="14" fillId="0" borderId="41" xfId="2" applyFont="1" applyFill="1" applyBorder="1" applyAlignment="1">
      <alignment horizontal="left"/>
    </xf>
    <xf numFmtId="0" fontId="14" fillId="0" borderId="42" xfId="2" applyFont="1" applyFill="1" applyBorder="1" applyAlignment="1">
      <alignment horizontal="left"/>
    </xf>
    <xf numFmtId="176" fontId="2" fillId="0" borderId="6" xfId="0" applyNumberFormat="1" applyFont="1" applyBorder="1" applyAlignment="1">
      <alignment horizontal="center"/>
    </xf>
    <xf numFmtId="0" fontId="0" fillId="0" borderId="10" xfId="0" applyBorder="1" applyAlignment="1">
      <alignment horizontal="center"/>
    </xf>
    <xf numFmtId="166" fontId="1" fillId="0" borderId="9" xfId="10" applyNumberFormat="1" applyBorder="1" applyAlignment="1">
      <alignment horizontal="center" vertical="center"/>
    </xf>
    <xf numFmtId="166" fontId="2" fillId="0" borderId="6" xfId="0" applyNumberFormat="1" applyFont="1" applyBorder="1" applyAlignment="1">
      <alignment horizontal="center"/>
    </xf>
    <xf numFmtId="178" fontId="1" fillId="0" borderId="9" xfId="10" applyNumberFormat="1" applyBorder="1" applyAlignment="1">
      <alignment horizontal="center" vertical="center"/>
    </xf>
    <xf numFmtId="44" fontId="2" fillId="0" borderId="14" xfId="0" applyNumberFormat="1" applyFont="1" applyBorder="1"/>
    <xf numFmtId="0" fontId="7" fillId="3" borderId="6" xfId="0" applyFont="1" applyFill="1" applyBorder="1" applyAlignment="1">
      <alignment horizontal="center" wrapText="1"/>
    </xf>
    <xf numFmtId="0" fontId="2" fillId="0" borderId="30" xfId="0" applyFont="1" applyBorder="1" applyAlignment="1">
      <alignment horizontal="center"/>
    </xf>
    <xf numFmtId="0" fontId="3" fillId="11" borderId="26" xfId="0" applyFont="1" applyFill="1" applyBorder="1" applyAlignment="1">
      <alignment horizontal="center" wrapText="1"/>
    </xf>
    <xf numFmtId="0" fontId="3" fillId="11" borderId="37" xfId="0" applyFont="1" applyFill="1" applyBorder="1" applyAlignment="1">
      <alignment horizontal="center"/>
    </xf>
    <xf numFmtId="0" fontId="3" fillId="11" borderId="27" xfId="0" applyFont="1" applyFill="1" applyBorder="1" applyAlignment="1">
      <alignment horizontal="center"/>
    </xf>
    <xf numFmtId="0" fontId="3" fillId="11" borderId="23" xfId="0" applyFont="1" applyFill="1" applyBorder="1" applyAlignment="1">
      <alignment horizontal="center"/>
    </xf>
    <xf numFmtId="0" fontId="3" fillId="11" borderId="12" xfId="0" applyFont="1" applyFill="1" applyBorder="1" applyAlignment="1">
      <alignment horizontal="center" wrapText="1"/>
    </xf>
    <xf numFmtId="0" fontId="3" fillId="11" borderId="10" xfId="0" applyFont="1" applyFill="1" applyBorder="1" applyAlignment="1">
      <alignment horizontal="center"/>
    </xf>
    <xf numFmtId="0" fontId="3" fillId="11" borderId="10" xfId="0" applyFont="1" applyFill="1" applyBorder="1" applyAlignment="1">
      <alignment horizontal="center" wrapText="1"/>
    </xf>
    <xf numFmtId="0" fontId="2" fillId="0" borderId="17" xfId="0" applyFont="1" applyBorder="1" applyAlignment="1">
      <alignment horizontal="center"/>
    </xf>
    <xf numFmtId="0" fontId="2" fillId="0" borderId="0" xfId="0" applyFont="1" applyBorder="1" applyAlignment="1">
      <alignment horizontal="center"/>
    </xf>
    <xf numFmtId="0" fontId="2" fillId="0" borderId="0"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8" fillId="10" borderId="6" xfId="0" applyFont="1" applyFill="1" applyBorder="1" applyAlignment="1">
      <alignment horizontal="left" wrapText="1"/>
    </xf>
    <xf numFmtId="1" fontId="7" fillId="0" borderId="0" xfId="0" applyNumberFormat="1" applyFont="1" applyAlignment="1">
      <alignment wrapText="1"/>
    </xf>
    <xf numFmtId="0" fontId="7" fillId="4" borderId="6" xfId="0" applyFont="1" applyFill="1" applyBorder="1" applyAlignment="1">
      <alignment horizontal="center" wrapText="1"/>
    </xf>
    <xf numFmtId="0" fontId="10" fillId="4" borderId="6" xfId="0" applyFont="1" applyFill="1" applyBorder="1" applyAlignment="1">
      <alignment horizontal="left" vertical="center" wrapText="1"/>
    </xf>
    <xf numFmtId="0" fontId="8" fillId="4" borderId="6" xfId="0" applyFont="1" applyFill="1" applyBorder="1" applyAlignment="1">
      <alignment horizontal="center" vertical="center" wrapText="1"/>
    </xf>
    <xf numFmtId="1" fontId="8" fillId="4" borderId="6" xfId="0" applyNumberFormat="1" applyFont="1" applyFill="1" applyBorder="1" applyAlignment="1">
      <alignment horizontal="center" vertical="center" wrapText="1"/>
    </xf>
    <xf numFmtId="171" fontId="8" fillId="4" borderId="6" xfId="1" applyNumberFormat="1" applyFont="1" applyFill="1" applyBorder="1" applyAlignment="1">
      <alignment horizontal="center" vertical="center" wrapText="1"/>
    </xf>
    <xf numFmtId="171" fontId="8" fillId="4" borderId="6" xfId="0" applyNumberFormat="1" applyFont="1" applyFill="1" applyBorder="1" applyAlignment="1">
      <alignment horizontal="center" vertical="center" wrapText="1"/>
    </xf>
    <xf numFmtId="0" fontId="8" fillId="6" borderId="6" xfId="0" applyFont="1" applyFill="1" applyBorder="1" applyAlignment="1">
      <alignment horizontal="center" vertical="center" wrapText="1"/>
    </xf>
    <xf numFmtId="171" fontId="8" fillId="6" borderId="6" xfId="0" applyNumberFormat="1" applyFont="1" applyFill="1" applyBorder="1" applyAlignment="1">
      <alignment horizontal="center" vertical="center" wrapText="1"/>
    </xf>
    <xf numFmtId="0" fontId="9" fillId="4" borderId="6" xfId="0" applyFont="1" applyFill="1" applyBorder="1" applyAlignment="1">
      <alignment horizontal="center" wrapText="1"/>
    </xf>
    <xf numFmtId="171" fontId="8" fillId="4" borderId="6" xfId="0" applyNumberFormat="1" applyFont="1" applyFill="1" applyBorder="1" applyAlignment="1">
      <alignment vertical="center" wrapText="1"/>
    </xf>
    <xf numFmtId="171" fontId="8" fillId="8" borderId="6" xfId="0" applyNumberFormat="1" applyFont="1" applyFill="1" applyBorder="1" applyAlignment="1">
      <alignment horizontal="center" vertical="center" wrapText="1"/>
    </xf>
    <xf numFmtId="0" fontId="9" fillId="4" borderId="6" xfId="0" applyFont="1" applyFill="1" applyBorder="1" applyAlignment="1">
      <alignment horizontal="center" vertical="center" wrapText="1"/>
    </xf>
    <xf numFmtId="49" fontId="8" fillId="10" borderId="6" xfId="0" applyNumberFormat="1" applyFont="1" applyFill="1" applyBorder="1" applyAlignment="1">
      <alignment horizontal="left" vertical="center" wrapText="1"/>
    </xf>
    <xf numFmtId="2" fontId="7" fillId="3" borderId="6" xfId="0" applyNumberFormat="1" applyFont="1" applyFill="1" applyBorder="1" applyAlignment="1">
      <alignment horizontal="center" wrapText="1"/>
    </xf>
    <xf numFmtId="0" fontId="9" fillId="8" borderId="6" xfId="0" applyFont="1" applyFill="1" applyBorder="1" applyAlignment="1">
      <alignment horizontal="center" wrapText="1"/>
    </xf>
    <xf numFmtId="0" fontId="7" fillId="3" borderId="6" xfId="0" applyFont="1" applyFill="1" applyBorder="1" applyAlignment="1">
      <alignment wrapText="1"/>
    </xf>
    <xf numFmtId="0" fontId="8" fillId="3" borderId="6" xfId="0" applyFont="1" applyFill="1" applyBorder="1" applyAlignment="1">
      <alignment horizontal="left" vertical="center" wrapText="1"/>
    </xf>
    <xf numFmtId="0" fontId="8" fillId="3" borderId="6" xfId="0" applyFont="1" applyFill="1" applyBorder="1" applyAlignment="1">
      <alignment vertical="center" wrapText="1"/>
    </xf>
    <xf numFmtId="171" fontId="10" fillId="5" borderId="6" xfId="0" applyNumberFormat="1" applyFont="1" applyFill="1" applyBorder="1" applyAlignment="1">
      <alignment horizontal="center" vertical="center" wrapText="1"/>
    </xf>
    <xf numFmtId="171" fontId="10" fillId="5" borderId="6" xfId="1" applyNumberFormat="1" applyFont="1" applyFill="1" applyBorder="1" applyAlignment="1">
      <alignment horizontal="center" vertical="center" wrapText="1"/>
    </xf>
    <xf numFmtId="171" fontId="8" fillId="5" borderId="6" xfId="1" applyNumberFormat="1" applyFont="1" applyFill="1" applyBorder="1" applyAlignment="1">
      <alignment horizontal="center" vertical="center" wrapText="1"/>
    </xf>
    <xf numFmtId="0" fontId="8" fillId="2" borderId="6" xfId="0" applyFont="1" applyFill="1" applyBorder="1" applyAlignment="1">
      <alignment vertical="center" wrapText="1"/>
    </xf>
    <xf numFmtId="0" fontId="10" fillId="2" borderId="6"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9" fillId="0" borderId="56" xfId="0" applyFont="1" applyBorder="1" applyAlignment="1">
      <alignment horizontal="center" vertical="center"/>
    </xf>
    <xf numFmtId="0" fontId="18" fillId="0" borderId="6" xfId="0" applyFont="1" applyBorder="1" applyAlignment="1">
      <alignment horizontal="center" vertical="center" wrapText="1"/>
    </xf>
    <xf numFmtId="0" fontId="18" fillId="0" borderId="6" xfId="0" applyFont="1" applyBorder="1" applyAlignment="1">
      <alignment horizontal="center" vertical="center"/>
    </xf>
    <xf numFmtId="0" fontId="17" fillId="3" borderId="6" xfId="0" applyFont="1" applyFill="1" applyBorder="1" applyAlignment="1">
      <alignment horizontal="center" vertical="center" wrapText="1"/>
    </xf>
    <xf numFmtId="0" fontId="2" fillId="0" borderId="30" xfId="0" applyFont="1" applyBorder="1" applyAlignment="1">
      <alignment horizontal="center"/>
    </xf>
    <xf numFmtId="0" fontId="3" fillId="11" borderId="26" xfId="0" applyFont="1" applyFill="1" applyBorder="1" applyAlignment="1">
      <alignment horizontal="center" wrapText="1"/>
    </xf>
    <xf numFmtId="0" fontId="3" fillId="11" borderId="37" xfId="0" applyFont="1" applyFill="1" applyBorder="1" applyAlignment="1">
      <alignment horizontal="center"/>
    </xf>
    <xf numFmtId="0" fontId="3" fillId="11" borderId="27" xfId="0" applyFont="1" applyFill="1" applyBorder="1" applyAlignment="1">
      <alignment horizontal="center"/>
    </xf>
    <xf numFmtId="0" fontId="3" fillId="11" borderId="23" xfId="0" applyFont="1" applyFill="1" applyBorder="1" applyAlignment="1">
      <alignment horizontal="center"/>
    </xf>
    <xf numFmtId="0" fontId="3" fillId="11" borderId="12" xfId="0" applyFont="1" applyFill="1" applyBorder="1" applyAlignment="1">
      <alignment horizontal="center" wrapText="1"/>
    </xf>
    <xf numFmtId="0" fontId="3" fillId="11" borderId="10" xfId="0" applyFont="1" applyFill="1" applyBorder="1" applyAlignment="1">
      <alignment horizontal="center"/>
    </xf>
    <xf numFmtId="0" fontId="3" fillId="11" borderId="10" xfId="0" applyFont="1" applyFill="1" applyBorder="1" applyAlignment="1">
      <alignment horizontal="center" wrapText="1"/>
    </xf>
    <xf numFmtId="0" fontId="2" fillId="0" borderId="17" xfId="0" applyFont="1" applyBorder="1" applyAlignment="1">
      <alignment horizontal="center"/>
    </xf>
    <xf numFmtId="0" fontId="2" fillId="0" borderId="0" xfId="0" applyFont="1" applyBorder="1" applyAlignment="1">
      <alignment horizontal="center"/>
    </xf>
    <xf numFmtId="2" fontId="2" fillId="0" borderId="6" xfId="0" applyNumberFormat="1" applyFont="1" applyBorder="1" applyAlignment="1">
      <alignment horizontal="center"/>
    </xf>
    <xf numFmtId="0" fontId="2" fillId="0" borderId="0" xfId="0" applyFont="1" applyBorder="1" applyAlignment="1" applyProtection="1">
      <alignment horizontal="center"/>
      <protection locked="0"/>
    </xf>
    <xf numFmtId="0" fontId="2" fillId="0" borderId="18" xfId="0" applyFont="1" applyBorder="1" applyAlignment="1" applyProtection="1">
      <alignment horizontal="center"/>
      <protection locked="0"/>
    </xf>
    <xf numFmtId="171" fontId="10" fillId="5" borderId="6" xfId="0" applyNumberFormat="1" applyFont="1" applyFill="1" applyBorder="1" applyAlignment="1">
      <alignment horizontal="center" vertical="center"/>
    </xf>
    <xf numFmtId="0" fontId="7" fillId="10" borderId="6" xfId="0" applyFont="1" applyFill="1" applyBorder="1" applyAlignment="1">
      <alignment horizontal="left" vertical="center" wrapText="1"/>
    </xf>
    <xf numFmtId="0" fontId="7" fillId="10" borderId="6" xfId="0" applyFont="1" applyFill="1" applyBorder="1" applyAlignment="1">
      <alignment horizontal="left" vertical="top" wrapText="1"/>
    </xf>
    <xf numFmtId="171" fontId="7" fillId="0" borderId="0" xfId="0" applyNumberFormat="1" applyFont="1" applyAlignment="1">
      <alignment wrapText="1"/>
    </xf>
    <xf numFmtId="171" fontId="7" fillId="2" borderId="0" xfId="0" applyNumberFormat="1" applyFont="1" applyFill="1" applyAlignment="1"/>
    <xf numFmtId="171" fontId="7" fillId="2" borderId="0" xfId="0" applyNumberFormat="1" applyFont="1" applyFill="1" applyAlignment="1">
      <alignment wrapText="1"/>
    </xf>
    <xf numFmtId="179" fontId="0" fillId="0" borderId="0" xfId="0" applyNumberFormat="1"/>
    <xf numFmtId="0" fontId="2" fillId="0" borderId="30" xfId="0" applyFont="1" applyBorder="1" applyAlignment="1">
      <alignment horizontal="center"/>
    </xf>
    <xf numFmtId="0" fontId="3" fillId="11" borderId="26" xfId="0" applyFont="1" applyFill="1" applyBorder="1" applyAlignment="1">
      <alignment horizontal="center" wrapText="1"/>
    </xf>
    <xf numFmtId="0" fontId="3" fillId="11" borderId="37" xfId="0" applyFont="1" applyFill="1" applyBorder="1" applyAlignment="1">
      <alignment horizontal="center"/>
    </xf>
    <xf numFmtId="0" fontId="3" fillId="11" borderId="27" xfId="0" applyFont="1" applyFill="1" applyBorder="1" applyAlignment="1">
      <alignment horizontal="center"/>
    </xf>
    <xf numFmtId="0" fontId="3" fillId="11" borderId="23" xfId="0" applyFont="1" applyFill="1" applyBorder="1" applyAlignment="1">
      <alignment horizontal="center"/>
    </xf>
    <xf numFmtId="0" fontId="3" fillId="11" borderId="12" xfId="0" applyFont="1" applyFill="1" applyBorder="1" applyAlignment="1">
      <alignment horizontal="center" wrapText="1"/>
    </xf>
    <xf numFmtId="0" fontId="3" fillId="11" borderId="10" xfId="0" applyFont="1" applyFill="1" applyBorder="1" applyAlignment="1">
      <alignment horizontal="center"/>
    </xf>
    <xf numFmtId="0" fontId="3" fillId="11" borderId="10" xfId="0" applyFont="1" applyFill="1" applyBorder="1" applyAlignment="1">
      <alignment horizontal="center" wrapText="1"/>
    </xf>
    <xf numFmtId="0" fontId="2" fillId="0" borderId="17" xfId="0" applyFont="1" applyBorder="1" applyAlignment="1">
      <alignment horizontal="center"/>
    </xf>
    <xf numFmtId="0" fontId="2" fillId="0" borderId="0" xfId="0" applyFont="1" applyBorder="1" applyAlignment="1">
      <alignment horizontal="center"/>
    </xf>
    <xf numFmtId="2" fontId="2" fillId="0" borderId="6" xfId="0" applyNumberFormat="1" applyFont="1" applyBorder="1" applyAlignment="1">
      <alignment horizontal="center"/>
    </xf>
    <xf numFmtId="0" fontId="2" fillId="0" borderId="0"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3" fillId="11" borderId="10" xfId="0" applyFont="1" applyFill="1" applyBorder="1" applyAlignment="1">
      <alignment horizontal="center"/>
    </xf>
    <xf numFmtId="0" fontId="3" fillId="11" borderId="10" xfId="0" applyFont="1" applyFill="1" applyBorder="1" applyAlignment="1">
      <alignment horizontal="center" wrapText="1"/>
    </xf>
    <xf numFmtId="0" fontId="2" fillId="0" borderId="17" xfId="0" applyFont="1" applyBorder="1" applyAlignment="1">
      <alignment horizontal="center"/>
    </xf>
    <xf numFmtId="0" fontId="2" fillId="0" borderId="0" xfId="0" applyFont="1" applyBorder="1" applyAlignment="1">
      <alignment horizontal="center"/>
    </xf>
    <xf numFmtId="0" fontId="3" fillId="11" borderId="23" xfId="0" applyFont="1" applyFill="1" applyBorder="1" applyAlignment="1">
      <alignment horizontal="center"/>
    </xf>
    <xf numFmtId="0" fontId="3" fillId="11" borderId="12" xfId="0" applyFont="1" applyFill="1" applyBorder="1" applyAlignment="1">
      <alignment horizontal="center" wrapText="1"/>
    </xf>
    <xf numFmtId="0" fontId="3" fillId="11" borderId="27" xfId="0" applyFont="1" applyFill="1" applyBorder="1" applyAlignment="1">
      <alignment horizontal="center"/>
    </xf>
    <xf numFmtId="0" fontId="3" fillId="11" borderId="37" xfId="0" applyFont="1" applyFill="1" applyBorder="1" applyAlignment="1">
      <alignment horizontal="center"/>
    </xf>
    <xf numFmtId="0" fontId="3" fillId="11" borderId="26" xfId="0" applyFont="1" applyFill="1" applyBorder="1" applyAlignment="1">
      <alignment horizontal="center" wrapText="1"/>
    </xf>
    <xf numFmtId="0" fontId="2" fillId="0" borderId="30" xfId="0" applyFont="1" applyBorder="1" applyAlignment="1">
      <alignment horizontal="center" vertical="center"/>
    </xf>
    <xf numFmtId="0" fontId="14" fillId="0" borderId="40" xfId="2" applyFont="1" applyFill="1" applyBorder="1" applyAlignment="1">
      <alignment horizontal="left"/>
    </xf>
    <xf numFmtId="0" fontId="14" fillId="0" borderId="41" xfId="2" applyFont="1" applyFill="1" applyBorder="1" applyAlignment="1">
      <alignment horizontal="left"/>
    </xf>
    <xf numFmtId="0" fontId="14" fillId="0" borderId="42" xfId="2" applyFont="1" applyFill="1" applyBorder="1" applyAlignment="1">
      <alignment horizontal="left"/>
    </xf>
    <xf numFmtId="0" fontId="2" fillId="0" borderId="0" xfId="0" applyFont="1" applyBorder="1" applyAlignment="1" applyProtection="1">
      <alignment horizontal="center"/>
      <protection locked="0"/>
    </xf>
    <xf numFmtId="0" fontId="2" fillId="0" borderId="18" xfId="0" applyFont="1" applyBorder="1" applyAlignment="1" applyProtection="1">
      <alignment horizontal="center"/>
      <protection locked="0"/>
    </xf>
    <xf numFmtId="171" fontId="8" fillId="2" borderId="6" xfId="0" applyNumberFormat="1" applyFont="1" applyFill="1" applyBorder="1" applyAlignment="1">
      <alignment horizontal="center" vertical="center" wrapText="1"/>
    </xf>
    <xf numFmtId="0" fontId="3" fillId="11" borderId="26" xfId="0" applyFont="1" applyFill="1" applyBorder="1" applyAlignment="1">
      <alignment horizontal="center" wrapText="1"/>
    </xf>
    <xf numFmtId="0" fontId="3" fillId="11" borderId="37" xfId="0" applyFont="1" applyFill="1" applyBorder="1" applyAlignment="1">
      <alignment horizontal="center"/>
    </xf>
    <xf numFmtId="0" fontId="3" fillId="11" borderId="27" xfId="0" applyFont="1" applyFill="1" applyBorder="1" applyAlignment="1">
      <alignment horizontal="center"/>
    </xf>
    <xf numFmtId="0" fontId="3" fillId="11" borderId="23" xfId="0" applyFont="1" applyFill="1" applyBorder="1" applyAlignment="1">
      <alignment horizontal="center"/>
    </xf>
    <xf numFmtId="0" fontId="3" fillId="11" borderId="12" xfId="0" applyFont="1" applyFill="1" applyBorder="1" applyAlignment="1">
      <alignment horizontal="center" wrapText="1"/>
    </xf>
    <xf numFmtId="0" fontId="3" fillId="11" borderId="10" xfId="0" applyFont="1" applyFill="1" applyBorder="1" applyAlignment="1">
      <alignment horizontal="center"/>
    </xf>
    <xf numFmtId="0" fontId="3" fillId="11" borderId="10" xfId="0" applyFont="1" applyFill="1" applyBorder="1" applyAlignment="1">
      <alignment horizontal="center" wrapText="1"/>
    </xf>
    <xf numFmtId="0" fontId="2" fillId="0" borderId="17" xfId="0" applyFont="1" applyBorder="1" applyAlignment="1">
      <alignment horizontal="center"/>
    </xf>
    <xf numFmtId="0" fontId="2" fillId="0" borderId="0" xfId="0" applyFont="1" applyBorder="1" applyAlignment="1">
      <alignment horizontal="center"/>
    </xf>
    <xf numFmtId="2" fontId="2" fillId="0" borderId="6" xfId="0" applyNumberFormat="1" applyFont="1" applyBorder="1" applyAlignment="1">
      <alignment horizontal="center"/>
    </xf>
    <xf numFmtId="0" fontId="2" fillId="0" borderId="30" xfId="0" applyFont="1" applyBorder="1" applyAlignment="1">
      <alignment horizontal="center" vertical="center"/>
    </xf>
    <xf numFmtId="0" fontId="2" fillId="0" borderId="0"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0" xfId="0" applyFont="1"/>
    <xf numFmtId="0" fontId="2" fillId="0" borderId="41" xfId="0" applyFont="1" applyBorder="1"/>
    <xf numFmtId="0" fontId="3" fillId="11" borderId="10" xfId="0" applyFont="1" applyFill="1" applyBorder="1"/>
    <xf numFmtId="0" fontId="2" fillId="0" borderId="6" xfId="0" applyFont="1" applyBorder="1"/>
    <xf numFmtId="0" fontId="9" fillId="0" borderId="0" xfId="0" applyFont="1" applyBorder="1" applyAlignment="1"/>
    <xf numFmtId="0" fontId="10" fillId="3" borderId="0" xfId="0" applyFont="1" applyFill="1" applyAlignment="1">
      <alignment horizontal="left" vertical="center" wrapText="1"/>
    </xf>
    <xf numFmtId="0" fontId="8" fillId="3" borderId="0" xfId="0" applyFont="1" applyFill="1" applyAlignment="1">
      <alignment horizontal="left" vertical="center" wrapText="1"/>
    </xf>
    <xf numFmtId="0" fontId="7" fillId="0" borderId="0" xfId="0" applyFont="1"/>
    <xf numFmtId="1" fontId="8" fillId="9" borderId="6" xfId="0" applyNumberFormat="1" applyFont="1" applyFill="1" applyBorder="1" applyAlignment="1">
      <alignment horizontal="center" vertical="center" wrapText="1"/>
    </xf>
    <xf numFmtId="0" fontId="6" fillId="7" borderId="6" xfId="0" applyFont="1" applyFill="1" applyBorder="1" applyAlignment="1">
      <alignment horizontal="center" vertical="center" wrapText="1"/>
    </xf>
    <xf numFmtId="0" fontId="11" fillId="2" borderId="0" xfId="0" applyFont="1" applyFill="1" applyBorder="1" applyAlignment="1">
      <alignment horizontal="center"/>
    </xf>
    <xf numFmtId="14" fontId="2" fillId="0" borderId="5" xfId="0" applyNumberFormat="1" applyFont="1" applyBorder="1" applyAlignment="1">
      <alignment horizontal="center"/>
    </xf>
    <xf numFmtId="0" fontId="2" fillId="0" borderId="5" xfId="0" applyFont="1" applyBorder="1" applyAlignment="1">
      <alignment horizontal="center"/>
    </xf>
    <xf numFmtId="0" fontId="2" fillId="0" borderId="19" xfId="0" applyFont="1" applyBorder="1" applyAlignment="1">
      <alignment horizontal="center"/>
    </xf>
    <xf numFmtId="0" fontId="3" fillId="0" borderId="10" xfId="3" applyFont="1" applyBorder="1" applyAlignment="1">
      <alignment horizontal="center" vertical="center"/>
    </xf>
    <xf numFmtId="0" fontId="3" fillId="0" borderId="13" xfId="3" applyFont="1" applyBorder="1" applyAlignment="1">
      <alignment horizontal="center" vertical="center"/>
    </xf>
    <xf numFmtId="0" fontId="3" fillId="0" borderId="6" xfId="3" applyFont="1" applyBorder="1" applyAlignment="1">
      <alignment horizontal="center" vertical="center"/>
    </xf>
    <xf numFmtId="0" fontId="3" fillId="0" borderId="14" xfId="3" applyFont="1" applyBorder="1" applyAlignment="1">
      <alignment horizontal="center" vertical="center"/>
    </xf>
    <xf numFmtId="0" fontId="3" fillId="0" borderId="15" xfId="3" applyFont="1" applyBorder="1" applyAlignment="1">
      <alignment horizontal="center" vertical="center"/>
    </xf>
    <xf numFmtId="0" fontId="3" fillId="0" borderId="16" xfId="3" applyFont="1" applyBorder="1" applyAlignment="1">
      <alignment horizontal="center" vertical="center"/>
    </xf>
    <xf numFmtId="0" fontId="3" fillId="0" borderId="10" xfId="3" applyFont="1" applyBorder="1" applyAlignment="1">
      <alignment horizontal="center" vertical="center" wrapText="1"/>
    </xf>
    <xf numFmtId="0" fontId="3" fillId="0" borderId="6" xfId="3" applyFont="1" applyBorder="1" applyAlignment="1">
      <alignment horizontal="center" vertical="center" wrapText="1"/>
    </xf>
    <xf numFmtId="0" fontId="3" fillId="0" borderId="6" xfId="0" applyFont="1" applyBorder="1" applyAlignment="1">
      <alignment horizontal="center" vertical="center" wrapText="1"/>
    </xf>
    <xf numFmtId="0" fontId="3" fillId="0" borderId="15" xfId="0" applyFont="1" applyBorder="1" applyAlignment="1">
      <alignment horizontal="center" vertical="center" wrapText="1"/>
    </xf>
    <xf numFmtId="0" fontId="2" fillId="0" borderId="30" xfId="0" applyFont="1" applyBorder="1" applyAlignment="1">
      <alignment horizontal="center"/>
    </xf>
    <xf numFmtId="0" fontId="2" fillId="0" borderId="31" xfId="0" applyFont="1" applyBorder="1" applyAlignment="1">
      <alignment horizontal="center"/>
    </xf>
    <xf numFmtId="0" fontId="2" fillId="0" borderId="32" xfId="0" applyFont="1" applyBorder="1" applyAlignment="1">
      <alignment horizontal="center"/>
    </xf>
    <xf numFmtId="0" fontId="2" fillId="0" borderId="5" xfId="0" applyFont="1" applyBorder="1" applyAlignment="1" applyProtection="1">
      <alignment horizontal="center"/>
      <protection locked="0"/>
    </xf>
    <xf numFmtId="0" fontId="2" fillId="0" borderId="0"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protection locked="0"/>
    </xf>
    <xf numFmtId="0" fontId="2" fillId="0" borderId="18"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19" xfId="0" applyFont="1" applyBorder="1" applyAlignment="1" applyProtection="1">
      <alignment horizontal="center" vertical="center"/>
      <protection locked="0"/>
    </xf>
    <xf numFmtId="0" fontId="2" fillId="0" borderId="17" xfId="0" applyFont="1" applyBorder="1" applyAlignment="1" applyProtection="1">
      <alignment horizontal="center" vertical="top"/>
      <protection locked="0"/>
    </xf>
    <xf numFmtId="0" fontId="2" fillId="0" borderId="0" xfId="0" applyFont="1" applyBorder="1" applyAlignment="1" applyProtection="1">
      <alignment horizontal="center" vertical="top"/>
      <protection locked="0"/>
    </xf>
    <xf numFmtId="0" fontId="3" fillId="11" borderId="22" xfId="0" applyFont="1" applyFill="1" applyBorder="1" applyAlignment="1" applyProtection="1">
      <alignment horizontal="center"/>
      <protection locked="0"/>
    </xf>
    <xf numFmtId="0" fontId="3" fillId="11" borderId="23" xfId="0" applyFont="1" applyFill="1" applyBorder="1" applyAlignment="1" applyProtection="1">
      <alignment horizontal="center"/>
      <protection locked="0"/>
    </xf>
    <xf numFmtId="0" fontId="3" fillId="11" borderId="24" xfId="0" applyFont="1" applyFill="1" applyBorder="1" applyAlignment="1" applyProtection="1">
      <alignment horizontal="center"/>
      <protection locked="0"/>
    </xf>
    <xf numFmtId="0" fontId="3" fillId="11" borderId="26" xfId="0" applyFont="1" applyFill="1" applyBorder="1" applyAlignment="1">
      <alignment horizontal="center" wrapText="1"/>
    </xf>
    <xf numFmtId="0" fontId="2" fillId="0" borderId="27" xfId="0" applyFont="1" applyBorder="1" applyAlignment="1">
      <alignment horizontal="center" wrapText="1"/>
    </xf>
    <xf numFmtId="0" fontId="2" fillId="0" borderId="28" xfId="0" applyFont="1" applyBorder="1" applyAlignment="1">
      <alignment horizontal="center" wrapText="1"/>
    </xf>
    <xf numFmtId="0" fontId="3" fillId="11" borderId="26" xfId="0" applyFont="1" applyFill="1" applyBorder="1" applyAlignment="1">
      <alignment horizontal="center"/>
    </xf>
    <xf numFmtId="0" fontId="3" fillId="11" borderId="28" xfId="0" applyFont="1" applyFill="1" applyBorder="1" applyAlignment="1">
      <alignment horizontal="center"/>
    </xf>
    <xf numFmtId="0" fontId="2" fillId="0" borderId="30" xfId="0" applyFont="1" applyBorder="1" applyAlignment="1"/>
    <xf numFmtId="0" fontId="2" fillId="0" borderId="31" xfId="0" applyFont="1" applyBorder="1" applyAlignment="1"/>
    <xf numFmtId="0" fontId="2" fillId="0" borderId="44" xfId="0" applyFont="1" applyBorder="1" applyAlignment="1"/>
    <xf numFmtId="0" fontId="2" fillId="0" borderId="45" xfId="0" applyFont="1" applyBorder="1" applyAlignment="1"/>
    <xf numFmtId="0" fontId="2" fillId="0" borderId="45" xfId="0" applyFont="1" applyBorder="1" applyAlignment="1">
      <alignment horizontal="center"/>
    </xf>
    <xf numFmtId="0" fontId="2" fillId="0" borderId="44" xfId="0" applyFont="1" applyBorder="1" applyAlignment="1">
      <alignment horizontal="center"/>
    </xf>
    <xf numFmtId="0" fontId="3" fillId="0" borderId="4" xfId="0" applyFont="1" applyBorder="1" applyAlignment="1">
      <alignment horizontal="right"/>
    </xf>
    <xf numFmtId="0" fontId="3" fillId="0" borderId="3" xfId="0" applyFont="1" applyBorder="1" applyAlignment="1">
      <alignment horizontal="right"/>
    </xf>
    <xf numFmtId="0" fontId="3" fillId="0" borderId="2" xfId="0" applyFont="1" applyBorder="1" applyAlignment="1">
      <alignment horizontal="right"/>
    </xf>
    <xf numFmtId="0" fontId="2" fillId="0" borderId="27" xfId="0" applyFont="1" applyBorder="1" applyAlignment="1">
      <alignment horizontal="center"/>
    </xf>
    <xf numFmtId="0" fontId="2" fillId="0" borderId="36" xfId="0" applyFont="1" applyBorder="1" applyAlignment="1">
      <alignment horizontal="center"/>
    </xf>
    <xf numFmtId="0" fontId="3" fillId="11" borderId="37" xfId="0" applyFont="1" applyFill="1" applyBorder="1" applyAlignment="1">
      <alignment horizontal="center"/>
    </xf>
    <xf numFmtId="0" fontId="3" fillId="11" borderId="38" xfId="0" applyFont="1" applyFill="1" applyBorder="1" applyAlignment="1">
      <alignment horizontal="center"/>
    </xf>
    <xf numFmtId="0" fontId="3" fillId="11" borderId="39" xfId="0" applyFont="1" applyFill="1" applyBorder="1" applyAlignment="1">
      <alignment horizontal="center"/>
    </xf>
    <xf numFmtId="0" fontId="3" fillId="11" borderId="36" xfId="0" applyFont="1" applyFill="1" applyBorder="1" applyAlignment="1">
      <alignment horizontal="center"/>
    </xf>
    <xf numFmtId="0" fontId="2" fillId="0" borderId="40" xfId="0" applyFont="1" applyBorder="1" applyAlignment="1"/>
    <xf numFmtId="0" fontId="2" fillId="0" borderId="41" xfId="0" applyFont="1" applyBorder="1" applyAlignment="1"/>
    <xf numFmtId="0" fontId="2" fillId="0" borderId="42" xfId="0" applyFont="1" applyBorder="1" applyAlignment="1"/>
    <xf numFmtId="0" fontId="2" fillId="0" borderId="43" xfId="0" applyFont="1" applyBorder="1" applyAlignment="1">
      <alignment horizontal="center"/>
    </xf>
    <xf numFmtId="0" fontId="2" fillId="0" borderId="42" xfId="0" applyFont="1" applyBorder="1" applyAlignment="1">
      <alignment horizontal="center"/>
    </xf>
    <xf numFmtId="0" fontId="2" fillId="0" borderId="43" xfId="0" applyFont="1" applyBorder="1" applyAlignment="1"/>
    <xf numFmtId="0" fontId="3" fillId="11" borderId="27" xfId="0" applyFont="1" applyFill="1" applyBorder="1" applyAlignment="1">
      <alignment horizontal="center"/>
    </xf>
    <xf numFmtId="0" fontId="2" fillId="0" borderId="52" xfId="0" applyFont="1" applyBorder="1" applyAlignment="1"/>
    <xf numFmtId="0" fontId="2" fillId="0" borderId="15" xfId="0" applyFont="1" applyBorder="1" applyAlignment="1"/>
    <xf numFmtId="1" fontId="2" fillId="0" borderId="15" xfId="0" applyNumberFormat="1" applyFont="1" applyBorder="1" applyAlignment="1">
      <alignment horizontal="center"/>
    </xf>
    <xf numFmtId="0" fontId="3" fillId="0" borderId="7" xfId="0" applyFont="1" applyBorder="1" applyAlignment="1">
      <alignment horizontal="right"/>
    </xf>
    <xf numFmtId="0" fontId="3" fillId="0" borderId="20" xfId="0" applyFont="1" applyBorder="1" applyAlignment="1">
      <alignment horizontal="right"/>
    </xf>
    <xf numFmtId="0" fontId="3" fillId="0" borderId="21" xfId="0" applyFont="1" applyBorder="1" applyAlignment="1">
      <alignment horizontal="right"/>
    </xf>
    <xf numFmtId="0" fontId="3" fillId="11" borderId="22" xfId="0" applyFont="1" applyFill="1" applyBorder="1" applyAlignment="1">
      <alignment horizontal="center"/>
    </xf>
    <xf numFmtId="0" fontId="3" fillId="11" borderId="23" xfId="0" applyFont="1" applyFill="1" applyBorder="1" applyAlignment="1">
      <alignment horizontal="center"/>
    </xf>
    <xf numFmtId="0" fontId="3" fillId="11" borderId="11" xfId="0" applyFont="1" applyFill="1" applyBorder="1" applyAlignment="1">
      <alignment horizontal="center" wrapText="1"/>
    </xf>
    <xf numFmtId="0" fontId="3" fillId="11" borderId="12" xfId="0" applyFont="1" applyFill="1" applyBorder="1" applyAlignment="1">
      <alignment horizontal="center" wrapText="1"/>
    </xf>
    <xf numFmtId="0" fontId="2" fillId="0" borderId="50" xfId="0" applyFont="1" applyBorder="1" applyAlignment="1"/>
    <xf numFmtId="0" fontId="2" fillId="0" borderId="10" xfId="0" applyFont="1" applyBorder="1" applyAlignment="1"/>
    <xf numFmtId="169" fontId="2" fillId="0" borderId="10" xfId="6" applyFont="1" applyBorder="1" applyAlignment="1">
      <alignment horizontal="center"/>
    </xf>
    <xf numFmtId="169" fontId="2" fillId="0" borderId="6" xfId="6" applyFont="1" applyBorder="1" applyAlignment="1">
      <alignment horizontal="center"/>
    </xf>
    <xf numFmtId="169" fontId="2" fillId="0" borderId="15" xfId="6" applyFont="1" applyBorder="1" applyAlignment="1">
      <alignment horizontal="center"/>
    </xf>
    <xf numFmtId="0" fontId="2" fillId="0" borderId="40" xfId="0" applyFont="1" applyBorder="1" applyAlignment="1">
      <alignment horizontal="left"/>
    </xf>
    <xf numFmtId="0" fontId="2" fillId="0" borderId="41" xfId="0" applyFont="1" applyBorder="1" applyAlignment="1">
      <alignment horizontal="left"/>
    </xf>
    <xf numFmtId="0" fontId="2" fillId="0" borderId="42" xfId="0" applyFont="1" applyBorder="1" applyAlignment="1">
      <alignment horizontal="left"/>
    </xf>
    <xf numFmtId="0" fontId="2" fillId="0" borderId="30" xfId="0" applyFont="1" applyBorder="1" applyAlignment="1">
      <alignment horizontal="left"/>
    </xf>
    <xf numFmtId="0" fontId="2" fillId="0" borderId="31" xfId="0" applyFont="1" applyBorder="1" applyAlignment="1">
      <alignment horizontal="left"/>
    </xf>
    <xf numFmtId="0" fontId="2" fillId="0" borderId="44" xfId="0" applyFont="1" applyBorder="1" applyAlignment="1">
      <alignment horizontal="left"/>
    </xf>
    <xf numFmtId="0" fontId="3" fillId="11" borderId="50" xfId="0" applyFont="1" applyFill="1" applyBorder="1" applyAlignment="1">
      <alignment horizontal="center"/>
    </xf>
    <xf numFmtId="0" fontId="3" fillId="11" borderId="10" xfId="0" applyFont="1" applyFill="1" applyBorder="1" applyAlignment="1">
      <alignment horizontal="center"/>
    </xf>
    <xf numFmtId="0" fontId="3" fillId="11" borderId="10" xfId="0" applyFont="1" applyFill="1" applyBorder="1" applyAlignment="1">
      <alignment horizontal="center" wrapText="1"/>
    </xf>
    <xf numFmtId="171" fontId="2" fillId="0" borderId="43" xfId="0" applyNumberFormat="1" applyFont="1" applyBorder="1" applyAlignment="1">
      <alignment horizontal="center"/>
    </xf>
    <xf numFmtId="171" fontId="2" fillId="0" borderId="42" xfId="0" applyNumberFormat="1" applyFont="1" applyBorder="1" applyAlignment="1">
      <alignment horizontal="center"/>
    </xf>
    <xf numFmtId="0" fontId="3" fillId="0" borderId="5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52" xfId="0" applyFont="1" applyBorder="1" applyAlignment="1">
      <alignment horizontal="center" vertical="center" wrapText="1"/>
    </xf>
    <xf numFmtId="0" fontId="2" fillId="0" borderId="17" xfId="0" applyFont="1" applyBorder="1" applyAlignment="1">
      <alignment horizontal="center"/>
    </xf>
    <xf numFmtId="0" fontId="2" fillId="0" borderId="0" xfId="0" applyFont="1" applyBorder="1" applyAlignment="1">
      <alignment horizontal="center"/>
    </xf>
    <xf numFmtId="0" fontId="3" fillId="0" borderId="17" xfId="0" applyFont="1" applyBorder="1" applyAlignment="1" applyProtection="1">
      <alignment horizontal="center" wrapText="1"/>
      <protection locked="0"/>
    </xf>
    <xf numFmtId="0" fontId="3" fillId="0" borderId="0" xfId="0" applyFont="1" applyBorder="1" applyAlignment="1" applyProtection="1">
      <alignment horizontal="center" wrapText="1"/>
      <protection locked="0"/>
    </xf>
    <xf numFmtId="171" fontId="2" fillId="0" borderId="45" xfId="0" applyNumberFormat="1" applyFont="1" applyBorder="1" applyAlignment="1">
      <alignment horizontal="center"/>
    </xf>
    <xf numFmtId="171" fontId="2" fillId="0" borderId="44" xfId="0" applyNumberFormat="1" applyFont="1" applyBorder="1" applyAlignment="1">
      <alignment horizontal="center"/>
    </xf>
    <xf numFmtId="1" fontId="2" fillId="0" borderId="43" xfId="0" applyNumberFormat="1" applyFont="1" applyBorder="1" applyAlignment="1">
      <alignment horizontal="center"/>
    </xf>
    <xf numFmtId="1" fontId="2" fillId="0" borderId="42" xfId="0" applyNumberFormat="1" applyFont="1" applyBorder="1" applyAlignment="1">
      <alignment horizontal="center"/>
    </xf>
    <xf numFmtId="2" fontId="2" fillId="0" borderId="15" xfId="0" applyNumberFormat="1" applyFont="1" applyBorder="1" applyAlignment="1">
      <alignment horizontal="center"/>
    </xf>
    <xf numFmtId="0" fontId="2" fillId="0" borderId="51" xfId="0" applyFont="1" applyBorder="1" applyAlignment="1"/>
    <xf numFmtId="0" fontId="2" fillId="0" borderId="6" xfId="0" applyFont="1" applyBorder="1" applyAlignment="1"/>
    <xf numFmtId="1" fontId="2" fillId="0" borderId="6" xfId="0" applyNumberFormat="1" applyFont="1" applyBorder="1" applyAlignment="1">
      <alignment horizontal="center"/>
    </xf>
    <xf numFmtId="0" fontId="2" fillId="0" borderId="23" xfId="0" applyFont="1" applyBorder="1" applyAlignment="1">
      <alignment horizontal="center"/>
    </xf>
    <xf numFmtId="0" fontId="2" fillId="0" borderId="12" xfId="0" applyFont="1" applyBorder="1" applyAlignment="1">
      <alignment horizontal="center"/>
    </xf>
    <xf numFmtId="0" fontId="3" fillId="11" borderId="11" xfId="0" applyFont="1" applyFill="1" applyBorder="1" applyAlignment="1">
      <alignment horizontal="center"/>
    </xf>
    <xf numFmtId="0" fontId="3" fillId="11" borderId="54" xfId="0" applyFont="1" applyFill="1" applyBorder="1" applyAlignment="1">
      <alignment horizontal="center"/>
    </xf>
    <xf numFmtId="0" fontId="3" fillId="11" borderId="55" xfId="0" applyFont="1" applyFill="1" applyBorder="1" applyAlignment="1">
      <alignment horizontal="center"/>
    </xf>
    <xf numFmtId="0" fontId="3" fillId="11" borderId="12" xfId="0" applyFont="1" applyFill="1" applyBorder="1" applyAlignment="1">
      <alignment horizontal="center"/>
    </xf>
    <xf numFmtId="0" fontId="2" fillId="0" borderId="10" xfId="0" applyFont="1" applyBorder="1" applyAlignment="1">
      <alignment horizontal="center"/>
    </xf>
    <xf numFmtId="1" fontId="2" fillId="0" borderId="10" xfId="0" applyNumberFormat="1" applyFont="1" applyBorder="1" applyAlignment="1">
      <alignment horizontal="center"/>
    </xf>
    <xf numFmtId="0" fontId="2" fillId="0" borderId="6" xfId="0" applyFont="1" applyBorder="1" applyAlignment="1">
      <alignment horizontal="center"/>
    </xf>
    <xf numFmtId="2" fontId="2" fillId="0" borderId="6" xfId="0" applyNumberFormat="1" applyFont="1" applyBorder="1" applyAlignment="1">
      <alignment horizontal="center"/>
    </xf>
    <xf numFmtId="173" fontId="0" fillId="0" borderId="40" xfId="10" applyFont="1" applyBorder="1" applyAlignment="1">
      <alignment horizontal="left" wrapText="1"/>
    </xf>
    <xf numFmtId="173" fontId="0" fillId="0" borderId="41" xfId="10" applyFont="1" applyBorder="1" applyAlignment="1">
      <alignment horizontal="left" wrapText="1"/>
    </xf>
    <xf numFmtId="173" fontId="0" fillId="0" borderId="42" xfId="10" applyFont="1" applyBorder="1" applyAlignment="1">
      <alignment horizontal="left" wrapText="1"/>
    </xf>
    <xf numFmtId="174" fontId="0" fillId="0" borderId="43" xfId="9" applyNumberFormat="1" applyFont="1" applyBorder="1" applyAlignment="1">
      <alignment horizontal="center" vertical="center"/>
    </xf>
    <xf numFmtId="174" fontId="0" fillId="0" borderId="42" xfId="9" applyNumberFormat="1" applyFont="1" applyBorder="1" applyAlignment="1">
      <alignment horizontal="center" vertical="center"/>
    </xf>
    <xf numFmtId="0" fontId="0" fillId="0" borderId="52" xfId="0" applyBorder="1" applyAlignment="1">
      <alignment horizontal="left" wrapText="1"/>
    </xf>
    <xf numFmtId="0" fontId="0" fillId="0" borderId="15" xfId="0" applyBorder="1" applyAlignment="1">
      <alignment horizontal="left" wrapText="1"/>
    </xf>
    <xf numFmtId="0" fontId="3" fillId="0" borderId="10" xfId="13" applyFont="1" applyBorder="1" applyAlignment="1">
      <alignment horizontal="center" vertical="center" wrapText="1"/>
    </xf>
    <xf numFmtId="0" fontId="3" fillId="0" borderId="6" xfId="13" applyFont="1" applyBorder="1" applyAlignment="1">
      <alignment horizontal="center" vertical="center" wrapText="1"/>
    </xf>
    <xf numFmtId="0" fontId="3" fillId="0" borderId="10" xfId="13" applyFont="1" applyBorder="1" applyAlignment="1">
      <alignment horizontal="center" vertical="center"/>
    </xf>
    <xf numFmtId="0" fontId="3" fillId="0" borderId="13" xfId="13" applyFont="1" applyBorder="1" applyAlignment="1">
      <alignment horizontal="center" vertical="center"/>
    </xf>
    <xf numFmtId="0" fontId="3" fillId="0" borderId="6" xfId="13" applyFont="1" applyBorder="1" applyAlignment="1">
      <alignment horizontal="center" vertical="center"/>
    </xf>
    <xf numFmtId="0" fontId="3" fillId="0" borderId="14" xfId="13" applyFont="1" applyBorder="1" applyAlignment="1">
      <alignment horizontal="center" vertical="center"/>
    </xf>
    <xf numFmtId="0" fontId="3" fillId="0" borderId="15" xfId="13" applyFont="1" applyBorder="1" applyAlignment="1">
      <alignment horizontal="center" vertical="center"/>
    </xf>
    <xf numFmtId="0" fontId="3" fillId="0" borderId="16" xfId="13" applyFont="1" applyBorder="1" applyAlignment="1">
      <alignment horizontal="center" vertical="center"/>
    </xf>
    <xf numFmtId="0" fontId="14" fillId="0" borderId="40" xfId="2" applyFont="1" applyFill="1" applyBorder="1" applyAlignment="1"/>
    <xf numFmtId="0" fontId="14" fillId="0" borderId="41" xfId="2" applyFont="1" applyFill="1" applyBorder="1" applyAlignment="1"/>
    <xf numFmtId="0" fontId="14" fillId="0" borderId="42" xfId="2" applyFont="1" applyFill="1" applyBorder="1" applyAlignment="1"/>
    <xf numFmtId="0" fontId="14" fillId="0" borderId="40" xfId="2" applyFont="1" applyBorder="1" applyAlignment="1">
      <alignment horizontal="left"/>
    </xf>
    <xf numFmtId="0" fontId="14" fillId="0" borderId="41" xfId="2" applyFont="1" applyBorder="1" applyAlignment="1">
      <alignment horizontal="left"/>
    </xf>
    <xf numFmtId="0" fontId="14" fillId="0" borderId="42" xfId="2" applyFont="1" applyBorder="1" applyAlignment="1">
      <alignment horizontal="left"/>
    </xf>
    <xf numFmtId="0" fontId="2" fillId="0" borderId="30" xfId="0" applyFont="1" applyBorder="1" applyAlignment="1">
      <alignment horizontal="center" vertical="center" wrapText="1"/>
    </xf>
    <xf numFmtId="0" fontId="2" fillId="0" borderId="31" xfId="0" applyFont="1" applyBorder="1" applyAlignment="1">
      <alignment horizontal="center" vertical="center"/>
    </xf>
    <xf numFmtId="0" fontId="2" fillId="0" borderId="32" xfId="0" applyFont="1" applyBorder="1" applyAlignment="1">
      <alignment horizontal="center" vertical="center"/>
    </xf>
    <xf numFmtId="0" fontId="2" fillId="0" borderId="30" xfId="0" applyFont="1" applyBorder="1" applyAlignment="1">
      <alignment horizontal="center" vertical="center"/>
    </xf>
    <xf numFmtId="0" fontId="2" fillId="0" borderId="30" xfId="0" applyFont="1" applyBorder="1" applyAlignment="1">
      <alignment horizontal="center" wrapText="1"/>
    </xf>
    <xf numFmtId="0" fontId="2" fillId="0" borderId="31" xfId="0" applyFont="1" applyBorder="1" applyAlignment="1">
      <alignment horizontal="center" wrapText="1"/>
    </xf>
    <xf numFmtId="0" fontId="2" fillId="0" borderId="32" xfId="0" applyFont="1" applyBorder="1" applyAlignment="1">
      <alignment horizontal="center" wrapText="1"/>
    </xf>
    <xf numFmtId="42" fontId="0" fillId="0" borderId="43" xfId="9" applyFont="1" applyBorder="1" applyAlignment="1">
      <alignment horizontal="center"/>
    </xf>
    <xf numFmtId="42" fontId="0" fillId="0" borderId="42" xfId="9" applyFont="1" applyBorder="1" applyAlignment="1">
      <alignment horizontal="center"/>
    </xf>
    <xf numFmtId="42" fontId="0" fillId="0" borderId="45" xfId="9" applyFont="1" applyBorder="1" applyAlignment="1">
      <alignment horizontal="center"/>
    </xf>
    <xf numFmtId="42" fontId="0" fillId="0" borderId="44" xfId="9" applyFont="1" applyBorder="1" applyAlignment="1">
      <alignment horizontal="center"/>
    </xf>
    <xf numFmtId="0" fontId="2" fillId="0" borderId="40" xfId="0" applyFont="1" applyBorder="1" applyAlignment="1">
      <alignment wrapText="1"/>
    </xf>
    <xf numFmtId="0" fontId="3" fillId="11" borderId="4" xfId="0" applyFont="1" applyFill="1" applyBorder="1" applyAlignment="1">
      <alignment horizontal="center"/>
    </xf>
    <xf numFmtId="0" fontId="3" fillId="11" borderId="3" xfId="0" applyFont="1" applyFill="1" applyBorder="1" applyAlignment="1">
      <alignment horizontal="center"/>
    </xf>
    <xf numFmtId="0" fontId="3" fillId="11" borderId="57" xfId="0" applyFont="1" applyFill="1" applyBorder="1" applyAlignment="1">
      <alignment horizontal="center"/>
    </xf>
    <xf numFmtId="0" fontId="3" fillId="11" borderId="58" xfId="0" applyFont="1" applyFill="1" applyBorder="1" applyAlignment="1">
      <alignment horizontal="center"/>
    </xf>
    <xf numFmtId="173" fontId="0" fillId="0" borderId="61" xfId="10" applyFont="1" applyBorder="1" applyAlignment="1">
      <alignment horizontal="left" wrapText="1"/>
    </xf>
    <xf numFmtId="173" fontId="0" fillId="0" borderId="5" xfId="10" applyFont="1" applyBorder="1" applyAlignment="1">
      <alignment horizontal="left" wrapText="1"/>
    </xf>
    <xf numFmtId="173" fontId="0" fillId="0" borderId="39" xfId="10" applyFont="1" applyBorder="1" applyAlignment="1">
      <alignment horizontal="left" wrapText="1"/>
    </xf>
    <xf numFmtId="42" fontId="0" fillId="0" borderId="38" xfId="9" applyFont="1" applyBorder="1" applyAlignment="1">
      <alignment horizontal="center"/>
    </xf>
    <xf numFmtId="42" fontId="0" fillId="0" borderId="39" xfId="9" applyFont="1" applyBorder="1" applyAlignment="1">
      <alignment horizontal="center"/>
    </xf>
    <xf numFmtId="180" fontId="2" fillId="0" borderId="43" xfId="0" applyNumberFormat="1" applyFont="1" applyBorder="1" applyAlignment="1">
      <alignment horizontal="center"/>
    </xf>
    <xf numFmtId="180" fontId="2" fillId="0" borderId="42" xfId="0" applyNumberFormat="1" applyFont="1" applyBorder="1" applyAlignment="1">
      <alignment horizontal="center"/>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14" fillId="0" borderId="40" xfId="2" applyFont="1" applyFill="1" applyBorder="1" applyAlignment="1">
      <alignment horizontal="left"/>
    </xf>
    <xf numFmtId="0" fontId="14" fillId="0" borderId="41" xfId="2" applyFont="1" applyFill="1" applyBorder="1" applyAlignment="1">
      <alignment horizontal="left"/>
    </xf>
    <xf numFmtId="0" fontId="14" fillId="0" borderId="42" xfId="2" applyFont="1" applyFill="1" applyBorder="1" applyAlignment="1">
      <alignment horizontal="left"/>
    </xf>
    <xf numFmtId="4" fontId="14" fillId="0" borderId="43" xfId="2" applyNumberFormat="1" applyFont="1" applyFill="1" applyBorder="1" applyAlignment="1">
      <alignment horizontal="center"/>
    </xf>
    <xf numFmtId="4" fontId="14" fillId="0" borderId="42" xfId="2" applyNumberFormat="1" applyFont="1" applyFill="1" applyBorder="1" applyAlignment="1">
      <alignment horizontal="center"/>
    </xf>
    <xf numFmtId="4" fontId="14" fillId="0" borderId="45" xfId="2" applyNumberFormat="1" applyFont="1" applyFill="1" applyBorder="1" applyAlignment="1">
      <alignment horizontal="center"/>
    </xf>
    <xf numFmtId="4" fontId="14" fillId="0" borderId="44" xfId="2" applyNumberFormat="1" applyFont="1" applyFill="1" applyBorder="1" applyAlignment="1">
      <alignment horizontal="center"/>
    </xf>
    <xf numFmtId="42" fontId="0" fillId="0" borderId="37" xfId="9" applyFont="1" applyBorder="1" applyAlignment="1">
      <alignment horizontal="center"/>
    </xf>
    <xf numFmtId="42" fontId="0" fillId="0" borderId="36" xfId="9" applyFont="1" applyBorder="1" applyAlignment="1">
      <alignment horizontal="center"/>
    </xf>
    <xf numFmtId="0" fontId="2" fillId="0" borderId="40" xfId="0" applyFont="1" applyBorder="1"/>
    <xf numFmtId="0" fontId="2" fillId="0" borderId="41" xfId="0" applyFont="1" applyBorder="1"/>
    <xf numFmtId="0" fontId="2" fillId="0" borderId="42" xfId="0" applyFont="1" applyBorder="1"/>
    <xf numFmtId="0" fontId="2" fillId="0" borderId="43" xfId="0" applyFont="1" applyBorder="1"/>
    <xf numFmtId="0" fontId="2" fillId="0" borderId="30" xfId="0" applyFont="1" applyBorder="1"/>
    <xf numFmtId="0" fontId="2" fillId="0" borderId="31" xfId="0" applyFont="1" applyBorder="1"/>
    <xf numFmtId="0" fontId="2" fillId="0" borderId="44" xfId="0" applyFont="1" applyBorder="1"/>
    <xf numFmtId="0" fontId="2" fillId="0" borderId="45" xfId="0" applyFont="1" applyBorder="1"/>
    <xf numFmtId="4" fontId="14" fillId="0" borderId="43" xfId="2" applyNumberFormat="1" applyFont="1" applyBorder="1" applyAlignment="1">
      <alignment horizontal="center"/>
    </xf>
    <xf numFmtId="4" fontId="14" fillId="0" borderId="42" xfId="2" applyNumberFormat="1" applyFont="1" applyBorder="1" applyAlignment="1">
      <alignment horizontal="center"/>
    </xf>
    <xf numFmtId="0" fontId="2" fillId="0" borderId="51" xfId="0" applyFont="1" applyBorder="1"/>
    <xf numFmtId="0" fontId="2" fillId="0" borderId="6" xfId="0" applyFont="1" applyBorder="1"/>
    <xf numFmtId="0" fontId="2" fillId="0" borderId="52" xfId="0" applyFont="1" applyBorder="1"/>
    <xf numFmtId="0" fontId="2" fillId="0" borderId="15" xfId="0" applyFont="1" applyBorder="1"/>
    <xf numFmtId="0" fontId="2" fillId="0" borderId="50" xfId="0" applyFont="1" applyBorder="1"/>
    <xf numFmtId="0" fontId="2" fillId="0" borderId="10" xfId="0" applyFont="1" applyBorder="1"/>
    <xf numFmtId="0" fontId="2" fillId="0" borderId="0" xfId="0" applyFont="1" applyBorder="1" applyAlignment="1" applyProtection="1">
      <alignment horizontal="center" wrapText="1"/>
      <protection locked="0"/>
    </xf>
    <xf numFmtId="0" fontId="2" fillId="0" borderId="0"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41" xfId="0" applyFont="1" applyBorder="1" applyAlignment="1">
      <alignment wrapText="1"/>
    </xf>
    <xf numFmtId="0" fontId="2" fillId="0" borderId="42" xfId="0" applyFont="1" applyBorder="1" applyAlignment="1">
      <alignment wrapText="1"/>
    </xf>
  </cellXfs>
  <cellStyles count="14">
    <cellStyle name="Millares 2" xfId="6"/>
    <cellStyle name="Moneda [0]" xfId="1" builtinId="7"/>
    <cellStyle name="Moneda [0] 2" xfId="4"/>
    <cellStyle name="Moneda [0] 3" xfId="9"/>
    <cellStyle name="Moneda [0] 4" xfId="12"/>
    <cellStyle name="Moneda 2" xfId="5"/>
    <cellStyle name="Moneda 9" xfId="11"/>
    <cellStyle name="Normal" xfId="0" builtinId="0"/>
    <cellStyle name="Normal 2" xfId="2"/>
    <cellStyle name="Normal 2 3 2 2" xfId="10"/>
    <cellStyle name="Normal 4" xfId="8"/>
    <cellStyle name="Normal_modelo ACTA OBRA y MODIFICACION" xfId="3"/>
    <cellStyle name="Normal_modelo ACTA OBRA y MODIFICACION 2" xfId="13"/>
    <cellStyle name="Porcentaje 2" xfId="7"/>
  </cellStyles>
  <dxfs count="0"/>
  <tableStyles count="0" defaultTableStyle="TableStyleMedium2" defaultPivotStyle="PivotStyleLight16"/>
  <colors>
    <mruColors>
      <color rgb="FFC8F4C8"/>
      <color rgb="FF93FFC4"/>
      <color rgb="FF4B514E"/>
      <color rgb="FFEDE395"/>
      <color rgb="FF006666"/>
      <color rgb="FF008080"/>
      <color rgb="FF004846"/>
      <color rgb="FF2929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2.png"/><Relationship Id="rId4" Type="http://schemas.openxmlformats.org/officeDocument/2006/relationships/image" Target="../media/image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drawings/_rels/drawing64.xml.rels><?xml version="1.0" encoding="UTF-8" standalone="yes"?>
<Relationships xmlns="http://schemas.openxmlformats.org/package/2006/relationships"><Relationship Id="rId1" Type="http://schemas.openxmlformats.org/officeDocument/2006/relationships/image" Target="../media/image2.png"/></Relationships>
</file>

<file path=xl/drawings/_rels/drawing6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2.png"/></Relationships>
</file>

<file path=xl/drawings/_rels/drawing6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2.png"/></Relationships>
</file>

<file path=xl/drawings/_rels/drawing68.xml.rels><?xml version="1.0" encoding="UTF-8" standalone="yes"?>
<Relationships xmlns="http://schemas.openxmlformats.org/package/2006/relationships"><Relationship Id="rId1" Type="http://schemas.openxmlformats.org/officeDocument/2006/relationships/image" Target="../media/image2.png"/></Relationships>
</file>

<file path=xl/drawings/_rels/drawing69.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2.png"/></Relationships>
</file>

<file path=xl/drawings/_rels/drawing72.xml.rels><?xml version="1.0" encoding="UTF-8" standalone="yes"?>
<Relationships xmlns="http://schemas.openxmlformats.org/package/2006/relationships"><Relationship Id="rId1" Type="http://schemas.openxmlformats.org/officeDocument/2006/relationships/image" Target="../media/image2.png"/></Relationships>
</file>

<file path=xl/drawings/_rels/drawing73.xml.rels><?xml version="1.0" encoding="UTF-8" standalone="yes"?>
<Relationships xmlns="http://schemas.openxmlformats.org/package/2006/relationships"><Relationship Id="rId1" Type="http://schemas.openxmlformats.org/officeDocument/2006/relationships/image" Target="../media/image2.png"/></Relationships>
</file>

<file path=xl/drawings/_rels/drawing74.xml.rels><?xml version="1.0" encoding="UTF-8" standalone="yes"?>
<Relationships xmlns="http://schemas.openxmlformats.org/package/2006/relationships"><Relationship Id="rId1" Type="http://schemas.openxmlformats.org/officeDocument/2006/relationships/image" Target="../media/image2.png"/></Relationships>
</file>

<file path=xl/drawings/_rels/drawing75.xml.rels><?xml version="1.0" encoding="UTF-8" standalone="yes"?>
<Relationships xmlns="http://schemas.openxmlformats.org/package/2006/relationships"><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jpg"/><Relationship Id="rId1" Type="http://schemas.openxmlformats.org/officeDocument/2006/relationships/image" Target="../media/image2.png"/><Relationship Id="rId5" Type="http://schemas.openxmlformats.org/officeDocument/2006/relationships/image" Target="../media/image25.png"/><Relationship Id="rId4" Type="http://schemas.openxmlformats.org/officeDocument/2006/relationships/image" Target="../media/image24.png"/></Relationships>
</file>

<file path=xl/drawings/_rels/drawing78.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0.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png"/><Relationship Id="rId4" Type="http://schemas.openxmlformats.org/officeDocument/2006/relationships/image" Target="../media/image29.png"/></Relationships>
</file>

<file path=xl/drawings/_rels/drawing81.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8.png"/><Relationship Id="rId1" Type="http://schemas.openxmlformats.org/officeDocument/2006/relationships/image" Target="../media/image2.png"/></Relationships>
</file>

<file path=xl/drawings/_rels/drawing82.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2.png"/></Relationships>
</file>

<file path=xl/drawings/_rels/drawing8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png"/></Relationships>
</file>

<file path=xl/drawings/_rels/drawing85.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2.png"/></Relationships>
</file>

<file path=xl/drawings/_rels/drawing86.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2.png"/></Relationships>
</file>

<file path=xl/drawings/_rels/drawing87.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2.png"/></Relationships>
</file>

<file path=xl/drawings/_rels/drawing89.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drawing90.xml.rels><?xml version="1.0" encoding="UTF-8" standalone="yes"?>
<Relationships xmlns="http://schemas.openxmlformats.org/package/2006/relationships"><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1" Type="http://schemas.openxmlformats.org/officeDocument/2006/relationships/image" Target="../media/image2.png"/></Relationships>
</file>

<file path=xl/drawings/_rels/drawing9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188406</xdr:colOff>
      <xdr:row>140</xdr:row>
      <xdr:rowOff>115138</xdr:rowOff>
    </xdr:from>
    <xdr:to>
      <xdr:col>1</xdr:col>
      <xdr:colOff>2064831</xdr:colOff>
      <xdr:row>142</xdr:row>
      <xdr:rowOff>410166</xdr:rowOff>
    </xdr:to>
    <xdr:pic>
      <xdr:nvPicPr>
        <xdr:cNvPr id="2" name="Imagen 1">
          <a:extLst>
            <a:ext uri="{FF2B5EF4-FFF2-40B4-BE49-F238E27FC236}">
              <a16:creationId xmlns:a16="http://schemas.microsoft.com/office/drawing/2014/main" id="{7B51C6C3-3E68-4FC2-8FB5-3C4062F9A4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1758" y="54522775"/>
          <a:ext cx="1876425" cy="7032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09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09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09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0A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0A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0A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0B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0B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0B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0C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0C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0C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0D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0D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0D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0E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0E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0E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0F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0F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0F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10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1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10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41A33B6F-85BD-4078-9FEC-D4C641EF8922}"/>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D070A797-3CAB-4A02-9EAC-44F389BE25DC}"/>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7DA71997-50A5-49F8-BDF5-A1155824F53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11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11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11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0100-000002000000}"/>
            </a:ext>
          </a:extLst>
        </xdr:cNvPr>
        <xdr:cNvSpPr txBox="1">
          <a:spLocks noChangeArrowheads="1"/>
        </xdr:cNvSpPr>
      </xdr:nvSpPr>
      <xdr:spPr bwMode="auto">
        <a:xfrm>
          <a:off x="6105525" y="174307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5" name="Imagen 4" descr="N-195) Convenio Marco: Universidad de Cundinamarca">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6" name="Imagen 5" descr="N-195) Convenio Marco: Universidad de Cundinamarca">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7703348"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12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12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12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13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13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13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14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14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14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15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15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15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16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16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16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17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17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17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18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18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18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19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19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19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1A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1A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1A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1B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1B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1B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02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02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02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1C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1C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1C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1D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1D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1D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1E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1E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1E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1F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1F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1F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595312</xdr:colOff>
      <xdr:row>15</xdr:row>
      <xdr:rowOff>166687</xdr:rowOff>
    </xdr:from>
    <xdr:to>
      <xdr:col>33</xdr:col>
      <xdr:colOff>593407</xdr:colOff>
      <xdr:row>51</xdr:row>
      <xdr:rowOff>59532</xdr:rowOff>
    </xdr:to>
    <xdr:pic>
      <xdr:nvPicPr>
        <xdr:cNvPr id="5" name="Imagen 4">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2"/>
        <a:srcRect t="7224" b="4432"/>
        <a:stretch/>
      </xdr:blipFill>
      <xdr:spPr>
        <a:xfrm>
          <a:off x="11156156" y="3048000"/>
          <a:ext cx="15238095" cy="757237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20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2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20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21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21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21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22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22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22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23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23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23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24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24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24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25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25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25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03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03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03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26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26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26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27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27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27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28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28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28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29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29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29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23</xdr:row>
      <xdr:rowOff>0</xdr:rowOff>
    </xdr:from>
    <xdr:to>
      <xdr:col>30</xdr:col>
      <xdr:colOff>725703</xdr:colOff>
      <xdr:row>50</xdr:row>
      <xdr:rowOff>55528</xdr:rowOff>
    </xdr:to>
    <xdr:pic>
      <xdr:nvPicPr>
        <xdr:cNvPr id="5" name="Imagen 4">
          <a:extLst>
            <a:ext uri="{FF2B5EF4-FFF2-40B4-BE49-F238E27FC236}">
              <a16:creationId xmlns:a16="http://schemas.microsoft.com/office/drawing/2014/main" id="{40B6F44C-6FFB-4D3D-B080-80A94C7C3688}"/>
            </a:ext>
          </a:extLst>
        </xdr:cNvPr>
        <xdr:cNvPicPr>
          <a:picLocks noChangeAspect="1"/>
        </xdr:cNvPicPr>
      </xdr:nvPicPr>
      <xdr:blipFill>
        <a:blip xmlns:r="http://schemas.openxmlformats.org/officeDocument/2006/relationships" r:embed="rId2"/>
        <a:stretch>
          <a:fillRect/>
        </a:stretch>
      </xdr:blipFill>
      <xdr:spPr>
        <a:xfrm>
          <a:off x="11394281" y="4631531"/>
          <a:ext cx="12917703" cy="5449060"/>
        </a:xfrm>
        <a:prstGeom prst="rect">
          <a:avLst/>
        </a:prstGeom>
      </xdr:spPr>
    </xdr:pic>
    <xdr:clientData/>
  </xdr:twoCellAnchor>
  <xdr:twoCellAnchor editAs="oneCell">
    <xdr:from>
      <xdr:col>14</xdr:col>
      <xdr:colOff>0</xdr:colOff>
      <xdr:row>51</xdr:row>
      <xdr:rowOff>0</xdr:rowOff>
    </xdr:from>
    <xdr:to>
      <xdr:col>30</xdr:col>
      <xdr:colOff>554229</xdr:colOff>
      <xdr:row>70</xdr:row>
      <xdr:rowOff>131527</xdr:rowOff>
    </xdr:to>
    <xdr:pic>
      <xdr:nvPicPr>
        <xdr:cNvPr id="7" name="Imagen 6">
          <a:extLst>
            <a:ext uri="{FF2B5EF4-FFF2-40B4-BE49-F238E27FC236}">
              <a16:creationId xmlns:a16="http://schemas.microsoft.com/office/drawing/2014/main" id="{17D604D3-8147-4BF9-A1BF-DF6D88DCF35E}"/>
            </a:ext>
          </a:extLst>
        </xdr:cNvPr>
        <xdr:cNvPicPr>
          <a:picLocks noChangeAspect="1"/>
        </xdr:cNvPicPr>
      </xdr:nvPicPr>
      <xdr:blipFill>
        <a:blip xmlns:r="http://schemas.openxmlformats.org/officeDocument/2006/relationships" r:embed="rId3"/>
        <a:stretch>
          <a:fillRect/>
        </a:stretch>
      </xdr:blipFill>
      <xdr:spPr>
        <a:xfrm>
          <a:off x="11394281" y="10406063"/>
          <a:ext cx="12746229" cy="4001058"/>
        </a:xfrm>
        <a:prstGeom prst="rect">
          <a:avLst/>
        </a:prstGeom>
      </xdr:spPr>
    </xdr:pic>
    <xdr:clientData/>
  </xdr:twoCellAnchor>
  <xdr:twoCellAnchor editAs="oneCell">
    <xdr:from>
      <xdr:col>14</xdr:col>
      <xdr:colOff>0</xdr:colOff>
      <xdr:row>72</xdr:row>
      <xdr:rowOff>0</xdr:rowOff>
    </xdr:from>
    <xdr:to>
      <xdr:col>30</xdr:col>
      <xdr:colOff>678071</xdr:colOff>
      <xdr:row>94</xdr:row>
      <xdr:rowOff>129193</xdr:rowOff>
    </xdr:to>
    <xdr:pic>
      <xdr:nvPicPr>
        <xdr:cNvPr id="8" name="Imagen 7">
          <a:extLst>
            <a:ext uri="{FF2B5EF4-FFF2-40B4-BE49-F238E27FC236}">
              <a16:creationId xmlns:a16="http://schemas.microsoft.com/office/drawing/2014/main" id="{C3979881-F913-4F49-8927-9BF31CA9EC3E}"/>
            </a:ext>
          </a:extLst>
        </xdr:cNvPr>
        <xdr:cNvPicPr>
          <a:picLocks noChangeAspect="1"/>
        </xdr:cNvPicPr>
      </xdr:nvPicPr>
      <xdr:blipFill>
        <a:blip xmlns:r="http://schemas.openxmlformats.org/officeDocument/2006/relationships" r:embed="rId4"/>
        <a:stretch>
          <a:fillRect/>
        </a:stretch>
      </xdr:blipFill>
      <xdr:spPr>
        <a:xfrm>
          <a:off x="11394281" y="14489906"/>
          <a:ext cx="12870071" cy="434400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2A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2A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2A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2B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2B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2B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2C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2C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2C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2D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2D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2D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9457F2B5-D7C7-4917-8B74-AE2027E5879B}"/>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C3E1FB18-D45D-499F-AB0C-0B592E680079}"/>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76F2C412-EB5A-48FB-ACA2-9DCD68F726E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438150</xdr:colOff>
      <xdr:row>19</xdr:row>
      <xdr:rowOff>209550</xdr:rowOff>
    </xdr:from>
    <xdr:to>
      <xdr:col>29</xdr:col>
      <xdr:colOff>211220</xdr:colOff>
      <xdr:row>43</xdr:row>
      <xdr:rowOff>57873</xdr:rowOff>
    </xdr:to>
    <xdr:pic>
      <xdr:nvPicPr>
        <xdr:cNvPr id="6" name="Imagen 5">
          <a:extLst>
            <a:ext uri="{FF2B5EF4-FFF2-40B4-BE49-F238E27FC236}">
              <a16:creationId xmlns:a16="http://schemas.microsoft.com/office/drawing/2014/main" id="{C705A254-D236-4A16-9AEE-358B9B2A7946}"/>
            </a:ext>
          </a:extLst>
        </xdr:cNvPr>
        <xdr:cNvPicPr>
          <a:picLocks noChangeAspect="1"/>
        </xdr:cNvPicPr>
      </xdr:nvPicPr>
      <xdr:blipFill>
        <a:blip xmlns:r="http://schemas.openxmlformats.org/officeDocument/2006/relationships" r:embed="rId2"/>
        <a:stretch>
          <a:fillRect/>
        </a:stretch>
      </xdr:blipFill>
      <xdr:spPr>
        <a:xfrm>
          <a:off x="11068050" y="3867150"/>
          <a:ext cx="11965070" cy="5182323"/>
        </a:xfrm>
        <a:prstGeom prst="rect">
          <a:avLst/>
        </a:prstGeom>
      </xdr:spPr>
    </xdr:pic>
    <xdr:clientData/>
  </xdr:twoCellAnchor>
  <xdr:twoCellAnchor editAs="oneCell">
    <xdr:from>
      <xdr:col>14</xdr:col>
      <xdr:colOff>0</xdr:colOff>
      <xdr:row>47</xdr:row>
      <xdr:rowOff>0</xdr:rowOff>
    </xdr:from>
    <xdr:to>
      <xdr:col>30</xdr:col>
      <xdr:colOff>544702</xdr:colOff>
      <xdr:row>75</xdr:row>
      <xdr:rowOff>124645</xdr:rowOff>
    </xdr:to>
    <xdr:pic>
      <xdr:nvPicPr>
        <xdr:cNvPr id="7" name="Imagen 6">
          <a:extLst>
            <a:ext uri="{FF2B5EF4-FFF2-40B4-BE49-F238E27FC236}">
              <a16:creationId xmlns:a16="http://schemas.microsoft.com/office/drawing/2014/main" id="{1F570496-DBB7-4CC7-8D86-2E7C25F36F77}"/>
            </a:ext>
          </a:extLst>
        </xdr:cNvPr>
        <xdr:cNvPicPr>
          <a:picLocks noChangeAspect="1"/>
        </xdr:cNvPicPr>
      </xdr:nvPicPr>
      <xdr:blipFill>
        <a:blip xmlns:r="http://schemas.openxmlformats.org/officeDocument/2006/relationships" r:embed="rId3"/>
        <a:stretch>
          <a:fillRect/>
        </a:stretch>
      </xdr:blipFill>
      <xdr:spPr>
        <a:xfrm>
          <a:off x="11391900" y="9791700"/>
          <a:ext cx="12736702" cy="587774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2E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2E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2E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04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04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04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2F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2F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2F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30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3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30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31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31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31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32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32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32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21</xdr:row>
      <xdr:rowOff>190500</xdr:rowOff>
    </xdr:from>
    <xdr:to>
      <xdr:col>33</xdr:col>
      <xdr:colOff>641033</xdr:colOff>
      <xdr:row>60</xdr:row>
      <xdr:rowOff>35718</xdr:rowOff>
    </xdr:to>
    <xdr:pic>
      <xdr:nvPicPr>
        <xdr:cNvPr id="5" name="Imagen 4">
          <a:extLst>
            <a:ext uri="{FF2B5EF4-FFF2-40B4-BE49-F238E27FC236}">
              <a16:creationId xmlns:a16="http://schemas.microsoft.com/office/drawing/2014/main" id="{00000000-0008-0000-3200-000005000000}"/>
            </a:ext>
          </a:extLst>
        </xdr:cNvPr>
        <xdr:cNvPicPr>
          <a:picLocks noChangeAspect="1"/>
        </xdr:cNvPicPr>
      </xdr:nvPicPr>
      <xdr:blipFill rotWithShape="1">
        <a:blip xmlns:r="http://schemas.openxmlformats.org/officeDocument/2006/relationships" r:embed="rId2"/>
        <a:srcRect t="4445" b="4710"/>
        <a:stretch/>
      </xdr:blipFill>
      <xdr:spPr>
        <a:xfrm>
          <a:off x="11418094" y="4429125"/>
          <a:ext cx="15238095" cy="778668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33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33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33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34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34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34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38</xdr:row>
      <xdr:rowOff>154781</xdr:rowOff>
    </xdr:from>
    <xdr:to>
      <xdr:col>34</xdr:col>
      <xdr:colOff>700564</xdr:colOff>
      <xdr:row>78</xdr:row>
      <xdr:rowOff>35720</xdr:rowOff>
    </xdr:to>
    <xdr:pic>
      <xdr:nvPicPr>
        <xdr:cNvPr id="6" name="Imagen 5">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srcRect t="4028" b="4571"/>
        <a:stretch/>
      </xdr:blipFill>
      <xdr:spPr>
        <a:xfrm>
          <a:off x="12239625" y="8262937"/>
          <a:ext cx="15238095" cy="783431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35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35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35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xdr:row>
      <xdr:rowOff>345280</xdr:rowOff>
    </xdr:from>
    <xdr:to>
      <xdr:col>33</xdr:col>
      <xdr:colOff>641033</xdr:colOff>
      <xdr:row>63</xdr:row>
      <xdr:rowOff>130969</xdr:rowOff>
    </xdr:to>
    <xdr:pic>
      <xdr:nvPicPr>
        <xdr:cNvPr id="6" name="Imagen 5">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srcRect t="4029" b="5821"/>
        <a:stretch/>
      </xdr:blipFill>
      <xdr:spPr>
        <a:xfrm>
          <a:off x="11418094" y="5512593"/>
          <a:ext cx="15238095" cy="7727157"/>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36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36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36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342900</xdr:colOff>
      <xdr:row>12</xdr:row>
      <xdr:rowOff>38100</xdr:rowOff>
    </xdr:from>
    <xdr:to>
      <xdr:col>29</xdr:col>
      <xdr:colOff>20728</xdr:colOff>
      <xdr:row>38</xdr:row>
      <xdr:rowOff>134134</xdr:rowOff>
    </xdr:to>
    <xdr:pic>
      <xdr:nvPicPr>
        <xdr:cNvPr id="5" name="Imagen 4">
          <a:extLst>
            <a:ext uri="{FF2B5EF4-FFF2-40B4-BE49-F238E27FC236}">
              <a16:creationId xmlns:a16="http://schemas.microsoft.com/office/drawing/2014/main" id="{02253CC6-BE99-423B-9810-F3D2542DC007}"/>
            </a:ext>
          </a:extLst>
        </xdr:cNvPr>
        <xdr:cNvPicPr>
          <a:picLocks noChangeAspect="1"/>
        </xdr:cNvPicPr>
      </xdr:nvPicPr>
      <xdr:blipFill>
        <a:blip xmlns:r="http://schemas.openxmlformats.org/officeDocument/2006/relationships" r:embed="rId2"/>
        <a:stretch>
          <a:fillRect/>
        </a:stretch>
      </xdr:blipFill>
      <xdr:spPr>
        <a:xfrm>
          <a:off x="11010900" y="2324100"/>
          <a:ext cx="12022228" cy="562053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38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38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38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39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39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39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05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05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05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3A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3A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3A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3B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3B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3B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404812</xdr:colOff>
      <xdr:row>24</xdr:row>
      <xdr:rowOff>35717</xdr:rowOff>
    </xdr:from>
    <xdr:to>
      <xdr:col>33</xdr:col>
      <xdr:colOff>283845</xdr:colOff>
      <xdr:row>60</xdr:row>
      <xdr:rowOff>166687</xdr:rowOff>
    </xdr:to>
    <xdr:pic>
      <xdr:nvPicPr>
        <xdr:cNvPr id="5" name="Imagen 4">
          <a:extLst>
            <a:ext uri="{FF2B5EF4-FFF2-40B4-BE49-F238E27FC236}">
              <a16:creationId xmlns:a16="http://schemas.microsoft.com/office/drawing/2014/main" id="{00000000-0008-0000-3B00-000005000000}"/>
            </a:ext>
          </a:extLst>
        </xdr:cNvPr>
        <xdr:cNvPicPr>
          <a:picLocks noChangeAspect="1"/>
        </xdr:cNvPicPr>
      </xdr:nvPicPr>
      <xdr:blipFill rotWithShape="1">
        <a:blip xmlns:r="http://schemas.openxmlformats.org/officeDocument/2006/relationships" r:embed="rId2"/>
        <a:srcRect t="4029" b="4710"/>
        <a:stretch/>
      </xdr:blipFill>
      <xdr:spPr>
        <a:xfrm>
          <a:off x="11060906" y="4869655"/>
          <a:ext cx="15238095" cy="7822407"/>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3C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3C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3C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3D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3D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3D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476250</xdr:colOff>
      <xdr:row>25</xdr:row>
      <xdr:rowOff>404811</xdr:rowOff>
    </xdr:from>
    <xdr:to>
      <xdr:col>33</xdr:col>
      <xdr:colOff>355283</xdr:colOff>
      <xdr:row>64</xdr:row>
      <xdr:rowOff>95249</xdr:rowOff>
    </xdr:to>
    <xdr:pic>
      <xdr:nvPicPr>
        <xdr:cNvPr id="6" name="Imagen 5">
          <a:extLst>
            <a:ext uri="{FF2B5EF4-FFF2-40B4-BE49-F238E27FC236}">
              <a16:creationId xmlns:a16="http://schemas.microsoft.com/office/drawing/2014/main" id="{00000000-0008-0000-3D00-000006000000}"/>
            </a:ext>
          </a:extLst>
        </xdr:cNvPr>
        <xdr:cNvPicPr>
          <a:picLocks noChangeAspect="1"/>
        </xdr:cNvPicPr>
      </xdr:nvPicPr>
      <xdr:blipFill rotWithShape="1">
        <a:blip xmlns:r="http://schemas.openxmlformats.org/officeDocument/2006/relationships" r:embed="rId2"/>
        <a:srcRect t="3889" b="4710"/>
        <a:stretch/>
      </xdr:blipFill>
      <xdr:spPr>
        <a:xfrm>
          <a:off x="11132344" y="5572124"/>
          <a:ext cx="15238095" cy="7834313"/>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3E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3E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3E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3F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3F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3F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xdr:row>
      <xdr:rowOff>-1</xdr:rowOff>
    </xdr:from>
    <xdr:to>
      <xdr:col>33</xdr:col>
      <xdr:colOff>641033</xdr:colOff>
      <xdr:row>64</xdr:row>
      <xdr:rowOff>95250</xdr:rowOff>
    </xdr:to>
    <xdr:pic>
      <xdr:nvPicPr>
        <xdr:cNvPr id="5" name="Imagen 4">
          <a:extLst>
            <a:ext uri="{FF2B5EF4-FFF2-40B4-BE49-F238E27FC236}">
              <a16:creationId xmlns:a16="http://schemas.microsoft.com/office/drawing/2014/main" id="{00000000-0008-0000-3F00-000005000000}"/>
            </a:ext>
          </a:extLst>
        </xdr:cNvPr>
        <xdr:cNvPicPr>
          <a:picLocks noChangeAspect="1"/>
        </xdr:cNvPicPr>
      </xdr:nvPicPr>
      <xdr:blipFill rotWithShape="1">
        <a:blip xmlns:r="http://schemas.openxmlformats.org/officeDocument/2006/relationships" r:embed="rId2"/>
        <a:srcRect t="3889" b="4571"/>
        <a:stretch/>
      </xdr:blipFill>
      <xdr:spPr>
        <a:xfrm>
          <a:off x="11418094" y="5167312"/>
          <a:ext cx="15238095" cy="784621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41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41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41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589A3308-2B7F-4DD9-84C4-FD108B272CFC}"/>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E893B310-1EA3-484B-87BA-ECD2AD7B3FF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2D1BFF34-50ED-40CA-B665-996508CA151E}"/>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13</xdr:row>
      <xdr:rowOff>0</xdr:rowOff>
    </xdr:from>
    <xdr:to>
      <xdr:col>33</xdr:col>
      <xdr:colOff>641033</xdr:colOff>
      <xdr:row>49</xdr:row>
      <xdr:rowOff>150020</xdr:rowOff>
    </xdr:to>
    <xdr:pic>
      <xdr:nvPicPr>
        <xdr:cNvPr id="5" name="Imagen 4">
          <a:extLst>
            <a:ext uri="{FF2B5EF4-FFF2-40B4-BE49-F238E27FC236}">
              <a16:creationId xmlns:a16="http://schemas.microsoft.com/office/drawing/2014/main" id="{519E529E-703E-49CE-A152-19153CEEEB7E}"/>
            </a:ext>
          </a:extLst>
        </xdr:cNvPr>
        <xdr:cNvPicPr>
          <a:picLocks noChangeAspect="1"/>
        </xdr:cNvPicPr>
      </xdr:nvPicPr>
      <xdr:blipFill rotWithShape="1">
        <a:blip xmlns:r="http://schemas.openxmlformats.org/officeDocument/2006/relationships" r:embed="rId2"/>
        <a:srcRect t="4167" b="4293"/>
        <a:stretch/>
      </xdr:blipFill>
      <xdr:spPr>
        <a:xfrm>
          <a:off x="11430000" y="2514600"/>
          <a:ext cx="15233333" cy="7979570"/>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4B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4B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4B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4C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4C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4C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06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06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06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4D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4D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4D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773907</xdr:colOff>
      <xdr:row>24</xdr:row>
      <xdr:rowOff>11906</xdr:rowOff>
    </xdr:from>
    <xdr:to>
      <xdr:col>34</xdr:col>
      <xdr:colOff>760096</xdr:colOff>
      <xdr:row>62</xdr:row>
      <xdr:rowOff>95251</xdr:rowOff>
    </xdr:to>
    <xdr:pic>
      <xdr:nvPicPr>
        <xdr:cNvPr id="6" name="Imagen 5">
          <a:extLst>
            <a:ext uri="{FF2B5EF4-FFF2-40B4-BE49-F238E27FC236}">
              <a16:creationId xmlns:a16="http://schemas.microsoft.com/office/drawing/2014/main" id="{00000000-0008-0000-4D00-000006000000}"/>
            </a:ext>
          </a:extLst>
        </xdr:cNvPr>
        <xdr:cNvPicPr>
          <a:picLocks noChangeAspect="1"/>
        </xdr:cNvPicPr>
      </xdr:nvPicPr>
      <xdr:blipFill rotWithShape="1">
        <a:blip xmlns:r="http://schemas.openxmlformats.org/officeDocument/2006/relationships" r:embed="rId2"/>
        <a:srcRect l="-313" t="4722" b="4711"/>
        <a:stretch/>
      </xdr:blipFill>
      <xdr:spPr>
        <a:xfrm>
          <a:off x="12192001" y="4845844"/>
          <a:ext cx="15285720" cy="7762876"/>
        </a:xfrm>
        <a:prstGeom prst="rect">
          <a:avLst/>
        </a:prstGeom>
      </xdr:spPr>
    </xdr:pic>
    <xdr:clientData/>
  </xdr:twoCellAnchor>
  <xdr:twoCellAnchor editAs="oneCell">
    <xdr:from>
      <xdr:col>15</xdr:col>
      <xdr:colOff>0</xdr:colOff>
      <xdr:row>66</xdr:row>
      <xdr:rowOff>142874</xdr:rowOff>
    </xdr:from>
    <xdr:to>
      <xdr:col>34</xdr:col>
      <xdr:colOff>760095</xdr:colOff>
      <xdr:row>107</xdr:row>
      <xdr:rowOff>83343</xdr:rowOff>
    </xdr:to>
    <xdr:pic>
      <xdr:nvPicPr>
        <xdr:cNvPr id="8" name="Imagen 7">
          <a:extLst>
            <a:ext uri="{FF2B5EF4-FFF2-40B4-BE49-F238E27FC236}">
              <a16:creationId xmlns:a16="http://schemas.microsoft.com/office/drawing/2014/main" id="{00000000-0008-0000-4D00-000008000000}"/>
            </a:ext>
          </a:extLst>
        </xdr:cNvPr>
        <xdr:cNvPicPr>
          <a:picLocks noChangeAspect="1"/>
        </xdr:cNvPicPr>
      </xdr:nvPicPr>
      <xdr:blipFill rotWithShape="1">
        <a:blip xmlns:r="http://schemas.openxmlformats.org/officeDocument/2006/relationships" r:embed="rId3"/>
        <a:srcRect t="3889" b="4849"/>
        <a:stretch/>
      </xdr:blipFill>
      <xdr:spPr>
        <a:xfrm>
          <a:off x="12239625" y="13442155"/>
          <a:ext cx="15238095" cy="7822407"/>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4F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4F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4F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702468</xdr:colOff>
      <xdr:row>18</xdr:row>
      <xdr:rowOff>-1</xdr:rowOff>
    </xdr:from>
    <xdr:to>
      <xdr:col>33</xdr:col>
      <xdr:colOff>664845</xdr:colOff>
      <xdr:row>56</xdr:row>
      <xdr:rowOff>23813</xdr:rowOff>
    </xdr:to>
    <xdr:pic>
      <xdr:nvPicPr>
        <xdr:cNvPr id="5" name="Imagen 4">
          <a:extLst>
            <a:ext uri="{FF2B5EF4-FFF2-40B4-BE49-F238E27FC236}">
              <a16:creationId xmlns:a16="http://schemas.microsoft.com/office/drawing/2014/main" id="{00000000-0008-0000-4F00-000005000000}"/>
            </a:ext>
          </a:extLst>
        </xdr:cNvPr>
        <xdr:cNvPicPr>
          <a:picLocks noChangeAspect="1"/>
        </xdr:cNvPicPr>
      </xdr:nvPicPr>
      <xdr:blipFill rotWithShape="1">
        <a:blip xmlns:r="http://schemas.openxmlformats.org/officeDocument/2006/relationships" r:embed="rId2"/>
        <a:srcRect l="-156" t="4167" b="5266"/>
        <a:stretch/>
      </xdr:blipFill>
      <xdr:spPr>
        <a:xfrm>
          <a:off x="11358562" y="3452812"/>
          <a:ext cx="15261908" cy="7762876"/>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50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5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50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51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51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51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52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52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52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53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53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53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7F49F79A-79A2-4017-946A-1FC500097BC1}"/>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573B1E02-1DD6-4D99-B811-BCAB85F7A02E}"/>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DC4DB68E-CAF7-417F-BFFA-A4C704D1109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xdr:row>
      <xdr:rowOff>0</xdr:rowOff>
    </xdr:from>
    <xdr:to>
      <xdr:col>30</xdr:col>
      <xdr:colOff>378009</xdr:colOff>
      <xdr:row>54</xdr:row>
      <xdr:rowOff>34149</xdr:rowOff>
    </xdr:to>
    <xdr:pic>
      <xdr:nvPicPr>
        <xdr:cNvPr id="5" name="Imagen 4">
          <a:extLst>
            <a:ext uri="{FF2B5EF4-FFF2-40B4-BE49-F238E27FC236}">
              <a16:creationId xmlns:a16="http://schemas.microsoft.com/office/drawing/2014/main" id="{0AC50FF1-A466-4939-9932-E8BD664CFA24}"/>
            </a:ext>
          </a:extLst>
        </xdr:cNvPr>
        <xdr:cNvPicPr>
          <a:picLocks noChangeAspect="1"/>
        </xdr:cNvPicPr>
      </xdr:nvPicPr>
      <xdr:blipFill>
        <a:blip xmlns:r="http://schemas.openxmlformats.org/officeDocument/2006/relationships" r:embed="rId2"/>
        <a:stretch>
          <a:fillRect/>
        </a:stretch>
      </xdr:blipFill>
      <xdr:spPr>
        <a:xfrm>
          <a:off x="11418094" y="5953125"/>
          <a:ext cx="12689071" cy="5820587"/>
        </a:xfrm>
        <a:prstGeom prst="rect">
          <a:avLst/>
        </a:prstGeom>
      </xdr:spPr>
    </xdr:pic>
    <xdr:clientData/>
  </xdr:twoCellAnchor>
  <xdr:twoCellAnchor editAs="oneCell">
    <xdr:from>
      <xdr:col>14</xdr:col>
      <xdr:colOff>0</xdr:colOff>
      <xdr:row>56</xdr:row>
      <xdr:rowOff>0</xdr:rowOff>
    </xdr:from>
    <xdr:to>
      <xdr:col>30</xdr:col>
      <xdr:colOff>320851</xdr:colOff>
      <xdr:row>85</xdr:row>
      <xdr:rowOff>119867</xdr:rowOff>
    </xdr:to>
    <xdr:pic>
      <xdr:nvPicPr>
        <xdr:cNvPr id="6" name="Imagen 5">
          <a:extLst>
            <a:ext uri="{FF2B5EF4-FFF2-40B4-BE49-F238E27FC236}">
              <a16:creationId xmlns:a16="http://schemas.microsoft.com/office/drawing/2014/main" id="{C4023AD8-D2B1-46B8-A64E-F99CC5DA1A90}"/>
            </a:ext>
          </a:extLst>
        </xdr:cNvPr>
        <xdr:cNvPicPr>
          <a:picLocks noChangeAspect="1"/>
        </xdr:cNvPicPr>
      </xdr:nvPicPr>
      <xdr:blipFill>
        <a:blip xmlns:r="http://schemas.openxmlformats.org/officeDocument/2006/relationships" r:embed="rId3"/>
        <a:stretch>
          <a:fillRect/>
        </a:stretch>
      </xdr:blipFill>
      <xdr:spPr>
        <a:xfrm>
          <a:off x="11418094" y="12120563"/>
          <a:ext cx="12631913" cy="5763429"/>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4CA13A5D-76BF-400B-83D7-A250E01C1E54}"/>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510178F8-DD55-4945-B22E-4834559EDE7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D910F1D9-C766-4CB6-BAC9-6DD7C47E5A8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xdr:row>
      <xdr:rowOff>0</xdr:rowOff>
    </xdr:from>
    <xdr:to>
      <xdr:col>24</xdr:col>
      <xdr:colOff>33338</xdr:colOff>
      <xdr:row>41</xdr:row>
      <xdr:rowOff>10688</xdr:rowOff>
    </xdr:to>
    <xdr:pic>
      <xdr:nvPicPr>
        <xdr:cNvPr id="7" name="Imagen 6">
          <a:extLst>
            <a:ext uri="{FF2B5EF4-FFF2-40B4-BE49-F238E27FC236}">
              <a16:creationId xmlns:a16="http://schemas.microsoft.com/office/drawing/2014/main" id="{4436DDB2-AC45-491D-8DCF-FEDCE1E30D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18094" y="5167313"/>
          <a:ext cx="7772400" cy="3630188"/>
        </a:xfrm>
        <a:prstGeom prst="rect">
          <a:avLst/>
        </a:prstGeom>
      </xdr:spPr>
    </xdr:pic>
    <xdr:clientData/>
  </xdr:twoCellAnchor>
  <xdr:twoCellAnchor editAs="oneCell">
    <xdr:from>
      <xdr:col>14</xdr:col>
      <xdr:colOff>0</xdr:colOff>
      <xdr:row>42</xdr:row>
      <xdr:rowOff>0</xdr:rowOff>
    </xdr:from>
    <xdr:to>
      <xdr:col>30</xdr:col>
      <xdr:colOff>482798</xdr:colOff>
      <xdr:row>66</xdr:row>
      <xdr:rowOff>31637</xdr:rowOff>
    </xdr:to>
    <xdr:pic>
      <xdr:nvPicPr>
        <xdr:cNvPr id="8" name="Imagen 7">
          <a:extLst>
            <a:ext uri="{FF2B5EF4-FFF2-40B4-BE49-F238E27FC236}">
              <a16:creationId xmlns:a16="http://schemas.microsoft.com/office/drawing/2014/main" id="{77895408-439E-4AC7-8BE4-8CD478D0CE46}"/>
            </a:ext>
          </a:extLst>
        </xdr:cNvPr>
        <xdr:cNvPicPr>
          <a:picLocks noChangeAspect="1"/>
        </xdr:cNvPicPr>
      </xdr:nvPicPr>
      <xdr:blipFill>
        <a:blip xmlns:r="http://schemas.openxmlformats.org/officeDocument/2006/relationships" r:embed="rId3"/>
        <a:stretch>
          <a:fillRect/>
        </a:stretch>
      </xdr:blipFill>
      <xdr:spPr>
        <a:xfrm>
          <a:off x="11418094" y="8989219"/>
          <a:ext cx="12793860" cy="4877481"/>
        </a:xfrm>
        <a:prstGeom prst="rect">
          <a:avLst/>
        </a:prstGeom>
      </xdr:spPr>
    </xdr:pic>
    <xdr:clientData/>
  </xdr:twoCellAnchor>
  <xdr:twoCellAnchor editAs="oneCell">
    <xdr:from>
      <xdr:col>14</xdr:col>
      <xdr:colOff>0</xdr:colOff>
      <xdr:row>69</xdr:row>
      <xdr:rowOff>0</xdr:rowOff>
    </xdr:from>
    <xdr:to>
      <xdr:col>30</xdr:col>
      <xdr:colOff>635220</xdr:colOff>
      <xdr:row>99</xdr:row>
      <xdr:rowOff>62722</xdr:rowOff>
    </xdr:to>
    <xdr:pic>
      <xdr:nvPicPr>
        <xdr:cNvPr id="9" name="Imagen 8">
          <a:extLst>
            <a:ext uri="{FF2B5EF4-FFF2-40B4-BE49-F238E27FC236}">
              <a16:creationId xmlns:a16="http://schemas.microsoft.com/office/drawing/2014/main" id="{5106DFEE-BFD6-4734-B884-02602380C4E7}"/>
            </a:ext>
          </a:extLst>
        </xdr:cNvPr>
        <xdr:cNvPicPr>
          <a:picLocks noChangeAspect="1"/>
        </xdr:cNvPicPr>
      </xdr:nvPicPr>
      <xdr:blipFill>
        <a:blip xmlns:r="http://schemas.openxmlformats.org/officeDocument/2006/relationships" r:embed="rId4"/>
        <a:stretch>
          <a:fillRect/>
        </a:stretch>
      </xdr:blipFill>
      <xdr:spPr>
        <a:xfrm>
          <a:off x="11418094" y="14430375"/>
          <a:ext cx="12946282" cy="5801535"/>
        </a:xfrm>
        <a:prstGeom prst="rect">
          <a:avLst/>
        </a:prstGeom>
      </xdr:spPr>
    </xdr:pic>
    <xdr:clientData/>
  </xdr:twoCellAnchor>
  <xdr:twoCellAnchor editAs="oneCell">
    <xdr:from>
      <xdr:col>14</xdr:col>
      <xdr:colOff>0</xdr:colOff>
      <xdr:row>101</xdr:row>
      <xdr:rowOff>0</xdr:rowOff>
    </xdr:from>
    <xdr:to>
      <xdr:col>30</xdr:col>
      <xdr:colOff>416114</xdr:colOff>
      <xdr:row>131</xdr:row>
      <xdr:rowOff>77008</xdr:rowOff>
    </xdr:to>
    <xdr:pic>
      <xdr:nvPicPr>
        <xdr:cNvPr id="10" name="Imagen 9">
          <a:extLst>
            <a:ext uri="{FF2B5EF4-FFF2-40B4-BE49-F238E27FC236}">
              <a16:creationId xmlns:a16="http://schemas.microsoft.com/office/drawing/2014/main" id="{6DD7FE8F-CDAD-40C4-852A-7441568A275D}"/>
            </a:ext>
          </a:extLst>
        </xdr:cNvPr>
        <xdr:cNvPicPr>
          <a:picLocks noChangeAspect="1"/>
        </xdr:cNvPicPr>
      </xdr:nvPicPr>
      <xdr:blipFill>
        <a:blip xmlns:r="http://schemas.openxmlformats.org/officeDocument/2006/relationships" r:embed="rId5"/>
        <a:stretch>
          <a:fillRect/>
        </a:stretch>
      </xdr:blipFill>
      <xdr:spPr>
        <a:xfrm>
          <a:off x="11418094" y="20550188"/>
          <a:ext cx="12727176" cy="5792008"/>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D980DFB7-2B81-493F-ABE2-24E6A12FBD85}"/>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BF554E08-0B5C-4E72-A938-59F11A0C9F2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C21F5604-F13D-4D2B-A8FB-FB7B04BA029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61</xdr:row>
      <xdr:rowOff>0</xdr:rowOff>
    </xdr:from>
    <xdr:to>
      <xdr:col>30</xdr:col>
      <xdr:colOff>168430</xdr:colOff>
      <xdr:row>92</xdr:row>
      <xdr:rowOff>24651</xdr:rowOff>
    </xdr:to>
    <xdr:pic>
      <xdr:nvPicPr>
        <xdr:cNvPr id="10" name="Imagen 9">
          <a:extLst>
            <a:ext uri="{FF2B5EF4-FFF2-40B4-BE49-F238E27FC236}">
              <a16:creationId xmlns:a16="http://schemas.microsoft.com/office/drawing/2014/main" id="{1D69A9AB-AF8C-47AF-BA89-EA764DC4B00A}"/>
            </a:ext>
          </a:extLst>
        </xdr:cNvPr>
        <xdr:cNvPicPr>
          <a:picLocks noChangeAspect="1"/>
        </xdr:cNvPicPr>
      </xdr:nvPicPr>
      <xdr:blipFill>
        <a:blip xmlns:r="http://schemas.openxmlformats.org/officeDocument/2006/relationships" r:embed="rId2"/>
        <a:stretch>
          <a:fillRect/>
        </a:stretch>
      </xdr:blipFill>
      <xdr:spPr>
        <a:xfrm>
          <a:off x="11418094" y="12858750"/>
          <a:ext cx="12479492" cy="6001588"/>
        </a:xfrm>
        <a:prstGeom prst="rect">
          <a:avLst/>
        </a:prstGeom>
      </xdr:spPr>
    </xdr:pic>
    <xdr:clientData/>
  </xdr:twoCellAnchor>
  <xdr:twoCellAnchor editAs="oneCell">
    <xdr:from>
      <xdr:col>14</xdr:col>
      <xdr:colOff>0</xdr:colOff>
      <xdr:row>33</xdr:row>
      <xdr:rowOff>0</xdr:rowOff>
    </xdr:from>
    <xdr:to>
      <xdr:col>30</xdr:col>
      <xdr:colOff>292272</xdr:colOff>
      <xdr:row>60</xdr:row>
      <xdr:rowOff>91341</xdr:rowOff>
    </xdr:to>
    <xdr:pic>
      <xdr:nvPicPr>
        <xdr:cNvPr id="11" name="Imagen 10">
          <a:extLst>
            <a:ext uri="{FF2B5EF4-FFF2-40B4-BE49-F238E27FC236}">
              <a16:creationId xmlns:a16="http://schemas.microsoft.com/office/drawing/2014/main" id="{EAA64375-70A0-46C2-9CC5-951983F8F602}"/>
            </a:ext>
          </a:extLst>
        </xdr:cNvPr>
        <xdr:cNvPicPr>
          <a:picLocks noChangeAspect="1"/>
        </xdr:cNvPicPr>
      </xdr:nvPicPr>
      <xdr:blipFill>
        <a:blip xmlns:r="http://schemas.openxmlformats.org/officeDocument/2006/relationships" r:embed="rId3"/>
        <a:stretch>
          <a:fillRect/>
        </a:stretch>
      </xdr:blipFill>
      <xdr:spPr>
        <a:xfrm>
          <a:off x="11418094" y="7239000"/>
          <a:ext cx="12603334" cy="611590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2C497142-9A3C-4740-809B-69A272061E37}"/>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C2B3C545-8482-4CA2-A354-FE326CF99D69}"/>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BC46B8F7-A8EF-4694-B8EE-432853D7345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xdr:row>
      <xdr:rowOff>0</xdr:rowOff>
    </xdr:from>
    <xdr:to>
      <xdr:col>30</xdr:col>
      <xdr:colOff>292272</xdr:colOff>
      <xdr:row>60</xdr:row>
      <xdr:rowOff>91341</xdr:rowOff>
    </xdr:to>
    <xdr:pic>
      <xdr:nvPicPr>
        <xdr:cNvPr id="6" name="Imagen 5">
          <a:extLst>
            <a:ext uri="{FF2B5EF4-FFF2-40B4-BE49-F238E27FC236}">
              <a16:creationId xmlns:a16="http://schemas.microsoft.com/office/drawing/2014/main" id="{AF890231-D98F-4159-B620-45A72D8751B1}"/>
            </a:ext>
          </a:extLst>
        </xdr:cNvPr>
        <xdr:cNvPicPr>
          <a:picLocks noChangeAspect="1"/>
        </xdr:cNvPicPr>
      </xdr:nvPicPr>
      <xdr:blipFill>
        <a:blip xmlns:r="http://schemas.openxmlformats.org/officeDocument/2006/relationships" r:embed="rId2"/>
        <a:stretch>
          <a:fillRect/>
        </a:stretch>
      </xdr:blipFill>
      <xdr:spPr>
        <a:xfrm>
          <a:off x="11410950" y="7219950"/>
          <a:ext cx="12598572" cy="6092091"/>
        </a:xfrm>
        <a:prstGeom prst="rect">
          <a:avLst/>
        </a:prstGeom>
      </xdr:spPr>
    </xdr:pic>
    <xdr:clientData/>
  </xdr:twoCellAnchor>
  <xdr:twoCellAnchor editAs="oneCell">
    <xdr:from>
      <xdr:col>14</xdr:col>
      <xdr:colOff>0</xdr:colOff>
      <xdr:row>62</xdr:row>
      <xdr:rowOff>0</xdr:rowOff>
    </xdr:from>
    <xdr:to>
      <xdr:col>29</xdr:col>
      <xdr:colOff>82586</xdr:colOff>
      <xdr:row>80</xdr:row>
      <xdr:rowOff>52884</xdr:rowOff>
    </xdr:to>
    <xdr:pic>
      <xdr:nvPicPr>
        <xdr:cNvPr id="7" name="Imagen 6">
          <a:extLst>
            <a:ext uri="{FF2B5EF4-FFF2-40B4-BE49-F238E27FC236}">
              <a16:creationId xmlns:a16="http://schemas.microsoft.com/office/drawing/2014/main" id="{A433579D-917C-448E-946B-38EDF12B6E54}"/>
            </a:ext>
          </a:extLst>
        </xdr:cNvPr>
        <xdr:cNvPicPr>
          <a:picLocks noChangeAspect="1"/>
        </xdr:cNvPicPr>
      </xdr:nvPicPr>
      <xdr:blipFill>
        <a:blip xmlns:r="http://schemas.openxmlformats.org/officeDocument/2006/relationships" r:embed="rId3"/>
        <a:stretch>
          <a:fillRect/>
        </a:stretch>
      </xdr:blipFill>
      <xdr:spPr>
        <a:xfrm>
          <a:off x="11418094" y="13644563"/>
          <a:ext cx="11631648" cy="35533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07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07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07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A4F332D7-A917-4A87-A0DE-D9FFA972D30A}"/>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615068F3-4491-4233-9558-712695074CA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AADF0F7D-5D82-4AE9-A1B6-EFC733FD43B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33</xdr:row>
      <xdr:rowOff>0</xdr:rowOff>
    </xdr:from>
    <xdr:to>
      <xdr:col>30</xdr:col>
      <xdr:colOff>292272</xdr:colOff>
      <xdr:row>60</xdr:row>
      <xdr:rowOff>91341</xdr:rowOff>
    </xdr:to>
    <xdr:pic>
      <xdr:nvPicPr>
        <xdr:cNvPr id="5" name="Imagen 4">
          <a:extLst>
            <a:ext uri="{FF2B5EF4-FFF2-40B4-BE49-F238E27FC236}">
              <a16:creationId xmlns:a16="http://schemas.microsoft.com/office/drawing/2014/main" id="{74916527-7B5C-40DF-9164-62FF288453BE}"/>
            </a:ext>
          </a:extLst>
        </xdr:cNvPr>
        <xdr:cNvPicPr>
          <a:picLocks noChangeAspect="1"/>
        </xdr:cNvPicPr>
      </xdr:nvPicPr>
      <xdr:blipFill>
        <a:blip xmlns:r="http://schemas.openxmlformats.org/officeDocument/2006/relationships" r:embed="rId2"/>
        <a:stretch>
          <a:fillRect/>
        </a:stretch>
      </xdr:blipFill>
      <xdr:spPr>
        <a:xfrm>
          <a:off x="11410950" y="7219950"/>
          <a:ext cx="12598572" cy="6092091"/>
        </a:xfrm>
        <a:prstGeom prst="rect">
          <a:avLst/>
        </a:prstGeom>
      </xdr:spPr>
    </xdr:pic>
    <xdr:clientData/>
  </xdr:twoCellAnchor>
  <xdr:twoCellAnchor editAs="oneCell">
    <xdr:from>
      <xdr:col>14</xdr:col>
      <xdr:colOff>0</xdr:colOff>
      <xdr:row>62</xdr:row>
      <xdr:rowOff>0</xdr:rowOff>
    </xdr:from>
    <xdr:to>
      <xdr:col>29</xdr:col>
      <xdr:colOff>82586</xdr:colOff>
      <xdr:row>80</xdr:row>
      <xdr:rowOff>52884</xdr:rowOff>
    </xdr:to>
    <xdr:pic>
      <xdr:nvPicPr>
        <xdr:cNvPr id="6" name="Imagen 5">
          <a:extLst>
            <a:ext uri="{FF2B5EF4-FFF2-40B4-BE49-F238E27FC236}">
              <a16:creationId xmlns:a16="http://schemas.microsoft.com/office/drawing/2014/main" id="{6831CD8F-5E97-4E7C-869E-DAE6CF79A287}"/>
            </a:ext>
          </a:extLst>
        </xdr:cNvPr>
        <xdr:cNvPicPr>
          <a:picLocks noChangeAspect="1"/>
        </xdr:cNvPicPr>
      </xdr:nvPicPr>
      <xdr:blipFill>
        <a:blip xmlns:r="http://schemas.openxmlformats.org/officeDocument/2006/relationships" r:embed="rId3"/>
        <a:stretch>
          <a:fillRect/>
        </a:stretch>
      </xdr:blipFill>
      <xdr:spPr>
        <a:xfrm>
          <a:off x="11410950" y="13601700"/>
          <a:ext cx="11626886" cy="3539034"/>
        </a:xfrm>
        <a:prstGeom prst="rect">
          <a:avLst/>
        </a:prstGeom>
      </xdr:spPr>
    </xdr:pic>
    <xdr:clientData/>
  </xdr:twoCellAnchor>
  <xdr:twoCellAnchor editAs="oneCell">
    <xdr:from>
      <xdr:col>14</xdr:col>
      <xdr:colOff>0</xdr:colOff>
      <xdr:row>82</xdr:row>
      <xdr:rowOff>0</xdr:rowOff>
    </xdr:from>
    <xdr:to>
      <xdr:col>30</xdr:col>
      <xdr:colOff>254167</xdr:colOff>
      <xdr:row>103</xdr:row>
      <xdr:rowOff>105348</xdr:rowOff>
    </xdr:to>
    <xdr:pic>
      <xdr:nvPicPr>
        <xdr:cNvPr id="8" name="Imagen 7">
          <a:extLst>
            <a:ext uri="{FF2B5EF4-FFF2-40B4-BE49-F238E27FC236}">
              <a16:creationId xmlns:a16="http://schemas.microsoft.com/office/drawing/2014/main" id="{EE485331-B9CF-4E72-B757-5E0AF76D45DA}"/>
            </a:ext>
          </a:extLst>
        </xdr:cNvPr>
        <xdr:cNvPicPr>
          <a:picLocks noChangeAspect="1"/>
        </xdr:cNvPicPr>
      </xdr:nvPicPr>
      <xdr:blipFill>
        <a:blip xmlns:r="http://schemas.openxmlformats.org/officeDocument/2006/relationships" r:embed="rId4"/>
        <a:stretch>
          <a:fillRect/>
        </a:stretch>
      </xdr:blipFill>
      <xdr:spPr>
        <a:xfrm>
          <a:off x="11418094" y="17621250"/>
          <a:ext cx="12565229" cy="4105848"/>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AEEE68DC-3404-44CE-A0C9-57CDC3E97C1A}"/>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1C1C2F1A-E332-4D83-A430-EA5154EDBDD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799A95D3-CC3B-47A0-B192-B65D981CA36C}"/>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62</xdr:row>
      <xdr:rowOff>0</xdr:rowOff>
    </xdr:from>
    <xdr:to>
      <xdr:col>29</xdr:col>
      <xdr:colOff>82586</xdr:colOff>
      <xdr:row>80</xdr:row>
      <xdr:rowOff>52883</xdr:rowOff>
    </xdr:to>
    <xdr:pic>
      <xdr:nvPicPr>
        <xdr:cNvPr id="6" name="Imagen 5">
          <a:extLst>
            <a:ext uri="{FF2B5EF4-FFF2-40B4-BE49-F238E27FC236}">
              <a16:creationId xmlns:a16="http://schemas.microsoft.com/office/drawing/2014/main" id="{2278C527-757D-42D5-854A-D2375BF6A25F}"/>
            </a:ext>
          </a:extLst>
        </xdr:cNvPr>
        <xdr:cNvPicPr>
          <a:picLocks noChangeAspect="1"/>
        </xdr:cNvPicPr>
      </xdr:nvPicPr>
      <xdr:blipFill>
        <a:blip xmlns:r="http://schemas.openxmlformats.org/officeDocument/2006/relationships" r:embed="rId2"/>
        <a:stretch>
          <a:fillRect/>
        </a:stretch>
      </xdr:blipFill>
      <xdr:spPr>
        <a:xfrm>
          <a:off x="11410950" y="13696950"/>
          <a:ext cx="11626886" cy="3539034"/>
        </a:xfrm>
        <a:prstGeom prst="rect">
          <a:avLst/>
        </a:prstGeom>
      </xdr:spPr>
    </xdr:pic>
    <xdr:clientData/>
  </xdr:twoCellAnchor>
  <xdr:twoCellAnchor editAs="oneCell">
    <xdr:from>
      <xdr:col>14</xdr:col>
      <xdr:colOff>0</xdr:colOff>
      <xdr:row>35</xdr:row>
      <xdr:rowOff>0</xdr:rowOff>
    </xdr:from>
    <xdr:to>
      <xdr:col>30</xdr:col>
      <xdr:colOff>378009</xdr:colOff>
      <xdr:row>65</xdr:row>
      <xdr:rowOff>103247</xdr:rowOff>
    </xdr:to>
    <xdr:pic>
      <xdr:nvPicPr>
        <xdr:cNvPr id="8" name="Imagen 7">
          <a:extLst>
            <a:ext uri="{FF2B5EF4-FFF2-40B4-BE49-F238E27FC236}">
              <a16:creationId xmlns:a16="http://schemas.microsoft.com/office/drawing/2014/main" id="{EA116CB0-9273-4613-A8D7-DDFC2E3BD09C}"/>
            </a:ext>
          </a:extLst>
        </xdr:cNvPr>
        <xdr:cNvPicPr>
          <a:picLocks noChangeAspect="1"/>
        </xdr:cNvPicPr>
      </xdr:nvPicPr>
      <xdr:blipFill>
        <a:blip xmlns:r="http://schemas.openxmlformats.org/officeDocument/2006/relationships" r:embed="rId3"/>
        <a:stretch>
          <a:fillRect/>
        </a:stretch>
      </xdr:blipFill>
      <xdr:spPr>
        <a:xfrm>
          <a:off x="11418094" y="7727156"/>
          <a:ext cx="12689071" cy="611590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C98C6EE6-4635-4C46-8D0B-AA18BABA676A}"/>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3D023CEE-739B-4DAC-8E54-CB8A332F460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7B9AE9D1-49F4-4EE9-9B93-C807FDC98E2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20</xdr:row>
      <xdr:rowOff>0</xdr:rowOff>
    </xdr:from>
    <xdr:to>
      <xdr:col>30</xdr:col>
      <xdr:colOff>216061</xdr:colOff>
      <xdr:row>45</xdr:row>
      <xdr:rowOff>86535</xdr:rowOff>
    </xdr:to>
    <xdr:pic>
      <xdr:nvPicPr>
        <xdr:cNvPr id="7" name="Imagen 6">
          <a:extLst>
            <a:ext uri="{FF2B5EF4-FFF2-40B4-BE49-F238E27FC236}">
              <a16:creationId xmlns:a16="http://schemas.microsoft.com/office/drawing/2014/main" id="{A66A96BA-97D0-4892-B099-780A2C6018D5}"/>
            </a:ext>
          </a:extLst>
        </xdr:cNvPr>
        <xdr:cNvPicPr>
          <a:picLocks noChangeAspect="1"/>
        </xdr:cNvPicPr>
      </xdr:nvPicPr>
      <xdr:blipFill>
        <a:blip xmlns:r="http://schemas.openxmlformats.org/officeDocument/2006/relationships" r:embed="rId2"/>
        <a:stretch>
          <a:fillRect/>
        </a:stretch>
      </xdr:blipFill>
      <xdr:spPr>
        <a:xfrm>
          <a:off x="11418094" y="4048125"/>
          <a:ext cx="12527123" cy="5801535"/>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66877EFF-477B-4AAA-B5A8-46BF475DD931}"/>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39AD06B3-75D3-4D68-AA3F-74CE0C82E8A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ACB0BC99-C4E6-49D5-A2B7-60B236CDF04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18</xdr:row>
      <xdr:rowOff>0</xdr:rowOff>
    </xdr:from>
    <xdr:to>
      <xdr:col>30</xdr:col>
      <xdr:colOff>539956</xdr:colOff>
      <xdr:row>42</xdr:row>
      <xdr:rowOff>84155</xdr:rowOff>
    </xdr:to>
    <xdr:pic>
      <xdr:nvPicPr>
        <xdr:cNvPr id="6" name="Imagen 5">
          <a:extLst>
            <a:ext uri="{FF2B5EF4-FFF2-40B4-BE49-F238E27FC236}">
              <a16:creationId xmlns:a16="http://schemas.microsoft.com/office/drawing/2014/main" id="{2F7FB9D7-9C27-45E0-AE18-EAE8C56C451B}"/>
            </a:ext>
          </a:extLst>
        </xdr:cNvPr>
        <xdr:cNvPicPr>
          <a:picLocks noChangeAspect="1"/>
        </xdr:cNvPicPr>
      </xdr:nvPicPr>
      <xdr:blipFill>
        <a:blip xmlns:r="http://schemas.openxmlformats.org/officeDocument/2006/relationships" r:embed="rId2"/>
        <a:stretch>
          <a:fillRect/>
        </a:stretch>
      </xdr:blipFill>
      <xdr:spPr>
        <a:xfrm>
          <a:off x="11418094" y="3452813"/>
          <a:ext cx="12851018" cy="5811061"/>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2138560B-7D44-4698-BC62-B8803B4C01DD}"/>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FC165671-B429-4CFA-9768-8CA59E3A136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CF3AB28-5CBC-4939-B13C-DC84CBBE268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19</xdr:row>
      <xdr:rowOff>0</xdr:rowOff>
    </xdr:from>
    <xdr:to>
      <xdr:col>30</xdr:col>
      <xdr:colOff>273219</xdr:colOff>
      <xdr:row>43</xdr:row>
      <xdr:rowOff>110354</xdr:rowOff>
    </xdr:to>
    <xdr:pic>
      <xdr:nvPicPr>
        <xdr:cNvPr id="6" name="Imagen 5">
          <a:extLst>
            <a:ext uri="{FF2B5EF4-FFF2-40B4-BE49-F238E27FC236}">
              <a16:creationId xmlns:a16="http://schemas.microsoft.com/office/drawing/2014/main" id="{256512B2-2453-4FC3-9BD0-294C4BF3E51E}"/>
            </a:ext>
          </a:extLst>
        </xdr:cNvPr>
        <xdr:cNvPicPr>
          <a:picLocks noChangeAspect="1"/>
        </xdr:cNvPicPr>
      </xdr:nvPicPr>
      <xdr:blipFill>
        <a:blip xmlns:r="http://schemas.openxmlformats.org/officeDocument/2006/relationships" r:embed="rId2"/>
        <a:stretch>
          <a:fillRect/>
        </a:stretch>
      </xdr:blipFill>
      <xdr:spPr>
        <a:xfrm>
          <a:off x="11418094" y="3643313"/>
          <a:ext cx="12584281" cy="5849166"/>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1894D9C-72B3-4545-A1CC-CDAE82E14E4D}"/>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E9F0148D-E1A8-4592-80FA-EC639881413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39D56428-E25C-457F-AD13-3EF92E893CA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xdr:row>
      <xdr:rowOff>0</xdr:rowOff>
    </xdr:from>
    <xdr:to>
      <xdr:col>30</xdr:col>
      <xdr:colOff>177956</xdr:colOff>
      <xdr:row>50</xdr:row>
      <xdr:rowOff>141293</xdr:rowOff>
    </xdr:to>
    <xdr:pic>
      <xdr:nvPicPr>
        <xdr:cNvPr id="7" name="Imagen 6">
          <a:extLst>
            <a:ext uri="{FF2B5EF4-FFF2-40B4-BE49-F238E27FC236}">
              <a16:creationId xmlns:a16="http://schemas.microsoft.com/office/drawing/2014/main" id="{DA130390-4AAE-4BD0-B502-DE7EE5035653}"/>
            </a:ext>
          </a:extLst>
        </xdr:cNvPr>
        <xdr:cNvPicPr>
          <a:picLocks noChangeAspect="1"/>
        </xdr:cNvPicPr>
      </xdr:nvPicPr>
      <xdr:blipFill>
        <a:blip xmlns:r="http://schemas.openxmlformats.org/officeDocument/2006/relationships" r:embed="rId2"/>
        <a:stretch>
          <a:fillRect/>
        </a:stretch>
      </xdr:blipFill>
      <xdr:spPr>
        <a:xfrm>
          <a:off x="11418094" y="5167313"/>
          <a:ext cx="12489018" cy="5725324"/>
        </a:xfrm>
        <a:prstGeom prst="rect">
          <a:avLst/>
        </a:prstGeom>
      </xdr:spPr>
    </xdr:pic>
    <xdr:clientData/>
  </xdr:twoCellAnchor>
  <xdr:twoCellAnchor editAs="oneCell">
    <xdr:from>
      <xdr:col>14</xdr:col>
      <xdr:colOff>0</xdr:colOff>
      <xdr:row>54</xdr:row>
      <xdr:rowOff>0</xdr:rowOff>
    </xdr:from>
    <xdr:to>
      <xdr:col>29</xdr:col>
      <xdr:colOff>349323</xdr:colOff>
      <xdr:row>83</xdr:row>
      <xdr:rowOff>119866</xdr:rowOff>
    </xdr:to>
    <xdr:pic>
      <xdr:nvPicPr>
        <xdr:cNvPr id="8" name="Imagen 7">
          <a:extLst>
            <a:ext uri="{FF2B5EF4-FFF2-40B4-BE49-F238E27FC236}">
              <a16:creationId xmlns:a16="http://schemas.microsoft.com/office/drawing/2014/main" id="{16AD7FCE-F443-4125-9D87-921ACC2AB889}"/>
            </a:ext>
          </a:extLst>
        </xdr:cNvPr>
        <xdr:cNvPicPr>
          <a:picLocks noChangeAspect="1"/>
        </xdr:cNvPicPr>
      </xdr:nvPicPr>
      <xdr:blipFill>
        <a:blip xmlns:r="http://schemas.openxmlformats.org/officeDocument/2006/relationships" r:embed="rId3"/>
        <a:stretch>
          <a:fillRect/>
        </a:stretch>
      </xdr:blipFill>
      <xdr:spPr>
        <a:xfrm>
          <a:off x="11418094" y="11668125"/>
          <a:ext cx="11898385" cy="5763429"/>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5B10ABC8-ABE2-4050-9B19-066E2B397BE4}"/>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F16241E1-4AF6-44B2-87EF-5A92B19CB9C9}"/>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5345099B-126A-4140-9843-2F22799D739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511969</xdr:colOff>
      <xdr:row>38</xdr:row>
      <xdr:rowOff>166687</xdr:rowOff>
    </xdr:from>
    <xdr:to>
      <xdr:col>29</xdr:col>
      <xdr:colOff>99292</xdr:colOff>
      <xdr:row>66</xdr:row>
      <xdr:rowOff>36522</xdr:rowOff>
    </xdr:to>
    <xdr:pic>
      <xdr:nvPicPr>
        <xdr:cNvPr id="6" name="Imagen 5">
          <a:extLst>
            <a:ext uri="{FF2B5EF4-FFF2-40B4-BE49-F238E27FC236}">
              <a16:creationId xmlns:a16="http://schemas.microsoft.com/office/drawing/2014/main" id="{51C427C6-D6F3-4D48-8D47-6B1193E78041}"/>
            </a:ext>
          </a:extLst>
        </xdr:cNvPr>
        <xdr:cNvPicPr>
          <a:picLocks noChangeAspect="1"/>
        </xdr:cNvPicPr>
      </xdr:nvPicPr>
      <xdr:blipFill>
        <a:blip xmlns:r="http://schemas.openxmlformats.org/officeDocument/2006/relationships" r:embed="rId2"/>
        <a:stretch>
          <a:fillRect/>
        </a:stretch>
      </xdr:blipFill>
      <xdr:spPr>
        <a:xfrm>
          <a:off x="11168063" y="8298656"/>
          <a:ext cx="11898385" cy="5763429"/>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7F11CBFA-F40E-4A16-BFBB-767F5C64A26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CFE81788-54DA-49D0-81D2-19F22E0E18E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E0A11095-C39E-4BC5-9DD8-933269F33DA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xdr:row>
      <xdr:rowOff>0</xdr:rowOff>
    </xdr:from>
    <xdr:to>
      <xdr:col>30</xdr:col>
      <xdr:colOff>54114</xdr:colOff>
      <xdr:row>32</xdr:row>
      <xdr:rowOff>96101</xdr:rowOff>
    </xdr:to>
    <xdr:pic>
      <xdr:nvPicPr>
        <xdr:cNvPr id="6" name="Imagen 5">
          <a:extLst>
            <a:ext uri="{FF2B5EF4-FFF2-40B4-BE49-F238E27FC236}">
              <a16:creationId xmlns:a16="http://schemas.microsoft.com/office/drawing/2014/main" id="{AF8F590D-1DE8-45DB-8819-437F714A636C}"/>
            </a:ext>
          </a:extLst>
        </xdr:cNvPr>
        <xdr:cNvPicPr>
          <a:picLocks noChangeAspect="1"/>
        </xdr:cNvPicPr>
      </xdr:nvPicPr>
      <xdr:blipFill>
        <a:blip xmlns:r="http://schemas.openxmlformats.org/officeDocument/2006/relationships" r:embed="rId2"/>
        <a:stretch>
          <a:fillRect/>
        </a:stretch>
      </xdr:blipFill>
      <xdr:spPr>
        <a:xfrm>
          <a:off x="11418094" y="952500"/>
          <a:ext cx="12365176" cy="609685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3BA83659-CC16-4BBC-9651-D0353609423E}"/>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84ABE83E-F499-4FEB-9FBB-D18EF410093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6BA76534-FCF2-4469-A303-71DE65766E0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25</xdr:row>
      <xdr:rowOff>0</xdr:rowOff>
    </xdr:from>
    <xdr:to>
      <xdr:col>30</xdr:col>
      <xdr:colOff>530430</xdr:colOff>
      <xdr:row>53</xdr:row>
      <xdr:rowOff>81835</xdr:rowOff>
    </xdr:to>
    <xdr:pic>
      <xdr:nvPicPr>
        <xdr:cNvPr id="6" name="Imagen 5">
          <a:extLst>
            <a:ext uri="{FF2B5EF4-FFF2-40B4-BE49-F238E27FC236}">
              <a16:creationId xmlns:a16="http://schemas.microsoft.com/office/drawing/2014/main" id="{0AF0CD44-B2F4-4BC7-B5F7-6D6CCD3E0097}"/>
            </a:ext>
          </a:extLst>
        </xdr:cNvPr>
        <xdr:cNvPicPr>
          <a:picLocks noChangeAspect="1"/>
        </xdr:cNvPicPr>
      </xdr:nvPicPr>
      <xdr:blipFill>
        <a:blip xmlns:r="http://schemas.openxmlformats.org/officeDocument/2006/relationships" r:embed="rId2"/>
        <a:stretch>
          <a:fillRect/>
        </a:stretch>
      </xdr:blipFill>
      <xdr:spPr>
        <a:xfrm>
          <a:off x="11418094" y="5167313"/>
          <a:ext cx="12841492" cy="6249272"/>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C29EC83B-5488-430B-A5C9-541DC4EC3C48}"/>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7D6F425A-65F9-4077-AE90-02086A9EF0E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DB3C2146-078F-43B0-BA5C-141BE312AB6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00000000-0008-0000-0800-000002000000}"/>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0000000-0008-0000-08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0000000-0008-0000-08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A461BE4A-FB32-4F98-B81E-B641E1D7C0CB}"/>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03B75986-9CEC-4BD9-A07B-BAFD9CE80AF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49EEDE89-3897-4DCB-B119-4CD984BE14C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2AB88AA0-BBC0-42F6-BBEC-31133BA99E1A}"/>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DCAD4B11-ED16-4104-98E9-A84C851CD6E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6F555A99-28A3-482B-8C1E-BC4137CE090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75E38EC1-7DF3-4C88-9F07-8BA872C4AD37}"/>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6F9EEAE2-9012-4787-9210-CA35470CA94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A3A6B9B6-4C7D-476B-B6F5-B530E36D346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8</xdr:col>
      <xdr:colOff>104775</xdr:colOff>
      <xdr:row>11</xdr:row>
      <xdr:rowOff>9525</xdr:rowOff>
    </xdr:to>
    <xdr:sp macro="" textlink="">
      <xdr:nvSpPr>
        <xdr:cNvPr id="2" name="Text Box 225">
          <a:extLst>
            <a:ext uri="{FF2B5EF4-FFF2-40B4-BE49-F238E27FC236}">
              <a16:creationId xmlns:a16="http://schemas.microsoft.com/office/drawing/2014/main" id="{9B0F3E90-EC02-4A8E-9967-F09385518E0D}"/>
            </a:ext>
          </a:extLst>
        </xdr:cNvPr>
        <xdr:cNvSpPr txBox="1">
          <a:spLocks noChangeArrowheads="1"/>
        </xdr:cNvSpPr>
      </xdr:nvSpPr>
      <xdr:spPr bwMode="auto">
        <a:xfrm>
          <a:off x="6467475" y="192405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559594</xdr:colOff>
      <xdr:row>0</xdr:row>
      <xdr:rowOff>47625</xdr:rowOff>
    </xdr:from>
    <xdr:to>
      <xdr:col>1</xdr:col>
      <xdr:colOff>686080</xdr:colOff>
      <xdr:row>6</xdr:row>
      <xdr:rowOff>128625</xdr:rowOff>
    </xdr:to>
    <xdr:pic>
      <xdr:nvPicPr>
        <xdr:cNvPr id="3" name="Imagen 2" descr="N-195) Convenio Marco: Universidad de Cundinamarca">
          <a:extLst>
            <a:ext uri="{FF2B5EF4-FFF2-40B4-BE49-F238E27FC236}">
              <a16:creationId xmlns:a16="http://schemas.microsoft.com/office/drawing/2014/main" id="{F55CAB5B-6E4D-4D53-916E-10C325517A49}"/>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16" t="18856" r="59471" b="23099"/>
        <a:stretch/>
      </xdr:blipFill>
      <xdr:spPr bwMode="auto">
        <a:xfrm>
          <a:off x="559594" y="47625"/>
          <a:ext cx="888486" cy="12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83348</xdr:colOff>
      <xdr:row>0</xdr:row>
      <xdr:rowOff>107158</xdr:rowOff>
    </xdr:from>
    <xdr:to>
      <xdr:col>12</xdr:col>
      <xdr:colOff>682572</xdr:colOff>
      <xdr:row>6</xdr:row>
      <xdr:rowOff>116158</xdr:rowOff>
    </xdr:to>
    <xdr:pic>
      <xdr:nvPicPr>
        <xdr:cNvPr id="4" name="Imagen 3" descr="N-195) Convenio Marco: Universidad de Cundinamarca">
          <a:extLst>
            <a:ext uri="{FF2B5EF4-FFF2-40B4-BE49-F238E27FC236}">
              <a16:creationId xmlns:a16="http://schemas.microsoft.com/office/drawing/2014/main" id="{0FB43EDD-4B7C-4B01-8723-64D4F3F808F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504" t="34705" b="27059"/>
        <a:stretch/>
      </xdr:blipFill>
      <xdr:spPr bwMode="auto">
        <a:xfrm>
          <a:off x="8208173" y="107158"/>
          <a:ext cx="2123224"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ailunicundiedu-my.sharepoint.com/PROYECTOS_STEVEN_RUBIO/FASE_1_UDEC_ZIPA/PRESUPUESTO_GIRARDOT/Presupuesto_Girardot_2_Fas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ailunicundiedu-my.sharepoint.com/PROYECTOS_STEVEN_RUBIO/FASE_1_UDEC_ZIPA/UDEC/DISE&#209;O/DISE&#209;O_ENTIDAD/9.%20Prespupusto,%20especificaciones%20t&#233;cnicas%20y%20programaci&#243;n/PRESUPUESTO/PRESUPUESTO%20FINAL%20DE%20OB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_1.1"/>
      <sheetName val="ITEM_1.2"/>
      <sheetName val="ITEM_1.3"/>
      <sheetName val="ITEM_1.4"/>
      <sheetName val="ITEM_1.5"/>
      <sheetName val="ITEM_1.6"/>
      <sheetName val="ITEM_1.7"/>
      <sheetName val="ITEM_1.8"/>
      <sheetName val="ITEM_1.9"/>
      <sheetName val="ITEM_1.10"/>
      <sheetName val="ITEM_1.11"/>
      <sheetName val="ITEM_2.1"/>
      <sheetName val="ITEM_2.2"/>
      <sheetName val="ITEM_2.3"/>
      <sheetName val="ITEM_2.4"/>
      <sheetName val="ITEM_2.5"/>
      <sheetName val="ITEM_2.6"/>
      <sheetName val="ITEM_2.7"/>
      <sheetName val="ITEM_2.8"/>
      <sheetName val="ITEM_2.9"/>
      <sheetName val="ITEM_2.10"/>
      <sheetName val="ITEM_2.11"/>
      <sheetName val="ITEM_2.12"/>
      <sheetName val="ITEM_2.13"/>
      <sheetName val="ITEM_2.14"/>
      <sheetName val="ITEM_2.15"/>
      <sheetName val="ITEM_3.2"/>
      <sheetName val="ITEM_3.8"/>
      <sheetName val="ITEM_3.9"/>
      <sheetName val="ITEM_4.1"/>
      <sheetName val="ITEM_4.2"/>
      <sheetName val="ITEM_4.3"/>
      <sheetName val="ITEM_4.4"/>
      <sheetName val="ITEM_4.5"/>
      <sheetName val="ITEM_5.1"/>
      <sheetName val="ITEM_5.2"/>
      <sheetName val="ITEM_5.3"/>
      <sheetName val="ITEM_5.4"/>
      <sheetName val="ITEM_5.5"/>
      <sheetName val="ITEM_5.6"/>
      <sheetName val="ITEM_5.7"/>
      <sheetName val="ITEM_5.8"/>
      <sheetName val="ITEM_5.9"/>
      <sheetName val="ITEM_5.10"/>
      <sheetName val="ITEM_5.11"/>
      <sheetName val="ITEM_5.12"/>
      <sheetName val="ITEM_5.13"/>
      <sheetName val="ITEM_5.14"/>
      <sheetName val="ITEM_6.1"/>
      <sheetName val="ITEM_6.2"/>
      <sheetName val="ITEM_6.3"/>
      <sheetName val="ITEM_6.4"/>
      <sheetName val="ITEM_6.5"/>
      <sheetName val="ITEM_6.6"/>
      <sheetName val="ITEM_6.7"/>
      <sheetName val="ITEM_6.8"/>
      <sheetName val="ITEM_6.9"/>
      <sheetName val="NUEVO DISEÑO"/>
      <sheetName val="ITEM_7.1"/>
      <sheetName val="ITEM_7.2"/>
      <sheetName val="ITEM_7.3"/>
      <sheetName val="ITEM_7.4"/>
      <sheetName val="ITEM_7.5"/>
      <sheetName val="ITEM_7.6"/>
      <sheetName val="ITEM_7.7"/>
      <sheetName val="ITEM_7.8"/>
      <sheetName val="ITEM_7.9"/>
      <sheetName val="ITEM_7.10"/>
      <sheetName val="ITEM_7.11"/>
      <sheetName val="ITEM_7.12"/>
      <sheetName val="ITEM_7.13"/>
      <sheetName val="ITEM_8.1"/>
      <sheetName val="ITEM_8.2"/>
      <sheetName val="ITEM_9.1"/>
      <sheetName val="ITEM_9.2"/>
      <sheetName val="ITEM_9.3"/>
      <sheetName val="ITEM_9.4"/>
      <sheetName val="ITEM_9.5"/>
      <sheetName val="ITEM_10.1"/>
      <sheetName val="ITEM_10,2"/>
      <sheetName val="ITEM_10,3"/>
      <sheetName val="ITEM_10,4"/>
      <sheetName val="ITEM_10,5"/>
      <sheetName val="ITEM_10,6"/>
      <sheetName val="ITEM_10,7"/>
      <sheetName val="ITEM_10,9"/>
      <sheetName val="ITEM_10.10"/>
      <sheetName val="ITEM_10.11"/>
      <sheetName val="ITEM_10.12"/>
      <sheetName val="ITEM_10.13"/>
      <sheetName val="ITEM_10.14"/>
      <sheetName val="ITEM_10.15"/>
      <sheetName val="ITEM_11.1"/>
      <sheetName val="ITEM_11.2"/>
      <sheetName val="ITEM_11.5"/>
      <sheetName val="ITEM_11.6"/>
      <sheetName val="ITEM_1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5">
          <cell r="C5" t="str">
            <v>ML</v>
          </cell>
        </row>
        <row r="16">
          <cell r="C16" t="str">
            <v>ML</v>
          </cell>
        </row>
        <row r="20">
          <cell r="C20" t="str">
            <v>M2</v>
          </cell>
        </row>
        <row r="21">
          <cell r="C21" t="str">
            <v>ML</v>
          </cell>
        </row>
        <row r="24">
          <cell r="C24" t="str">
            <v>ML</v>
          </cell>
          <cell r="D24">
            <v>30</v>
          </cell>
        </row>
        <row r="25">
          <cell r="C25" t="str">
            <v>M2</v>
          </cell>
        </row>
        <row r="44">
          <cell r="C44" t="str">
            <v>UN</v>
          </cell>
        </row>
        <row r="65">
          <cell r="C65" t="str">
            <v>M2</v>
          </cell>
          <cell r="D65">
            <v>77</v>
          </cell>
        </row>
        <row r="68">
          <cell r="C68" t="str">
            <v>ML</v>
          </cell>
        </row>
        <row r="70">
          <cell r="C70" t="str">
            <v>M2</v>
          </cell>
        </row>
        <row r="71">
          <cell r="C71" t="str">
            <v>M3</v>
          </cell>
        </row>
        <row r="72">
          <cell r="C72" t="str">
            <v>ML</v>
          </cell>
        </row>
        <row r="73">
          <cell r="C73" t="str">
            <v>ML</v>
          </cell>
        </row>
        <row r="80">
          <cell r="C80" t="str">
            <v>UN</v>
          </cell>
        </row>
        <row r="85">
          <cell r="C85" t="str">
            <v>UN</v>
          </cell>
        </row>
        <row r="87">
          <cell r="C87" t="str">
            <v>UN</v>
          </cell>
        </row>
        <row r="89">
          <cell r="C89" t="str">
            <v>M2</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cuadrillas"/>
      <sheetName val="Insumos"/>
      <sheetName val="PRESUPUESTO"/>
      <sheetName val="APU´s Obra Civil"/>
      <sheetName val="APU´s Estructura"/>
      <sheetName val="APU´s Hidrosanitarias"/>
      <sheetName val="APU´s Electricos"/>
      <sheetName val="APU´s Mecanicas"/>
      <sheetName val="AIU"/>
      <sheetName val="polizas"/>
    </sheetNames>
    <sheetDataSet>
      <sheetData sheetId="0"/>
      <sheetData sheetId="1">
        <row r="8">
          <cell r="C8">
            <v>4480</v>
          </cell>
        </row>
        <row r="163">
          <cell r="C163">
            <v>1060</v>
          </cell>
        </row>
        <row r="278">
          <cell r="C278">
            <v>1459</v>
          </cell>
        </row>
        <row r="279">
          <cell r="C279">
            <v>1459</v>
          </cell>
        </row>
        <row r="281">
          <cell r="C281">
            <v>1459</v>
          </cell>
        </row>
        <row r="356">
          <cell r="C356">
            <v>24700</v>
          </cell>
        </row>
        <row r="392">
          <cell r="C392">
            <v>17596.89</v>
          </cell>
        </row>
        <row r="432">
          <cell r="C432">
            <v>3337.6666666666665</v>
          </cell>
        </row>
      </sheetData>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K151"/>
  <sheetViews>
    <sheetView showGridLines="0" view="pageBreakPreview" zoomScale="112" zoomScaleNormal="112" zoomScaleSheetLayoutView="112" zoomScalePageLayoutView="98" workbookViewId="0">
      <selection activeCell="F33" sqref="F33"/>
    </sheetView>
  </sheetViews>
  <sheetFormatPr baseColWidth="10" defaultColWidth="11.42578125" defaultRowHeight="12.75"/>
  <cols>
    <col min="1" max="1" width="7.85546875" style="140" customWidth="1"/>
    <col min="2" max="2" width="52.7109375" style="140" customWidth="1"/>
    <col min="3" max="3" width="10" style="140" customWidth="1"/>
    <col min="4" max="4" width="10.7109375" style="140" customWidth="1"/>
    <col min="5" max="5" width="24.85546875" style="139" customWidth="1"/>
    <col min="6" max="6" width="24" style="139" bestFit="1" customWidth="1"/>
    <col min="7" max="7" width="20.85546875" style="140" customWidth="1"/>
    <col min="8" max="8" width="24.85546875" style="140" customWidth="1"/>
    <col min="9" max="9" width="13" style="140" bestFit="1" customWidth="1"/>
    <col min="10" max="10" width="21.42578125" style="140" customWidth="1"/>
    <col min="11" max="11" width="13.42578125" style="140" bestFit="1" customWidth="1"/>
    <col min="12" max="16384" width="11.42578125" style="140"/>
  </cols>
  <sheetData>
    <row r="1" spans="1:8" s="115" customFormat="1" ht="15" customHeight="1">
      <c r="A1" s="376" t="s">
        <v>136</v>
      </c>
      <c r="B1" s="376"/>
      <c r="C1" s="376"/>
      <c r="D1" s="376"/>
      <c r="E1" s="376"/>
      <c r="F1" s="376"/>
    </row>
    <row r="2" spans="1:8" s="115" customFormat="1" ht="27" customHeight="1">
      <c r="A2" s="283" t="s">
        <v>4</v>
      </c>
      <c r="B2" s="283" t="s">
        <v>0</v>
      </c>
      <c r="C2" s="283" t="s">
        <v>1</v>
      </c>
      <c r="D2" s="283" t="s">
        <v>2</v>
      </c>
      <c r="E2" s="284" t="s">
        <v>3</v>
      </c>
      <c r="F2" s="284" t="s">
        <v>5</v>
      </c>
      <c r="H2" s="116"/>
    </row>
    <row r="3" spans="1:8" s="115" customFormat="1" ht="15" customHeight="1">
      <c r="A3" s="285">
        <v>1</v>
      </c>
      <c r="B3" s="278" t="s">
        <v>6</v>
      </c>
      <c r="C3" s="279"/>
      <c r="D3" s="280"/>
      <c r="E3" s="286"/>
      <c r="F3" s="282"/>
      <c r="G3" s="117">
        <f>SUM(F4:F21)</f>
        <v>29392639</v>
      </c>
    </row>
    <row r="4" spans="1:8" s="119" customFormat="1" ht="15" customHeight="1">
      <c r="A4" s="158" t="s">
        <v>19</v>
      </c>
      <c r="B4" s="120" t="str">
        <f>ITEM_1.1!B26</f>
        <v>DEMOLICIÓN CIELO RASO FALSO</v>
      </c>
      <c r="C4" s="159" t="s">
        <v>9</v>
      </c>
      <c r="D4" s="160">
        <v>600</v>
      </c>
      <c r="E4" s="172">
        <f>ITEM_1.1!M58</f>
        <v>11194</v>
      </c>
      <c r="F4" s="162">
        <f>ROUND(E4*D4,0)</f>
        <v>6716400</v>
      </c>
      <c r="G4" s="118" t="s">
        <v>359</v>
      </c>
    </row>
    <row r="5" spans="1:8" s="115" customFormat="1" ht="15" customHeight="1">
      <c r="A5" s="262" t="s">
        <v>20</v>
      </c>
      <c r="B5" s="120" t="str">
        <f>ITEM_1.2!B26</f>
        <v>DESMONTE MARCOS Y PUERTAS</v>
      </c>
      <c r="C5" s="163" t="str">
        <f>ITEM_1.2!K26</f>
        <v>UND</v>
      </c>
      <c r="D5" s="164">
        <v>9</v>
      </c>
      <c r="E5" s="172">
        <f>ITEM_1.2!M58</f>
        <v>16177</v>
      </c>
      <c r="F5" s="162">
        <f t="shared" ref="F5:F69" si="0">ROUND(E5*D5,0)</f>
        <v>145593</v>
      </c>
    </row>
    <row r="6" spans="1:8" s="115" customFormat="1" ht="15" customHeight="1">
      <c r="A6" s="158" t="s">
        <v>21</v>
      </c>
      <c r="B6" s="120" t="str">
        <f>ITEM_1.3!B26</f>
        <v>DESMONTE DE VENTANAS</v>
      </c>
      <c r="C6" s="163" t="str">
        <f>ITEM_1.3!K26</f>
        <v>M2</v>
      </c>
      <c r="D6" s="164">
        <v>52</v>
      </c>
      <c r="E6" s="172">
        <f>ITEM_1.3!M58</f>
        <v>13963</v>
      </c>
      <c r="F6" s="162">
        <f t="shared" si="0"/>
        <v>726076</v>
      </c>
    </row>
    <row r="7" spans="1:8" s="115" customFormat="1" ht="15" customHeight="1">
      <c r="A7" s="262" t="s">
        <v>29</v>
      </c>
      <c r="B7" s="120" t="str">
        <f>ITEM_1.4!B26</f>
        <v>DESMONTE PUNTOS RED ELÉCTRICA EXISTENTE</v>
      </c>
      <c r="C7" s="163" t="str">
        <f>ITEM_1.4!K26</f>
        <v>UND</v>
      </c>
      <c r="D7" s="164">
        <v>130</v>
      </c>
      <c r="E7" s="172">
        <f>ITEM_1.4!M58</f>
        <v>6473</v>
      </c>
      <c r="F7" s="162">
        <f t="shared" si="0"/>
        <v>841490</v>
      </c>
    </row>
    <row r="8" spans="1:8" s="115" customFormat="1" ht="15" customHeight="1">
      <c r="A8" s="158" t="s">
        <v>22</v>
      </c>
      <c r="B8" s="120" t="str">
        <f>ITEM_1.5!B26</f>
        <v>DESMONTE APARATOS SANITARIOS</v>
      </c>
      <c r="C8" s="163" t="str">
        <f>ITEM_1.5!K26</f>
        <v>UND</v>
      </c>
      <c r="D8" s="164">
        <v>10</v>
      </c>
      <c r="E8" s="172">
        <f>ITEM_1.5!M58</f>
        <v>25711</v>
      </c>
      <c r="F8" s="162">
        <f t="shared" si="0"/>
        <v>257110</v>
      </c>
    </row>
    <row r="9" spans="1:8" s="115" customFormat="1" ht="15" customHeight="1">
      <c r="A9" s="262" t="s">
        <v>30</v>
      </c>
      <c r="B9" s="120" t="str">
        <f>ITEM_1.6!B26</f>
        <v>DEMOLICIÓN BALDOSA DE PISO H=0.04 M</v>
      </c>
      <c r="C9" s="163" t="str">
        <f>ITEM_1.6!K26</f>
        <v>M2</v>
      </c>
      <c r="D9" s="164">
        <v>200</v>
      </c>
      <c r="E9" s="172">
        <f>ITEM_1.6!M58</f>
        <v>11257</v>
      </c>
      <c r="F9" s="162">
        <f t="shared" si="0"/>
        <v>2251400</v>
      </c>
    </row>
    <row r="10" spans="1:8" s="115" customFormat="1" ht="15" customHeight="1">
      <c r="A10" s="158" t="s">
        <v>31</v>
      </c>
      <c r="B10" s="120" t="str">
        <f>ITEM_1.7!B26</f>
        <v>DEMOLICIÓN DE GUARDAESCOBA</v>
      </c>
      <c r="C10" s="163" t="str">
        <f>ITEM_1.7!K26</f>
        <v>ML</v>
      </c>
      <c r="D10" s="164">
        <v>245</v>
      </c>
      <c r="E10" s="172">
        <f>ITEM_1.7!M58</f>
        <v>4775</v>
      </c>
      <c r="F10" s="162">
        <f t="shared" si="0"/>
        <v>1169875</v>
      </c>
    </row>
    <row r="11" spans="1:8" s="115" customFormat="1" ht="15" customHeight="1">
      <c r="A11" s="262" t="s">
        <v>32</v>
      </c>
      <c r="B11" s="120" t="str">
        <f>ITEM_1.8!B26</f>
        <v>DEMOLICIÓN ENCHAPE MURO</v>
      </c>
      <c r="C11" s="163" t="str">
        <f>ITEM_1.8!K26</f>
        <v>M2</v>
      </c>
      <c r="D11" s="160">
        <v>70</v>
      </c>
      <c r="E11" s="172">
        <f>ITEM_1.8!M58</f>
        <v>8609</v>
      </c>
      <c r="F11" s="162">
        <f t="shared" si="0"/>
        <v>602630</v>
      </c>
    </row>
    <row r="12" spans="1:8" s="115" customFormat="1" ht="15" customHeight="1">
      <c r="A12" s="158" t="s">
        <v>33</v>
      </c>
      <c r="B12" s="120" t="str">
        <f>ITEM_1.9!B26</f>
        <v>DEMOLICIÓN PAÑETE MURO</v>
      </c>
      <c r="C12" s="163" t="str">
        <f>ITEM_1.9!K26</f>
        <v>M2</v>
      </c>
      <c r="D12" s="160">
        <v>70</v>
      </c>
      <c r="E12" s="172">
        <f>ITEM_1.9!M58</f>
        <v>9273</v>
      </c>
      <c r="F12" s="162">
        <f t="shared" si="0"/>
        <v>649110</v>
      </c>
    </row>
    <row r="13" spans="1:8" s="115" customFormat="1" ht="15" customHeight="1">
      <c r="A13" s="262" t="s">
        <v>34</v>
      </c>
      <c r="B13" s="120" t="str">
        <f>ITEM_1.10!B26</f>
        <v>DESMONTE MUROS SECOS</v>
      </c>
      <c r="C13" s="163" t="str">
        <f>ITEM_1.10!K26</f>
        <v>M2</v>
      </c>
      <c r="D13" s="160">
        <v>30</v>
      </c>
      <c r="E13" s="172">
        <f>ITEM_1.10!M58</f>
        <v>19341</v>
      </c>
      <c r="F13" s="162">
        <f t="shared" si="0"/>
        <v>580230</v>
      </c>
    </row>
    <row r="14" spans="1:8" s="115" customFormat="1" ht="15" customHeight="1">
      <c r="A14" s="158" t="s">
        <v>35</v>
      </c>
      <c r="B14" s="120" t="str">
        <f>ITEM_1.11!B26</f>
        <v>DEMOLICIÓN PLACA PISO 0.10M</v>
      </c>
      <c r="C14" s="159" t="str">
        <f>ITEM_1.11!K26</f>
        <v>M2</v>
      </c>
      <c r="D14" s="160">
        <v>5</v>
      </c>
      <c r="E14" s="172">
        <f>ITEM_1.11!M58</f>
        <v>18397</v>
      </c>
      <c r="F14" s="162">
        <f t="shared" si="0"/>
        <v>91985</v>
      </c>
    </row>
    <row r="15" spans="1:8" s="115" customFormat="1" ht="15" customHeight="1">
      <c r="A15" s="262" t="s">
        <v>147</v>
      </c>
      <c r="B15" s="120" t="str">
        <f>ITEM_1.12!B26</f>
        <v>REPLANTEO MANUAL</v>
      </c>
      <c r="C15" s="163" t="str">
        <f>ITEM_1.12!K26</f>
        <v>M2</v>
      </c>
      <c r="D15" s="164">
        <v>450</v>
      </c>
      <c r="E15" s="172">
        <f>ITEM_1.12!M58</f>
        <v>7745</v>
      </c>
      <c r="F15" s="162">
        <f t="shared" si="0"/>
        <v>3485250</v>
      </c>
    </row>
    <row r="16" spans="1:8" s="115" customFormat="1" ht="15" customHeight="1">
      <c r="A16" s="158" t="s">
        <v>148</v>
      </c>
      <c r="B16" s="120" t="str">
        <f>ITEM_1.13!B26</f>
        <v>DEMOLICIÓN MUROS EN MAMPOSTERÍA 0.15 M</v>
      </c>
      <c r="C16" s="163" t="str">
        <f>ITEM_1.13!K26</f>
        <v>M2</v>
      </c>
      <c r="D16" s="164">
        <v>20</v>
      </c>
      <c r="E16" s="172">
        <f>ITEM_1.13!M58</f>
        <v>16619</v>
      </c>
      <c r="F16" s="162">
        <f t="shared" si="0"/>
        <v>332380</v>
      </c>
      <c r="G16" s="117"/>
    </row>
    <row r="17" spans="1:10" s="115" customFormat="1" ht="15" customHeight="1">
      <c r="A17" s="262" t="s">
        <v>149</v>
      </c>
      <c r="B17" s="120" t="str">
        <f>ITEM_1.14!B26</f>
        <v>CERCA EN TELA VERDE H = 2.10 M</v>
      </c>
      <c r="C17" s="163" t="str">
        <f>ITEM_1.14!K26</f>
        <v>ML</v>
      </c>
      <c r="D17" s="164">
        <v>40</v>
      </c>
      <c r="E17" s="172">
        <f>ITEM_1.14!M60</f>
        <v>24535</v>
      </c>
      <c r="F17" s="162">
        <f t="shared" si="0"/>
        <v>981400</v>
      </c>
      <c r="G17" s="115" t="s">
        <v>351</v>
      </c>
    </row>
    <row r="18" spans="1:10" s="115" customFormat="1" ht="15" customHeight="1">
      <c r="A18" s="158" t="s">
        <v>150</v>
      </c>
      <c r="B18" s="120" t="str">
        <f>ITEM_1.15!B26</f>
        <v>DESMONTE DE CANALETA EXISTENTE</v>
      </c>
      <c r="C18" s="163" t="str">
        <f>ITEM_1.15!K26</f>
        <v>ML</v>
      </c>
      <c r="D18" s="164">
        <v>200</v>
      </c>
      <c r="E18" s="172">
        <f>ITEM_1.15!M61</f>
        <v>15070</v>
      </c>
      <c r="F18" s="162">
        <f t="shared" si="0"/>
        <v>3014000</v>
      </c>
    </row>
    <row r="19" spans="1:10" s="115" customFormat="1">
      <c r="A19" s="158" t="s">
        <v>242</v>
      </c>
      <c r="B19" s="120" t="str">
        <f>ITEM_1.16!B26</f>
        <v>DESMONTE DE CUBIERTAS (ASBESTO CEMENTO)</v>
      </c>
      <c r="C19" s="163" t="str">
        <f>ITEM_1.16!K26</f>
        <v>M2</v>
      </c>
      <c r="D19" s="164">
        <v>250</v>
      </c>
      <c r="E19" s="172">
        <f>ITEM_1.16!M61</f>
        <v>13915</v>
      </c>
      <c r="F19" s="162">
        <f t="shared" si="0"/>
        <v>3478750</v>
      </c>
    </row>
    <row r="20" spans="1:10" s="115" customFormat="1">
      <c r="A20" s="158" t="s">
        <v>367</v>
      </c>
      <c r="B20" s="120" t="s">
        <v>360</v>
      </c>
      <c r="C20" s="163" t="s">
        <v>9</v>
      </c>
      <c r="D20" s="164">
        <v>250</v>
      </c>
      <c r="E20" s="172">
        <v>13963</v>
      </c>
      <c r="F20" s="162">
        <f t="shared" si="0"/>
        <v>3490750</v>
      </c>
    </row>
    <row r="21" spans="1:10" s="115" customFormat="1">
      <c r="A21" s="158" t="s">
        <v>368</v>
      </c>
      <c r="B21" s="120" t="s">
        <v>354</v>
      </c>
      <c r="C21" s="163" t="s">
        <v>115</v>
      </c>
      <c r="D21" s="375">
        <v>134</v>
      </c>
      <c r="E21" s="172">
        <f>+ITEM_1.18!M58</f>
        <v>4315</v>
      </c>
      <c r="F21" s="162">
        <f t="shared" si="0"/>
        <v>578210</v>
      </c>
    </row>
    <row r="22" spans="1:10" s="115" customFormat="1" ht="15" customHeight="1">
      <c r="A22" s="285">
        <v>2</v>
      </c>
      <c r="B22" s="278" t="s">
        <v>355</v>
      </c>
      <c r="C22" s="279"/>
      <c r="D22" s="280"/>
      <c r="E22" s="287"/>
      <c r="F22" s="282"/>
      <c r="G22" s="321">
        <f>SUM(F23:F38)</f>
        <v>38233320</v>
      </c>
    </row>
    <row r="23" spans="1:10" s="115" customFormat="1" ht="15" customHeight="1">
      <c r="A23" s="158" t="s">
        <v>36</v>
      </c>
      <c r="B23" s="120" t="str">
        <f>ITEM_2.1!B26</f>
        <v>ALISTADO ENDURECIDO 1:3, E=0.04</v>
      </c>
      <c r="C23" s="159" t="str">
        <f>ITEM_2.1!K26</f>
        <v>M2</v>
      </c>
      <c r="D23" s="160">
        <v>5</v>
      </c>
      <c r="E23" s="161">
        <f>ITEM_2.1!M65</f>
        <v>46359</v>
      </c>
      <c r="F23" s="162">
        <f t="shared" si="0"/>
        <v>231795</v>
      </c>
      <c r="I23" s="117"/>
    </row>
    <row r="24" spans="1:10" s="115" customFormat="1" ht="15" customHeight="1">
      <c r="A24" s="158" t="s">
        <v>37</v>
      </c>
      <c r="B24" s="120" t="str">
        <f>ITEM_2.2!B26</f>
        <v>ALISTADO PISOS 1:3, E= 0.04</v>
      </c>
      <c r="C24" s="159" t="str">
        <f>ITEM_2.2!K26</f>
        <v>M2</v>
      </c>
      <c r="D24" s="160">
        <v>100</v>
      </c>
      <c r="E24" s="161">
        <f>ITEM_2.2!M65</f>
        <v>31138</v>
      </c>
      <c r="F24" s="162">
        <f t="shared" si="0"/>
        <v>3113800</v>
      </c>
    </row>
    <row r="25" spans="1:10" s="115" customFormat="1" ht="15" customHeight="1">
      <c r="A25" s="158" t="s">
        <v>38</v>
      </c>
      <c r="B25" s="120" t="str">
        <f>ITEM_2.3!B26</f>
        <v>PAÑETE IMPERMEABILIZADO MUROS 1:3, E=1.5 CM</v>
      </c>
      <c r="C25" s="159" t="str">
        <f>ITEM_2.3!K26</f>
        <v>M2</v>
      </c>
      <c r="D25" s="160">
        <v>20</v>
      </c>
      <c r="E25" s="171">
        <f>ITEM_2.3!M64</f>
        <v>25713</v>
      </c>
      <c r="F25" s="162">
        <f t="shared" si="0"/>
        <v>514260</v>
      </c>
    </row>
    <row r="26" spans="1:10" s="115" customFormat="1" ht="15" customHeight="1">
      <c r="A26" s="158" t="s">
        <v>39</v>
      </c>
      <c r="B26" s="120" t="str">
        <f>ITEM_2.3!B26</f>
        <v>PAÑETE IMPERMEABILIZADO MUROS 1:3, E=1.5 CM</v>
      </c>
      <c r="C26" s="159" t="str">
        <f>ITEM_2.4!K26</f>
        <v>ML</v>
      </c>
      <c r="D26" s="160">
        <v>5</v>
      </c>
      <c r="E26" s="171">
        <f>ITEM_2.4!M64</f>
        <v>15778</v>
      </c>
      <c r="F26" s="162">
        <f t="shared" si="0"/>
        <v>78890</v>
      </c>
    </row>
    <row r="27" spans="1:10" s="115" customFormat="1" ht="15" customHeight="1">
      <c r="A27" s="158" t="s">
        <v>40</v>
      </c>
      <c r="B27" s="120" t="str">
        <f>ITEM_2.5!B26</f>
        <v>PAÑETE LISO MUROS 1:4, E=1.5 CM</v>
      </c>
      <c r="C27" s="163" t="str">
        <f>ITEM_2.5!K26</f>
        <v>M2</v>
      </c>
      <c r="D27" s="160">
        <v>45</v>
      </c>
      <c r="E27" s="161">
        <f>ITEM_2.5!M64</f>
        <v>21160</v>
      </c>
      <c r="F27" s="162">
        <f t="shared" si="0"/>
        <v>952200</v>
      </c>
    </row>
    <row r="28" spans="1:10" s="115" customFormat="1" ht="15" customHeight="1">
      <c r="A28" s="158" t="s">
        <v>41</v>
      </c>
      <c r="B28" s="120" t="str">
        <f>ITEM_2.6!B26</f>
        <v>PAÑETE LISO MUROS 1:4, E=1.5 CM (LINEAL)</v>
      </c>
      <c r="C28" s="163" t="str">
        <f>ITEM_2.6!K26</f>
        <v>ML</v>
      </c>
      <c r="D28" s="160">
        <v>80</v>
      </c>
      <c r="E28" s="161">
        <f>ITEM_2.6!M64</f>
        <v>13134</v>
      </c>
      <c r="F28" s="162">
        <f t="shared" si="0"/>
        <v>1050720</v>
      </c>
    </row>
    <row r="29" spans="1:10" s="115" customFormat="1" ht="15" customHeight="1">
      <c r="A29" s="158" t="s">
        <v>42</v>
      </c>
      <c r="B29" s="120" t="str">
        <f>ITEM_2.7!B26</f>
        <v>FILOS O DILATACIONES S/MURO</v>
      </c>
      <c r="C29" s="163" t="str">
        <f>ITEM_2.7!K26</f>
        <v>ML</v>
      </c>
      <c r="D29" s="160">
        <v>30</v>
      </c>
      <c r="E29" s="161">
        <f>ITEM_2.7!M64</f>
        <v>8425</v>
      </c>
      <c r="F29" s="162">
        <f t="shared" si="0"/>
        <v>252750</v>
      </c>
    </row>
    <row r="30" spans="1:10" s="115" customFormat="1" ht="15" customHeight="1">
      <c r="A30" s="158" t="s">
        <v>43</v>
      </c>
      <c r="B30" s="120" t="str">
        <f>ITEM_2.8!B26</f>
        <v>MURO EN BLOQUE No. 5 E=0.12 (LINEAL)</v>
      </c>
      <c r="C30" s="163" t="str">
        <f>ITEM_2.8!K26</f>
        <v>ML</v>
      </c>
      <c r="D30" s="160">
        <v>5</v>
      </c>
      <c r="E30" s="161">
        <f>ITEM_2.8!M60</f>
        <v>29415</v>
      </c>
      <c r="F30" s="162">
        <f t="shared" si="0"/>
        <v>147075</v>
      </c>
    </row>
    <row r="31" spans="1:10" s="115" customFormat="1" ht="15" customHeight="1">
      <c r="A31" s="158" t="s">
        <v>44</v>
      </c>
      <c r="B31" s="120" t="str">
        <f>ITEM_2.9!B26</f>
        <v>MURO EN BLOQUE No. 5 E=0.12</v>
      </c>
      <c r="C31" s="163" t="str">
        <f>ITEM_2.9!K26</f>
        <v>M2</v>
      </c>
      <c r="D31" s="160">
        <v>30</v>
      </c>
      <c r="E31" s="171">
        <f>ITEM_2.9!M60</f>
        <v>47786</v>
      </c>
      <c r="F31" s="162">
        <f t="shared" si="0"/>
        <v>1433580</v>
      </c>
      <c r="J31" s="182"/>
    </row>
    <row r="32" spans="1:10" s="115" customFormat="1" ht="15" customHeight="1">
      <c r="A32" s="158" t="s">
        <v>45</v>
      </c>
      <c r="B32" s="120" t="str">
        <f>ITEM_2.10!B26</f>
        <v>DINTELES CONCRETO DE 2500 PSI 15x20</v>
      </c>
      <c r="C32" s="163" t="str">
        <f>ITEM_2.10!K26</f>
        <v>ML</v>
      </c>
      <c r="D32" s="160">
        <v>2</v>
      </c>
      <c r="E32" s="171">
        <f>ITEM_2.10!M60</f>
        <v>61240</v>
      </c>
      <c r="F32" s="162">
        <f t="shared" si="0"/>
        <v>122480</v>
      </c>
    </row>
    <row r="33" spans="1:10" s="115" customFormat="1" ht="51">
      <c r="A33" s="158" t="s">
        <v>46</v>
      </c>
      <c r="B33" s="120" t="str">
        <f>ITEM_2.11!B26</f>
        <v xml:space="preserve">COLUMNETAS DE 0.12 X 0.25 MTS PARA CONFINAMIENTO DE MAMPOSTERÍA, EN CONCRETO  EN F'C=3.000 PSI. INCLUYE FORMALETA, CURADO Y TODOS LOS ELEMENTOS NECESARIOS PARA SU CORRECTA EJECUCIÓN. . </v>
      </c>
      <c r="C33" s="163" t="str">
        <f>ITEM_2.11!K26</f>
        <v>ML</v>
      </c>
      <c r="D33" s="160">
        <v>8</v>
      </c>
      <c r="E33" s="172">
        <f>ITEM_2.11!M60</f>
        <v>35850</v>
      </c>
      <c r="F33" s="162">
        <f t="shared" si="0"/>
        <v>286800</v>
      </c>
      <c r="J33" s="183"/>
    </row>
    <row r="34" spans="1:10" s="115" customFormat="1" ht="15" customHeight="1">
      <c r="A34" s="158" t="s">
        <v>47</v>
      </c>
      <c r="B34" s="120" t="str">
        <f>ITEM_2.12!B26</f>
        <v>MURO DRYWALL DOBLE CARA 0.12 M</v>
      </c>
      <c r="C34" s="163" t="str">
        <f>ITEM_2.12!K26</f>
        <v>M2</v>
      </c>
      <c r="D34" s="160">
        <v>10</v>
      </c>
      <c r="E34" s="171">
        <f>ITEM_2.12!M64</f>
        <v>108031</v>
      </c>
      <c r="F34" s="162">
        <f t="shared" si="0"/>
        <v>1080310</v>
      </c>
      <c r="G34" s="117"/>
    </row>
    <row r="35" spans="1:10" s="115" customFormat="1" ht="15" customHeight="1">
      <c r="A35" s="158" t="s">
        <v>48</v>
      </c>
      <c r="B35" s="120" t="str">
        <f>ITEM_2.13!B26</f>
        <v>MURO DRYWALL UNA CARA 0.12 M (LINEAL)</v>
      </c>
      <c r="C35" s="163" t="str">
        <f>ITEM_2.13!K26</f>
        <v>ML</v>
      </c>
      <c r="D35" s="160">
        <v>20</v>
      </c>
      <c r="E35" s="171">
        <f>ITEM_2.13!M64</f>
        <v>64158</v>
      </c>
      <c r="F35" s="162">
        <f t="shared" si="0"/>
        <v>1283160</v>
      </c>
      <c r="J35" s="117"/>
    </row>
    <row r="36" spans="1:10" s="115" customFormat="1" ht="15" customHeight="1">
      <c r="A36" s="158" t="s">
        <v>49</v>
      </c>
      <c r="B36" s="120" t="str">
        <f>ITEM_2.14!B26</f>
        <v>MURO DRYWALL UNA CARA 0.12 M</v>
      </c>
      <c r="C36" s="159" t="str">
        <f>ITEM_2.14!K26</f>
        <v>M2</v>
      </c>
      <c r="D36" s="160">
        <v>10</v>
      </c>
      <c r="E36" s="171">
        <f>ITEM_2.14!M64</f>
        <v>73374</v>
      </c>
      <c r="F36" s="162">
        <f t="shared" si="0"/>
        <v>733740</v>
      </c>
    </row>
    <row r="37" spans="1:10" s="115" customFormat="1" ht="34.5" customHeight="1">
      <c r="A37" s="158" t="s">
        <v>50</v>
      </c>
      <c r="B37" s="120" t="str">
        <f>ITEM_2.15!B26</f>
        <v>FIBRA DE VIDRIO 2½" TIPO FRESCASA (DENSIDAD: 10KG/M³)</v>
      </c>
      <c r="C37" s="159" t="str">
        <f>ITEM_2.15!K26</f>
        <v>M2</v>
      </c>
      <c r="D37" s="160">
        <v>600</v>
      </c>
      <c r="E37" s="172">
        <f>ITEM_2.15!M64</f>
        <v>12858</v>
      </c>
      <c r="F37" s="162">
        <f t="shared" si="0"/>
        <v>7714800</v>
      </c>
    </row>
    <row r="38" spans="1:10" s="115" customFormat="1" ht="34.5" customHeight="1">
      <c r="A38" s="158" t="s">
        <v>429</v>
      </c>
      <c r="B38" s="120" t="s">
        <v>428</v>
      </c>
      <c r="C38" s="159" t="s">
        <v>9</v>
      </c>
      <c r="D38" s="160">
        <v>80</v>
      </c>
      <c r="E38" s="172">
        <v>240462</v>
      </c>
      <c r="F38" s="162">
        <f t="shared" si="0"/>
        <v>19236960</v>
      </c>
      <c r="G38" s="115" t="s">
        <v>430</v>
      </c>
    </row>
    <row r="39" spans="1:10" s="115" customFormat="1" ht="15" customHeight="1">
      <c r="A39" s="288">
        <v>3</v>
      </c>
      <c r="B39" s="278" t="s">
        <v>191</v>
      </c>
      <c r="C39" s="279"/>
      <c r="D39" s="279"/>
      <c r="E39" s="287"/>
      <c r="F39" s="282"/>
      <c r="G39" s="321">
        <f>SUM(F40:F48)</f>
        <v>5104095</v>
      </c>
    </row>
    <row r="40" spans="1:10" s="115" customFormat="1" ht="15" customHeight="1">
      <c r="A40" s="158" t="s">
        <v>51</v>
      </c>
      <c r="B40" s="120" t="str">
        <f>'ITEM_3,1'!B26:I26</f>
        <v>ESTUCO Y VINILO 3 MANOS</v>
      </c>
      <c r="C40" s="159" t="s">
        <v>9</v>
      </c>
      <c r="D40" s="160">
        <v>20</v>
      </c>
      <c r="E40" s="171">
        <f>'ITEM_3,1'!M64</f>
        <v>19061</v>
      </c>
      <c r="F40" s="162">
        <f t="shared" si="0"/>
        <v>381220</v>
      </c>
    </row>
    <row r="41" spans="1:10" s="115" customFormat="1" ht="15" customHeight="1">
      <c r="A41" s="158" t="s">
        <v>23</v>
      </c>
      <c r="B41" s="120" t="str">
        <f>'ITEM_3,2'!B26:I26</f>
        <v>ESTUCO Y VINILO 3 MANOS (LINEAL)</v>
      </c>
      <c r="C41" s="159" t="s">
        <v>8</v>
      </c>
      <c r="D41" s="213">
        <v>5</v>
      </c>
      <c r="E41" s="171">
        <f>'ITEM_3,2'!M64</f>
        <v>11935</v>
      </c>
      <c r="F41" s="162">
        <f t="shared" si="0"/>
        <v>59675</v>
      </c>
    </row>
    <row r="42" spans="1:10" s="115" customFormat="1" ht="15" customHeight="1">
      <c r="A42" s="158" t="s">
        <v>52</v>
      </c>
      <c r="B42" s="120" t="str">
        <f>'ITEM_3,3'!B26:I26</f>
        <v xml:space="preserve">VINILO SOBRE ESTUCO 2 MANOS </v>
      </c>
      <c r="C42" s="159" t="s">
        <v>9</v>
      </c>
      <c r="D42" s="160">
        <v>100</v>
      </c>
      <c r="E42" s="171">
        <f>'ITEM_3,3'!M64</f>
        <v>9573</v>
      </c>
      <c r="F42" s="162">
        <f t="shared" si="0"/>
        <v>957300</v>
      </c>
    </row>
    <row r="43" spans="1:10" s="115" customFormat="1" ht="15" customHeight="1">
      <c r="A43" s="158" t="s">
        <v>53</v>
      </c>
      <c r="B43" s="120" t="str">
        <f>'ITEM_3,4'!B26:I26</f>
        <v>VINILO SOBRE ESTUCO 2 MANOS (LINEAL)</v>
      </c>
      <c r="C43" s="159" t="s">
        <v>8</v>
      </c>
      <c r="D43" s="160">
        <v>50</v>
      </c>
      <c r="E43" s="171">
        <f>'ITEM_3,4'!M64</f>
        <v>5851</v>
      </c>
      <c r="F43" s="162">
        <f t="shared" si="0"/>
        <v>292550</v>
      </c>
      <c r="G43" s="121"/>
    </row>
    <row r="44" spans="1:10" s="115" customFormat="1" ht="25.5">
      <c r="A44" s="158" t="s">
        <v>24</v>
      </c>
      <c r="B44" s="120" t="str">
        <f>'ITEM_3,5'!B26:I26</f>
        <v>PINTURA TIPO KORAZA O SIMILARES A 2 MANOS ( COLOR A ELEGIR)</v>
      </c>
      <c r="C44" s="159" t="s">
        <v>9</v>
      </c>
      <c r="D44" s="160">
        <v>20</v>
      </c>
      <c r="E44" s="171">
        <f>'ITEM_3,5'!M64</f>
        <v>15389</v>
      </c>
      <c r="F44" s="162">
        <f t="shared" si="0"/>
        <v>307780</v>
      </c>
      <c r="G44" s="119"/>
    </row>
    <row r="45" spans="1:10" s="115" customFormat="1" ht="25.5">
      <c r="A45" s="158" t="s">
        <v>54</v>
      </c>
      <c r="B45" s="120" t="str">
        <f>'ITEM_3,6'!B26:I26</f>
        <v>PINTURA TIPO KORAZA O SIMILARES A 2 MANOS ( COLOR A ELEGIR, LINEAL)</v>
      </c>
      <c r="C45" s="163" t="s">
        <v>8</v>
      </c>
      <c r="D45" s="160">
        <v>20</v>
      </c>
      <c r="E45" s="171">
        <f>'ITEM_3,6'!M64</f>
        <v>10218</v>
      </c>
      <c r="F45" s="162">
        <f t="shared" si="0"/>
        <v>204360</v>
      </c>
      <c r="G45" s="122"/>
    </row>
    <row r="46" spans="1:10" s="115" customFormat="1" ht="15" customHeight="1">
      <c r="A46" s="158" t="s">
        <v>55</v>
      </c>
      <c r="B46" s="120" t="str">
        <f>'ITEM_3,7'!B26:I26</f>
        <v>ESMALTE SOBRE LAMINA LLENA</v>
      </c>
      <c r="C46" s="163" t="s">
        <v>9</v>
      </c>
      <c r="D46" s="160">
        <v>70</v>
      </c>
      <c r="E46" s="171">
        <f>'ITEM_3,7'!M64</f>
        <v>17053</v>
      </c>
      <c r="F46" s="162">
        <f t="shared" si="0"/>
        <v>1193710</v>
      </c>
      <c r="G46" s="122"/>
    </row>
    <row r="47" spans="1:10" s="115" customFormat="1" ht="15" customHeight="1">
      <c r="A47" s="158" t="s">
        <v>56</v>
      </c>
      <c r="B47" s="120" t="str">
        <f>'ITEM_3,8'!B26:I26</f>
        <v>LAVADA DE FACHADA</v>
      </c>
      <c r="C47" s="163" t="s">
        <v>9</v>
      </c>
      <c r="D47" s="164">
        <v>100</v>
      </c>
      <c r="E47" s="171">
        <f>'ITEM_3,8'!M64</f>
        <v>6912</v>
      </c>
      <c r="F47" s="162">
        <f t="shared" si="0"/>
        <v>691200</v>
      </c>
      <c r="G47" s="122"/>
    </row>
    <row r="48" spans="1:10" s="119" customFormat="1" ht="25.5">
      <c r="A48" s="158" t="s">
        <v>57</v>
      </c>
      <c r="B48" s="120" t="str">
        <f>'ITEM_3,9'!B26:I26</f>
        <v>IMPERMEABILIZACIÓN FACHADA EN SIKA TRANSPARENTE O SIMILAR</v>
      </c>
      <c r="C48" s="163" t="s">
        <v>9</v>
      </c>
      <c r="D48" s="164">
        <v>100</v>
      </c>
      <c r="E48" s="171">
        <f>'ITEM_3,9'!M64</f>
        <v>10163</v>
      </c>
      <c r="F48" s="162">
        <f t="shared" si="0"/>
        <v>1016300</v>
      </c>
      <c r="G48" s="121"/>
    </row>
    <row r="49" spans="1:7" s="119" customFormat="1" ht="15" customHeight="1">
      <c r="A49" s="288">
        <v>4</v>
      </c>
      <c r="B49" s="278" t="s">
        <v>222</v>
      </c>
      <c r="C49" s="279"/>
      <c r="D49" s="279"/>
      <c r="E49" s="287"/>
      <c r="F49" s="282"/>
      <c r="G49" s="322">
        <f>SUM(F50:F56)</f>
        <v>54542555</v>
      </c>
    </row>
    <row r="50" spans="1:7" s="119" customFormat="1" ht="15" customHeight="1">
      <c r="A50" s="158">
        <v>4.0999999999999996</v>
      </c>
      <c r="B50" s="120" t="s">
        <v>371</v>
      </c>
      <c r="C50" s="163" t="s">
        <v>9</v>
      </c>
      <c r="D50" s="164">
        <v>250</v>
      </c>
      <c r="E50" s="172">
        <v>69842</v>
      </c>
      <c r="F50" s="162">
        <f t="shared" si="0"/>
        <v>17460500</v>
      </c>
      <c r="G50" s="121" t="s">
        <v>372</v>
      </c>
    </row>
    <row r="51" spans="1:7" s="119" customFormat="1" ht="15" customHeight="1">
      <c r="A51" s="158">
        <v>4.2</v>
      </c>
      <c r="B51" s="120" t="str">
        <f>'ITEM_4,2'!B26:I26</f>
        <v>FLANCHE EN LÁMINA GALVANIZADA CAL. 22; DS=30</v>
      </c>
      <c r="C51" s="159" t="s">
        <v>8</v>
      </c>
      <c r="D51" s="160">
        <v>300</v>
      </c>
      <c r="E51" s="172">
        <f>'ITEM_4,2'!M64</f>
        <v>28927</v>
      </c>
      <c r="F51" s="162">
        <f t="shared" si="0"/>
        <v>8678100</v>
      </c>
      <c r="G51" s="121"/>
    </row>
    <row r="52" spans="1:7" s="119" customFormat="1" ht="15" customHeight="1">
      <c r="A52" s="158">
        <v>4.3</v>
      </c>
      <c r="B52" s="120" t="str">
        <f>'ITEM_4,3'!B26:I26</f>
        <v>CANAL EN LÁMINA GALVANIZADA CAL 22, DS=90</v>
      </c>
      <c r="C52" s="163" t="s">
        <v>8</v>
      </c>
      <c r="D52" s="164">
        <v>70</v>
      </c>
      <c r="E52" s="172">
        <f>'ITEM_4,3'!M65</f>
        <v>75877</v>
      </c>
      <c r="F52" s="162">
        <f t="shared" si="0"/>
        <v>5311390</v>
      </c>
      <c r="G52" s="121"/>
    </row>
    <row r="53" spans="1:7" s="119" customFormat="1" ht="51">
      <c r="A53" s="158">
        <v>4.4000000000000004</v>
      </c>
      <c r="B53" s="120" t="str">
        <f>'ITEM_4,4'!B26:I26</f>
        <v>CELOSÍA ANGULAR  ASTM-36, INCLUYE: CORREAS, CONTRAVIENTOS, TENSORES, COLUMNAS, VIGAS DE AMARRE, ANCLAJES, TORNILLERÍA, PINTURA Y PLATINERÍA. CONTEMPLA TAMBIÉN:FABRICACIÓN, SUMINISTRO Y MONTAJE</v>
      </c>
      <c r="C53" s="163" t="s">
        <v>25</v>
      </c>
      <c r="D53" s="375">
        <v>330</v>
      </c>
      <c r="E53" s="172">
        <v>15814</v>
      </c>
      <c r="F53" s="162">
        <f t="shared" si="0"/>
        <v>5218620</v>
      </c>
      <c r="G53" s="121" t="s">
        <v>468</v>
      </c>
    </row>
    <row r="54" spans="1:7" s="119" customFormat="1" ht="15" customHeight="1">
      <c r="A54" s="158">
        <v>4.5</v>
      </c>
      <c r="B54" s="120" t="str">
        <f>'ITEM_4,5'!B26:I26</f>
        <v>BAJANTE AGUAS LLUVIAS PVC 3"</v>
      </c>
      <c r="C54" s="163" t="s">
        <v>8</v>
      </c>
      <c r="D54" s="164">
        <v>85</v>
      </c>
      <c r="E54" s="172">
        <f>'ITEM_4,5'!M65</f>
        <v>26107</v>
      </c>
      <c r="F54" s="162">
        <f t="shared" si="0"/>
        <v>2219095</v>
      </c>
      <c r="G54" s="121"/>
    </row>
    <row r="55" spans="1:7" s="119" customFormat="1" ht="52.5" customHeight="1">
      <c r="A55" s="158">
        <v>4.5999999999999996</v>
      </c>
      <c r="B55" s="289" t="s">
        <v>362</v>
      </c>
      <c r="C55" s="163" t="s">
        <v>9</v>
      </c>
      <c r="D55" s="164">
        <v>250</v>
      </c>
      <c r="E55" s="172">
        <f>+'ITEM_4,6'!M64</f>
        <v>53872</v>
      </c>
      <c r="F55" s="162">
        <f t="shared" si="0"/>
        <v>13468000</v>
      </c>
      <c r="G55" s="121"/>
    </row>
    <row r="56" spans="1:7" s="119" customFormat="1" ht="15" customHeight="1">
      <c r="A56" s="158">
        <v>4.7</v>
      </c>
      <c r="B56" s="289" t="s">
        <v>376</v>
      </c>
      <c r="C56" s="163" t="s">
        <v>8</v>
      </c>
      <c r="D56" s="164">
        <v>30</v>
      </c>
      <c r="E56" s="172">
        <v>72895</v>
      </c>
      <c r="F56" s="162">
        <f t="shared" si="0"/>
        <v>2186850</v>
      </c>
      <c r="G56" s="121" t="s">
        <v>375</v>
      </c>
    </row>
    <row r="57" spans="1:7" s="115" customFormat="1" ht="15" customHeight="1">
      <c r="A57" s="285">
        <v>5</v>
      </c>
      <c r="B57" s="278" t="s">
        <v>28</v>
      </c>
      <c r="C57" s="279"/>
      <c r="D57" s="280"/>
      <c r="E57" s="287"/>
      <c r="F57" s="282"/>
      <c r="G57" s="322">
        <f>SUM(F58:F61)</f>
        <v>1672685</v>
      </c>
    </row>
    <row r="58" spans="1:7" s="115" customFormat="1" ht="15" customHeight="1">
      <c r="A58" s="158">
        <v>5.0999999999999996</v>
      </c>
      <c r="B58" s="123" t="str">
        <f>ITEM_5.1!B26</f>
        <v>PUNTO HIDRÁULICO PVC-P/PARAL 1/2"</v>
      </c>
      <c r="C58" s="159" t="s">
        <v>115</v>
      </c>
      <c r="D58" s="160">
        <v>4</v>
      </c>
      <c r="E58" s="172">
        <f>ITEM_5.1!M64</f>
        <v>76642</v>
      </c>
      <c r="F58" s="162">
        <f t="shared" si="0"/>
        <v>306568</v>
      </c>
      <c r="G58" s="121"/>
    </row>
    <row r="59" spans="1:7" s="115" customFormat="1" ht="15" customHeight="1">
      <c r="A59" s="158">
        <v>5.2</v>
      </c>
      <c r="B59" s="123" t="str">
        <f>ITEM_5.2!B26</f>
        <v>SALIDA SANITARIA PVC-S/PARAL 2"</v>
      </c>
      <c r="C59" s="159" t="str">
        <f>ITEM_5.2!K26</f>
        <v>UND</v>
      </c>
      <c r="D59" s="160">
        <v>1</v>
      </c>
      <c r="E59" s="172">
        <f>ITEM_5.2!M64</f>
        <v>82321</v>
      </c>
      <c r="F59" s="162">
        <f t="shared" si="0"/>
        <v>82321</v>
      </c>
      <c r="G59" s="117"/>
    </row>
    <row r="60" spans="1:7" s="115" customFormat="1" ht="15" customHeight="1">
      <c r="A60" s="158">
        <v>5.3</v>
      </c>
      <c r="B60" s="123" t="str">
        <f>ITEM_5.3!B26</f>
        <v>RED SUMINISTRO PVC 2"</v>
      </c>
      <c r="C60" s="159" t="str">
        <f>ITEM_5.3!K26</f>
        <v>UND</v>
      </c>
      <c r="D60" s="160">
        <v>30</v>
      </c>
      <c r="E60" s="172">
        <f>ITEM_5.3!M64</f>
        <v>38152</v>
      </c>
      <c r="F60" s="162">
        <f t="shared" si="0"/>
        <v>1144560</v>
      </c>
    </row>
    <row r="61" spans="1:7" s="115" customFormat="1" ht="15" customHeight="1">
      <c r="A61" s="158">
        <v>5.4</v>
      </c>
      <c r="B61" s="123" t="str">
        <f>ITEM_5.4!B26</f>
        <v>REGISTRO 1/2"</v>
      </c>
      <c r="C61" s="159" t="str">
        <f>ITEM_5.4!K26</f>
        <v>UND</v>
      </c>
      <c r="D61" s="160">
        <v>2</v>
      </c>
      <c r="E61" s="172">
        <f>ITEM_5.4!M64</f>
        <v>69618</v>
      </c>
      <c r="F61" s="162">
        <f t="shared" si="0"/>
        <v>139236</v>
      </c>
    </row>
    <row r="62" spans="1:7" s="115" customFormat="1" ht="15" customHeight="1">
      <c r="A62" s="285">
        <v>6</v>
      </c>
      <c r="B62" s="278" t="s">
        <v>264</v>
      </c>
      <c r="C62" s="279"/>
      <c r="D62" s="280"/>
      <c r="E62" s="287"/>
      <c r="F62" s="282"/>
      <c r="G62" s="321">
        <f>SUM(F63:F90)</f>
        <v>155275158</v>
      </c>
    </row>
    <row r="63" spans="1:7" s="115" customFormat="1">
      <c r="A63" s="262">
        <v>6.1</v>
      </c>
      <c r="B63" s="120" t="str">
        <f>'ITEM_6,1'!B26:I26</f>
        <v>TEMPORIZADOR DIGITAL PROGRAMABLE 110V PARA BALAS LED</v>
      </c>
      <c r="C63" s="163" t="s">
        <v>115</v>
      </c>
      <c r="D63" s="160">
        <v>1</v>
      </c>
      <c r="E63" s="171">
        <f>'ITEM_6,1'!M66</f>
        <v>87947</v>
      </c>
      <c r="F63" s="162">
        <f t="shared" si="0"/>
        <v>87947</v>
      </c>
    </row>
    <row r="64" spans="1:7" s="115" customFormat="1" ht="15" customHeight="1">
      <c r="A64" s="262">
        <v>6.2</v>
      </c>
      <c r="B64" s="120" t="str">
        <f>'ITEM_6,2'!B26:I26</f>
        <v>LÁMPARA A PRUEBA DE HUMEDAD TIPO TORTUGA</v>
      </c>
      <c r="C64" s="163" t="s">
        <v>115</v>
      </c>
      <c r="D64" s="160">
        <v>1</v>
      </c>
      <c r="E64" s="171">
        <f>'ITEM_6,2'!M65</f>
        <v>51043</v>
      </c>
      <c r="F64" s="162">
        <f t="shared" si="0"/>
        <v>51043</v>
      </c>
    </row>
    <row r="65" spans="1:7" s="115" customFormat="1" ht="67.5" customHeight="1">
      <c r="A65" s="262">
        <v>6.3</v>
      </c>
      <c r="B65" s="120" t="str">
        <f>'ITEM_6,3'!B26:I26</f>
        <v>SUMINISTRO E INSTALACION LÁMPARA HERMÉTICA LED 40W 110/220V SYLVANIA O SIMILAR (INCLUYE ESTRUCTURA DE FIJACION CON GUAYA Y SOPORTE, CABLE DE CONEXIÓN Y ATERRIZAJE Y TODO LO NECESARIO PARA SU INSTALACION Y FUNCIONAMIENTO)</v>
      </c>
      <c r="C65" s="163" t="s">
        <v>115</v>
      </c>
      <c r="D65" s="160">
        <v>1</v>
      </c>
      <c r="E65" s="171">
        <f>'ITEM_6,3'!M65</f>
        <v>190991</v>
      </c>
      <c r="F65" s="162">
        <f t="shared" si="0"/>
        <v>190991</v>
      </c>
    </row>
    <row r="66" spans="1:7" s="115" customFormat="1" ht="42" customHeight="1">
      <c r="A66" s="262">
        <v>6.4</v>
      </c>
      <c r="B66" s="120" t="str">
        <f>'ITEM_6,4'!B26:I26</f>
        <v>LUMINARIA BALA LED 30 W JUPITER DE SYLVANIA O SIMILAR</v>
      </c>
      <c r="C66" s="163" t="s">
        <v>115</v>
      </c>
      <c r="D66" s="164">
        <v>30</v>
      </c>
      <c r="E66" s="171">
        <f>'ITEM_6,4'!M65</f>
        <v>159027</v>
      </c>
      <c r="F66" s="162">
        <f t="shared" si="0"/>
        <v>4770810</v>
      </c>
    </row>
    <row r="67" spans="1:7" s="115" customFormat="1" ht="22.5" customHeight="1">
      <c r="A67" s="262">
        <v>6.5</v>
      </c>
      <c r="B67" s="120" t="str">
        <f>'ITEM_6,5'!B26:I26</f>
        <v>LAMPARA PANEL LED 30X120 40W LUZ CALIDA</v>
      </c>
      <c r="C67" s="163" t="s">
        <v>115</v>
      </c>
      <c r="D67" s="164">
        <v>60</v>
      </c>
      <c r="E67" s="171">
        <f>'ITEM_6,5'!M65</f>
        <v>240090</v>
      </c>
      <c r="F67" s="353">
        <f t="shared" si="0"/>
        <v>14405400</v>
      </c>
      <c r="G67" s="276">
        <f>+D67+D66</f>
        <v>90</v>
      </c>
    </row>
    <row r="68" spans="1:7" s="115" customFormat="1" ht="15" customHeight="1">
      <c r="A68" s="262">
        <v>6.6</v>
      </c>
      <c r="B68" s="120" t="str">
        <f>'ITEM_6,6'!B26:I26</f>
        <v>TUBERÍA CONDUIT EMT GALVANIZADA 3/4"</v>
      </c>
      <c r="C68" s="163" t="s">
        <v>8</v>
      </c>
      <c r="D68" s="164">
        <v>100</v>
      </c>
      <c r="E68" s="171">
        <f>'ITEM_6,6'!M65</f>
        <v>29903</v>
      </c>
      <c r="F68" s="162">
        <f t="shared" si="0"/>
        <v>2990300</v>
      </c>
    </row>
    <row r="69" spans="1:7" s="115" customFormat="1" ht="15" customHeight="1">
      <c r="A69" s="262">
        <v>6.7</v>
      </c>
      <c r="B69" s="120" t="str">
        <f>'ITEM_6,7'!B26:I26</f>
        <v>TUBERÍA CONDUIT EMT GALVANIZADA 1".</v>
      </c>
      <c r="C69" s="163" t="s">
        <v>8</v>
      </c>
      <c r="D69" s="164">
        <v>15</v>
      </c>
      <c r="E69" s="171">
        <f>'ITEM_6,7'!M65</f>
        <v>38744</v>
      </c>
      <c r="F69" s="162">
        <f t="shared" si="0"/>
        <v>581160</v>
      </c>
    </row>
    <row r="70" spans="1:7" s="115" customFormat="1" ht="15" customHeight="1">
      <c r="A70" s="262">
        <v>6.8</v>
      </c>
      <c r="B70" s="120" t="str">
        <f>'ITEM_6,8'!B26:I26</f>
        <v>TUBERÍA PVC CONDUIT 3/4"</v>
      </c>
      <c r="C70" s="163" t="s">
        <v>8</v>
      </c>
      <c r="D70" s="164">
        <v>15</v>
      </c>
      <c r="E70" s="171">
        <f>'ITEM_6,8'!M65</f>
        <v>4122</v>
      </c>
      <c r="F70" s="162">
        <f t="shared" ref="F70:F120" si="1">ROUND(E70*D70,0)</f>
        <v>61830</v>
      </c>
    </row>
    <row r="71" spans="1:7" s="115" customFormat="1" ht="15" customHeight="1">
      <c r="A71" s="262">
        <v>6.9</v>
      </c>
      <c r="B71" s="120" t="str">
        <f>'ITEM_6,9'!B26:I26</f>
        <v xml:space="preserve">SALIDA TOMA DOBLE GFCI </v>
      </c>
      <c r="C71" s="163" t="s">
        <v>115</v>
      </c>
      <c r="D71" s="164">
        <v>6</v>
      </c>
      <c r="E71" s="171">
        <f>'ITEM_6,9'!M65</f>
        <v>189817</v>
      </c>
      <c r="F71" s="162">
        <f t="shared" si="1"/>
        <v>1138902</v>
      </c>
    </row>
    <row r="72" spans="1:7" s="115" customFormat="1" ht="15" customHeight="1">
      <c r="A72" s="290">
        <v>6.1</v>
      </c>
      <c r="B72" s="120" t="str">
        <f>'ITEM_6,10'!B26:I26</f>
        <v>SALIDA TOMA DOBLE PVC COMPLETA</v>
      </c>
      <c r="C72" s="163" t="s">
        <v>115</v>
      </c>
      <c r="D72" s="164">
        <v>1</v>
      </c>
      <c r="E72" s="171">
        <f>'ITEM_6,10'!M65</f>
        <v>64383</v>
      </c>
      <c r="F72" s="162">
        <f t="shared" si="1"/>
        <v>64383</v>
      </c>
    </row>
    <row r="73" spans="1:7" s="115" customFormat="1" ht="15" customHeight="1">
      <c r="A73" s="262">
        <v>6.11</v>
      </c>
      <c r="B73" s="120" t="str">
        <f>'ITEM_6,11'!B26:I26</f>
        <v>SALIDA TOMA DOBLE PVC COMPLETA (REGULADA)</v>
      </c>
      <c r="C73" s="159" t="s">
        <v>115</v>
      </c>
      <c r="D73" s="160">
        <v>1</v>
      </c>
      <c r="E73" s="172">
        <f>'ITEM_6,11'!M66</f>
        <v>57474</v>
      </c>
      <c r="F73" s="162">
        <f t="shared" si="1"/>
        <v>57474</v>
      </c>
      <c r="G73" s="117"/>
    </row>
    <row r="74" spans="1:7" s="119" customFormat="1" ht="15" customHeight="1">
      <c r="A74" s="290">
        <v>6.12</v>
      </c>
      <c r="B74" s="120" t="str">
        <f>'ITEM_6,12'!B26:I26</f>
        <v>SALIDA LÁMPARA TOMA EMT COMPLETA</v>
      </c>
      <c r="C74" s="159" t="s">
        <v>115</v>
      </c>
      <c r="D74" s="160">
        <v>110</v>
      </c>
      <c r="E74" s="171">
        <f>'ITEM_6,12'!M66</f>
        <v>78495</v>
      </c>
      <c r="F74" s="162">
        <f t="shared" si="1"/>
        <v>8634450</v>
      </c>
    </row>
    <row r="75" spans="1:7" s="119" customFormat="1" ht="15" customHeight="1">
      <c r="A75" s="262">
        <v>6.13</v>
      </c>
      <c r="B75" s="120" t="str">
        <f>'ITEM_6,13'!B26:I26</f>
        <v>SENSOR DE MOVIMIENTO 360° - 120V</v>
      </c>
      <c r="C75" s="159" t="s">
        <v>115</v>
      </c>
      <c r="D75" s="160">
        <v>2</v>
      </c>
      <c r="E75" s="172">
        <f>'ITEM_6,13'!M65</f>
        <v>78679</v>
      </c>
      <c r="F75" s="162">
        <f t="shared" si="1"/>
        <v>157358</v>
      </c>
    </row>
    <row r="76" spans="1:7" s="119" customFormat="1" ht="51" customHeight="1">
      <c r="A76" s="290">
        <v>6.14</v>
      </c>
      <c r="B76" s="120" t="str">
        <f>'ITEM_6,14'!B26:I26</f>
        <v>ACOMETIDA A SALIDAS BIFÁSICA EN CABLE 2X10F + 1X10N + 1X10F AWG CABLE LSHZ. INCLUYE ACCESORIOS PARA INSTALACIÓN</v>
      </c>
      <c r="C76" s="159" t="s">
        <v>8</v>
      </c>
      <c r="D76" s="160">
        <v>100</v>
      </c>
      <c r="E76" s="172">
        <f>'ITEM_6,14'!M64</f>
        <v>17179</v>
      </c>
      <c r="F76" s="162">
        <f t="shared" si="1"/>
        <v>1717900</v>
      </c>
    </row>
    <row r="77" spans="1:7" s="119" customFormat="1" ht="51">
      <c r="A77" s="262">
        <v>6.15</v>
      </c>
      <c r="B77" s="319" t="s">
        <v>389</v>
      </c>
      <c r="C77" s="300" t="s">
        <v>11</v>
      </c>
      <c r="D77" s="160">
        <v>1</v>
      </c>
      <c r="E77" s="172">
        <v>2450000</v>
      </c>
      <c r="F77" s="162">
        <f t="shared" si="1"/>
        <v>2450000</v>
      </c>
    </row>
    <row r="78" spans="1:7" s="119" customFormat="1" ht="138.75" customHeight="1">
      <c r="A78" s="290">
        <v>6.16</v>
      </c>
      <c r="B78" s="319" t="s">
        <v>390</v>
      </c>
      <c r="C78" s="300" t="s">
        <v>8</v>
      </c>
      <c r="D78" s="160">
        <v>4</v>
      </c>
      <c r="E78" s="172">
        <v>750900</v>
      </c>
      <c r="F78" s="162">
        <f t="shared" si="1"/>
        <v>3003600</v>
      </c>
    </row>
    <row r="79" spans="1:7" s="119" customFormat="1" ht="25.5">
      <c r="A79" s="262">
        <v>6.17</v>
      </c>
      <c r="B79" s="319" t="s">
        <v>391</v>
      </c>
      <c r="C79" s="300" t="s">
        <v>8</v>
      </c>
      <c r="D79" s="160">
        <v>5</v>
      </c>
      <c r="E79" s="172">
        <v>44700</v>
      </c>
      <c r="F79" s="162">
        <f t="shared" si="1"/>
        <v>223500</v>
      </c>
    </row>
    <row r="80" spans="1:7" s="119" customFormat="1" ht="151.5" customHeight="1">
      <c r="A80" s="290">
        <v>6.18</v>
      </c>
      <c r="B80" s="319" t="s">
        <v>392</v>
      </c>
      <c r="C80" s="300" t="s">
        <v>11</v>
      </c>
      <c r="D80" s="160">
        <v>1</v>
      </c>
      <c r="E80" s="172">
        <v>39120000</v>
      </c>
      <c r="F80" s="162">
        <f t="shared" si="1"/>
        <v>39120000</v>
      </c>
    </row>
    <row r="81" spans="1:7" s="119" customFormat="1" ht="237.75" customHeight="1">
      <c r="A81" s="262">
        <v>6.19</v>
      </c>
      <c r="B81" s="319" t="s">
        <v>393</v>
      </c>
      <c r="C81" s="301" t="s">
        <v>11</v>
      </c>
      <c r="D81" s="160">
        <v>1</v>
      </c>
      <c r="E81" s="172">
        <v>6898100</v>
      </c>
      <c r="F81" s="162">
        <f t="shared" si="1"/>
        <v>6898100</v>
      </c>
    </row>
    <row r="82" spans="1:7" s="119" customFormat="1" ht="90.75" customHeight="1">
      <c r="A82" s="290">
        <v>6.2</v>
      </c>
      <c r="B82" s="319" t="s">
        <v>394</v>
      </c>
      <c r="C82" s="301" t="s">
        <v>11</v>
      </c>
      <c r="D82" s="160">
        <v>1</v>
      </c>
      <c r="E82" s="172">
        <v>841720</v>
      </c>
      <c r="F82" s="162">
        <f t="shared" si="1"/>
        <v>841720</v>
      </c>
    </row>
    <row r="83" spans="1:7" s="119" customFormat="1" ht="102">
      <c r="A83" s="262">
        <v>6.21</v>
      </c>
      <c r="B83" s="319" t="s">
        <v>407</v>
      </c>
      <c r="C83" s="302" t="s">
        <v>8</v>
      </c>
      <c r="D83" s="160">
        <v>250</v>
      </c>
      <c r="E83" s="172">
        <v>65760</v>
      </c>
      <c r="F83" s="353">
        <f t="shared" si="1"/>
        <v>16440000</v>
      </c>
    </row>
    <row r="84" spans="1:7" s="119" customFormat="1" ht="76.5" customHeight="1">
      <c r="A84" s="290">
        <v>6.22</v>
      </c>
      <c r="B84" s="319" t="s">
        <v>395</v>
      </c>
      <c r="C84" s="302" t="s">
        <v>8</v>
      </c>
      <c r="D84" s="160">
        <v>500</v>
      </c>
      <c r="E84" s="172">
        <v>15650</v>
      </c>
      <c r="F84" s="353">
        <f t="shared" si="1"/>
        <v>7825000</v>
      </c>
    </row>
    <row r="85" spans="1:7" s="119" customFormat="1" ht="120" customHeight="1">
      <c r="A85" s="262">
        <v>6.23</v>
      </c>
      <c r="B85" s="319" t="s">
        <v>408</v>
      </c>
      <c r="C85" s="302" t="s">
        <v>11</v>
      </c>
      <c r="D85" s="160">
        <v>90</v>
      </c>
      <c r="E85" s="172">
        <v>248000</v>
      </c>
      <c r="F85" s="353">
        <f t="shared" si="1"/>
        <v>22320000</v>
      </c>
    </row>
    <row r="86" spans="1:7" s="119" customFormat="1" ht="118.5" customHeight="1">
      <c r="A86" s="290">
        <v>6.24</v>
      </c>
      <c r="B86" s="319" t="s">
        <v>409</v>
      </c>
      <c r="C86" s="302" t="s">
        <v>11</v>
      </c>
      <c r="D86" s="160">
        <v>25</v>
      </c>
      <c r="E86" s="172">
        <v>236800</v>
      </c>
      <c r="F86" s="162">
        <f t="shared" si="1"/>
        <v>5920000</v>
      </c>
    </row>
    <row r="87" spans="1:7" s="119" customFormat="1">
      <c r="A87" s="262">
        <v>6.25</v>
      </c>
      <c r="B87" s="319" t="s">
        <v>442</v>
      </c>
      <c r="C87" s="302" t="s">
        <v>8</v>
      </c>
      <c r="D87" s="160">
        <v>350</v>
      </c>
      <c r="E87" s="172">
        <f>+'ITEM_6,25'!M64</f>
        <v>34161</v>
      </c>
      <c r="F87" s="353">
        <f t="shared" si="1"/>
        <v>11956350</v>
      </c>
    </row>
    <row r="88" spans="1:7" s="119" customFormat="1">
      <c r="A88" s="290">
        <v>6.26</v>
      </c>
      <c r="B88" s="319" t="s">
        <v>396</v>
      </c>
      <c r="C88" s="303" t="s">
        <v>11</v>
      </c>
      <c r="D88" s="160">
        <v>4</v>
      </c>
      <c r="E88" s="172">
        <v>498500</v>
      </c>
      <c r="F88" s="162">
        <f t="shared" si="1"/>
        <v>1994000</v>
      </c>
    </row>
    <row r="89" spans="1:7" s="119" customFormat="1">
      <c r="A89" s="262">
        <v>6.27</v>
      </c>
      <c r="B89" s="319" t="s">
        <v>397</v>
      </c>
      <c r="C89" s="302" t="s">
        <v>8</v>
      </c>
      <c r="D89" s="160">
        <v>20</v>
      </c>
      <c r="E89" s="172">
        <v>38744</v>
      </c>
      <c r="F89" s="162">
        <f t="shared" si="1"/>
        <v>774880</v>
      </c>
      <c r="G89" s="119" t="s">
        <v>398</v>
      </c>
    </row>
    <row r="90" spans="1:7" s="119" customFormat="1">
      <c r="A90" s="290">
        <v>6.28</v>
      </c>
      <c r="B90" s="319" t="s">
        <v>274</v>
      </c>
      <c r="C90" s="302" t="s">
        <v>8</v>
      </c>
      <c r="D90" s="160">
        <v>20</v>
      </c>
      <c r="E90" s="172">
        <v>29903</v>
      </c>
      <c r="F90" s="162">
        <f t="shared" si="1"/>
        <v>598060</v>
      </c>
      <c r="G90" s="119" t="s">
        <v>399</v>
      </c>
    </row>
    <row r="91" spans="1:7" s="119" customFormat="1" ht="15" customHeight="1">
      <c r="A91" s="285">
        <v>7</v>
      </c>
      <c r="B91" s="278" t="s">
        <v>321</v>
      </c>
      <c r="C91" s="279"/>
      <c r="D91" s="280"/>
      <c r="E91" s="287"/>
      <c r="F91" s="282"/>
      <c r="G91" s="323">
        <f>SUM(F92:F100)</f>
        <v>100015300</v>
      </c>
    </row>
    <row r="92" spans="1:7" s="119" customFormat="1" ht="78.75" customHeight="1">
      <c r="A92" s="158">
        <v>7.1</v>
      </c>
      <c r="B92" s="319" t="s">
        <v>400</v>
      </c>
      <c r="C92" s="304" t="s">
        <v>11</v>
      </c>
      <c r="D92" s="302">
        <v>80</v>
      </c>
      <c r="E92" s="172">
        <v>768900</v>
      </c>
      <c r="F92" s="162">
        <f t="shared" si="1"/>
        <v>61512000</v>
      </c>
    </row>
    <row r="93" spans="1:7" s="119" customFormat="1" ht="85.5" customHeight="1">
      <c r="A93" s="158" t="s">
        <v>431</v>
      </c>
      <c r="B93" s="319" t="s">
        <v>461</v>
      </c>
      <c r="C93" s="300" t="s">
        <v>11</v>
      </c>
      <c r="D93" s="302">
        <v>2</v>
      </c>
      <c r="E93" s="172">
        <v>9500000</v>
      </c>
      <c r="F93" s="162">
        <f t="shared" si="1"/>
        <v>19000000</v>
      </c>
    </row>
    <row r="94" spans="1:7" s="119" customFormat="1" ht="74.25" customHeight="1">
      <c r="A94" s="158" t="s">
        <v>433</v>
      </c>
      <c r="B94" s="319" t="s">
        <v>401</v>
      </c>
      <c r="C94" s="304" t="s">
        <v>11</v>
      </c>
      <c r="D94" s="302">
        <v>2</v>
      </c>
      <c r="E94" s="172">
        <v>1650000</v>
      </c>
      <c r="F94" s="162">
        <f t="shared" si="1"/>
        <v>3300000</v>
      </c>
    </row>
    <row r="95" spans="1:7" s="119" customFormat="1">
      <c r="A95" s="158" t="s">
        <v>432</v>
      </c>
      <c r="B95" s="319" t="s">
        <v>402</v>
      </c>
      <c r="C95" s="300" t="s">
        <v>11</v>
      </c>
      <c r="D95" s="302">
        <v>2</v>
      </c>
      <c r="E95" s="172">
        <v>295000</v>
      </c>
      <c r="F95" s="162">
        <f t="shared" si="1"/>
        <v>590000</v>
      </c>
    </row>
    <row r="96" spans="1:7" s="119" customFormat="1" ht="46.5" customHeight="1">
      <c r="A96" s="158" t="s">
        <v>434</v>
      </c>
      <c r="B96" s="319" t="s">
        <v>462</v>
      </c>
      <c r="C96" s="300" t="s">
        <v>11</v>
      </c>
      <c r="D96" s="302">
        <v>4</v>
      </c>
      <c r="E96" s="172">
        <v>1698400</v>
      </c>
      <c r="F96" s="162">
        <f t="shared" si="1"/>
        <v>6793600</v>
      </c>
    </row>
    <row r="97" spans="1:7" s="119" customFormat="1" ht="65.25" customHeight="1">
      <c r="A97" s="158" t="s">
        <v>435</v>
      </c>
      <c r="B97" s="319" t="s">
        <v>403</v>
      </c>
      <c r="C97" s="300" t="s">
        <v>11</v>
      </c>
      <c r="D97" s="302">
        <v>2</v>
      </c>
      <c r="E97" s="172">
        <v>1789400</v>
      </c>
      <c r="F97" s="162">
        <f t="shared" si="1"/>
        <v>3578800</v>
      </c>
    </row>
    <row r="98" spans="1:7" s="119" customFormat="1" ht="60" customHeight="1">
      <c r="A98" s="158" t="s">
        <v>436</v>
      </c>
      <c r="B98" s="319" t="s">
        <v>463</v>
      </c>
      <c r="C98" s="300" t="s">
        <v>11</v>
      </c>
      <c r="D98" s="302">
        <v>1</v>
      </c>
      <c r="E98" s="172">
        <v>3956400</v>
      </c>
      <c r="F98" s="162">
        <f t="shared" si="1"/>
        <v>3956400</v>
      </c>
    </row>
    <row r="99" spans="1:7" s="119" customFormat="1" ht="48" customHeight="1">
      <c r="A99" s="158" t="s">
        <v>437</v>
      </c>
      <c r="B99" s="319" t="s">
        <v>464</v>
      </c>
      <c r="C99" s="300" t="s">
        <v>11</v>
      </c>
      <c r="D99" s="302">
        <v>1</v>
      </c>
      <c r="E99" s="172">
        <v>598600</v>
      </c>
      <c r="F99" s="162">
        <f t="shared" si="1"/>
        <v>598600</v>
      </c>
    </row>
    <row r="100" spans="1:7" s="119" customFormat="1" ht="35.25" customHeight="1">
      <c r="A100" s="158" t="s">
        <v>438</v>
      </c>
      <c r="B100" s="319" t="s">
        <v>404</v>
      </c>
      <c r="C100" s="300" t="s">
        <v>11</v>
      </c>
      <c r="D100" s="302">
        <v>1</v>
      </c>
      <c r="E100" s="172">
        <v>685900</v>
      </c>
      <c r="F100" s="162">
        <f t="shared" si="1"/>
        <v>685900</v>
      </c>
    </row>
    <row r="101" spans="1:7" s="115" customFormat="1" ht="15" customHeight="1">
      <c r="A101" s="291">
        <v>9</v>
      </c>
      <c r="B101" s="278" t="s">
        <v>12</v>
      </c>
      <c r="C101" s="279"/>
      <c r="D101" s="280"/>
      <c r="E101" s="287"/>
      <c r="F101" s="282"/>
      <c r="G101" s="321">
        <f>SUM(F102:F104)</f>
        <v>46715800</v>
      </c>
    </row>
    <row r="102" spans="1:7" s="115" customFormat="1" ht="25.5">
      <c r="A102" s="158">
        <v>9.1</v>
      </c>
      <c r="B102" s="120" t="str">
        <f>'ITEM_9,1'!B26:I26</f>
        <v>CIELO RASO PLANO DRYWALL DILATACIÓN EN Z (INCLUYE PINTURA)</v>
      </c>
      <c r="C102" s="163" t="s">
        <v>9</v>
      </c>
      <c r="D102" s="164">
        <v>600</v>
      </c>
      <c r="E102" s="171">
        <f>'ITEM_9,1'!M66</f>
        <v>64030</v>
      </c>
      <c r="F102" s="162">
        <f t="shared" si="1"/>
        <v>38418000</v>
      </c>
    </row>
    <row r="103" spans="1:7" s="115" customFormat="1" ht="25.5">
      <c r="A103" s="158">
        <v>9.1999999999999993</v>
      </c>
      <c r="B103" s="275" t="str">
        <f>'ITEM_9,2'!B26:I26</f>
        <v>CIELO RASO PLANO DRYWALL DILATACIÓN EN Z LINEAL (INCLUYE PINTURA)</v>
      </c>
      <c r="C103" s="163" t="s">
        <v>8</v>
      </c>
      <c r="D103" s="164">
        <v>50</v>
      </c>
      <c r="E103" s="171">
        <f>'ITEM_9,2'!M66</f>
        <v>37260</v>
      </c>
      <c r="F103" s="162">
        <f t="shared" si="1"/>
        <v>1863000</v>
      </c>
    </row>
    <row r="104" spans="1:7" s="115" customFormat="1">
      <c r="A104" s="158">
        <v>9.3000000000000007</v>
      </c>
      <c r="B104" s="120" t="s">
        <v>366</v>
      </c>
      <c r="C104" s="163" t="s">
        <v>9</v>
      </c>
      <c r="D104" s="164">
        <v>80</v>
      </c>
      <c r="E104" s="171">
        <v>80435</v>
      </c>
      <c r="F104" s="162">
        <f t="shared" si="1"/>
        <v>6434800</v>
      </c>
    </row>
    <row r="105" spans="1:7" s="115" customFormat="1" ht="15" customHeight="1">
      <c r="A105" s="285">
        <v>10</v>
      </c>
      <c r="B105" s="278" t="s">
        <v>356</v>
      </c>
      <c r="C105" s="279"/>
      <c r="D105" s="280"/>
      <c r="E105" s="287"/>
      <c r="F105" s="282"/>
      <c r="G105" s="321">
        <f>SUM(F106:F114)</f>
        <v>48311073</v>
      </c>
    </row>
    <row r="106" spans="1:7" s="115" customFormat="1" ht="25.5">
      <c r="A106" s="158" t="s">
        <v>58</v>
      </c>
      <c r="B106" s="120" t="str">
        <f>'ITEM_10,1'!$B$26:$I$26</f>
        <v>PISO EN CERAMICA ANTIDESLIZANTE 60X60 CM. TRAFICO PESADO CALIDAD PRIMERA. COLOR A ELEGIR</v>
      </c>
      <c r="C106" s="163" t="s">
        <v>9</v>
      </c>
      <c r="D106" s="164">
        <v>10</v>
      </c>
      <c r="E106" s="171">
        <f>'ITEM_10,1'!$M$64</f>
        <v>115275</v>
      </c>
      <c r="F106" s="162">
        <f t="shared" si="1"/>
        <v>1152750</v>
      </c>
      <c r="G106" s="117"/>
    </row>
    <row r="107" spans="1:7" s="119" customFormat="1" ht="15" customHeight="1">
      <c r="A107" s="158" t="s">
        <v>59</v>
      </c>
      <c r="B107" s="120" t="str">
        <f>ITEM_10.2!B26</f>
        <v>BALDOSA CERÁMICA PARED 60X30, CALIDAD PRIMERA</v>
      </c>
      <c r="C107" s="163" t="s">
        <v>9</v>
      </c>
      <c r="D107" s="164">
        <v>5</v>
      </c>
      <c r="E107" s="171">
        <f>ITEM_10.2!M64</f>
        <v>68386</v>
      </c>
      <c r="F107" s="162">
        <f t="shared" si="1"/>
        <v>341930</v>
      </c>
      <c r="G107" s="118"/>
    </row>
    <row r="108" spans="1:7" s="119" customFormat="1" ht="25.5">
      <c r="A108" s="158" t="s">
        <v>61</v>
      </c>
      <c r="B108" s="120" t="str">
        <f>'ITEM_10,3'!B26:I26</f>
        <v>SUMINISTRO E INSTALACION MESON EN GRANITO INCLUYE SALPICADERO</v>
      </c>
      <c r="C108" s="163" t="s">
        <v>8</v>
      </c>
      <c r="D108" s="164">
        <v>6</v>
      </c>
      <c r="E108" s="171">
        <f>'ITEM_10,3'!M65</f>
        <v>360173</v>
      </c>
      <c r="F108" s="162">
        <f t="shared" si="1"/>
        <v>2161038</v>
      </c>
      <c r="G108" s="118"/>
    </row>
    <row r="109" spans="1:7" s="119" customFormat="1" ht="15" customHeight="1">
      <c r="A109" s="158" t="s">
        <v>62</v>
      </c>
      <c r="B109" s="120" t="str">
        <f>'ITEM_10,4'!B26:I26</f>
        <v>MORTERO 1:4 ARENA LAVADA DE PEÑA</v>
      </c>
      <c r="C109" s="163" t="s">
        <v>10</v>
      </c>
      <c r="D109" s="164">
        <v>1</v>
      </c>
      <c r="E109" s="171">
        <f>'ITEM_10,4'!M65</f>
        <v>492376</v>
      </c>
      <c r="F109" s="162">
        <f t="shared" si="1"/>
        <v>492376</v>
      </c>
      <c r="G109" s="118"/>
    </row>
    <row r="110" spans="1:7" s="119" customFormat="1" ht="15" customHeight="1">
      <c r="A110" s="158" t="s">
        <v>60</v>
      </c>
      <c r="B110" s="120" t="str">
        <f>'ITEM_10,5'!B26:I26</f>
        <v>REMATES BOCEL WING ALUMINIO</v>
      </c>
      <c r="C110" s="163" t="s">
        <v>8</v>
      </c>
      <c r="D110" s="164">
        <v>20</v>
      </c>
      <c r="E110" s="171">
        <f>'ITEM_10,5'!M65</f>
        <v>10773</v>
      </c>
      <c r="F110" s="162">
        <f t="shared" si="1"/>
        <v>215460</v>
      </c>
      <c r="G110" s="118"/>
    </row>
    <row r="111" spans="1:7" s="119" customFormat="1" ht="15" customHeight="1">
      <c r="A111" s="158" t="s">
        <v>63</v>
      </c>
      <c r="B111" s="120" t="str">
        <f>'ITEM_10,6'!B26</f>
        <v xml:space="preserve">DILATACIÓN EN BRONCE PARA PISO </v>
      </c>
      <c r="C111" s="163" t="s">
        <v>8</v>
      </c>
      <c r="D111" s="164">
        <v>4</v>
      </c>
      <c r="E111" s="171">
        <f>'ITEM_10,6'!M60</f>
        <v>7233</v>
      </c>
      <c r="F111" s="162">
        <f t="shared" si="1"/>
        <v>28932</v>
      </c>
      <c r="G111" s="118"/>
    </row>
    <row r="112" spans="1:7" s="119" customFormat="1" ht="38.25">
      <c r="A112" s="158" t="s">
        <v>64</v>
      </c>
      <c r="B112" s="120" t="s">
        <v>349</v>
      </c>
      <c r="C112" s="163" t="s">
        <v>8</v>
      </c>
      <c r="D112" s="160">
        <v>168</v>
      </c>
      <c r="E112" s="171">
        <f>18050*1.1</f>
        <v>19855</v>
      </c>
      <c r="F112" s="162">
        <f t="shared" si="1"/>
        <v>3335640</v>
      </c>
      <c r="G112" s="118"/>
    </row>
    <row r="113" spans="1:7" s="119" customFormat="1" ht="63.75">
      <c r="A113" s="158" t="s">
        <v>65</v>
      </c>
      <c r="B113" s="120" t="s">
        <v>350</v>
      </c>
      <c r="C113" s="163" t="s">
        <v>9</v>
      </c>
      <c r="D113" s="160">
        <v>43</v>
      </c>
      <c r="E113" s="171">
        <f>84779*1.1</f>
        <v>93256.900000000009</v>
      </c>
      <c r="F113" s="162">
        <f t="shared" si="1"/>
        <v>4010047</v>
      </c>
      <c r="G113" s="118"/>
    </row>
    <row r="114" spans="1:7" s="119" customFormat="1" ht="65.25" customHeight="1">
      <c r="A114" s="158" t="s">
        <v>66</v>
      </c>
      <c r="B114" s="120" t="s">
        <v>426</v>
      </c>
      <c r="C114" s="163" t="s">
        <v>9</v>
      </c>
      <c r="D114" s="160">
        <v>325</v>
      </c>
      <c r="E114" s="171">
        <f>+'ITEM_10,9'!M60</f>
        <v>112532</v>
      </c>
      <c r="F114" s="162">
        <f t="shared" si="1"/>
        <v>36572900</v>
      </c>
      <c r="G114" s="118"/>
    </row>
    <row r="115" spans="1:7" s="119" customFormat="1">
      <c r="A115" s="277">
        <v>11</v>
      </c>
      <c r="B115" s="278" t="s">
        <v>357</v>
      </c>
      <c r="C115" s="279"/>
      <c r="D115" s="280"/>
      <c r="E115" s="281"/>
      <c r="F115" s="282"/>
      <c r="G115" s="118">
        <f>SUM(F116:F125)</f>
        <v>89780770</v>
      </c>
    </row>
    <row r="116" spans="1:7" s="119" customFormat="1" ht="87" customHeight="1">
      <c r="A116" s="158" t="s">
        <v>443</v>
      </c>
      <c r="B116" s="120" t="s">
        <v>410</v>
      </c>
      <c r="C116" s="159" t="s">
        <v>9</v>
      </c>
      <c r="D116" s="160">
        <v>2</v>
      </c>
      <c r="E116" s="172">
        <f>+'ITEM_12,1 '!M60</f>
        <v>638706</v>
      </c>
      <c r="F116" s="162">
        <f t="shared" si="1"/>
        <v>1277412</v>
      </c>
      <c r="G116" s="118"/>
    </row>
    <row r="117" spans="1:7" s="119" customFormat="1" ht="108.75" customHeight="1">
      <c r="A117" s="158" t="s">
        <v>444</v>
      </c>
      <c r="B117" s="120" t="s">
        <v>377</v>
      </c>
      <c r="C117" s="159" t="s">
        <v>9</v>
      </c>
      <c r="D117" s="160">
        <v>12</v>
      </c>
      <c r="E117" s="172">
        <f>+'ITEM_12,2'!M60</f>
        <v>1095066</v>
      </c>
      <c r="F117" s="162">
        <f t="shared" si="1"/>
        <v>13140792</v>
      </c>
      <c r="G117" s="118"/>
    </row>
    <row r="118" spans="1:7" s="119" customFormat="1" ht="62.25" customHeight="1">
      <c r="A118" s="158" t="s">
        <v>445</v>
      </c>
      <c r="B118" s="120" t="s">
        <v>418</v>
      </c>
      <c r="C118" s="159" t="s">
        <v>9</v>
      </c>
      <c r="D118" s="160">
        <v>70</v>
      </c>
      <c r="E118" s="172">
        <f>+'ITEM_12,3'!M60</f>
        <v>314985</v>
      </c>
      <c r="F118" s="162">
        <f t="shared" si="1"/>
        <v>22048950</v>
      </c>
      <c r="G118" s="118"/>
    </row>
    <row r="119" spans="1:7" s="119" customFormat="1" ht="81" customHeight="1">
      <c r="A119" s="158" t="s">
        <v>446</v>
      </c>
      <c r="B119" s="320" t="s">
        <v>421</v>
      </c>
      <c r="C119" s="159" t="s">
        <v>9</v>
      </c>
      <c r="D119" s="160">
        <v>14</v>
      </c>
      <c r="E119" s="172">
        <f>+'ITEM_12,4'!M60</f>
        <v>685335</v>
      </c>
      <c r="F119" s="162">
        <f t="shared" si="1"/>
        <v>9594690</v>
      </c>
      <c r="G119" s="118"/>
    </row>
    <row r="120" spans="1:7" s="119" customFormat="1" ht="51">
      <c r="A120" s="158" t="s">
        <v>447</v>
      </c>
      <c r="B120" s="320" t="s">
        <v>378</v>
      </c>
      <c r="C120" s="159" t="s">
        <v>9</v>
      </c>
      <c r="D120" s="160">
        <v>50</v>
      </c>
      <c r="E120" s="172">
        <f>+'ITEM_12,5'!M60</f>
        <v>725635</v>
      </c>
      <c r="F120" s="162">
        <f t="shared" si="1"/>
        <v>36281750</v>
      </c>
      <c r="G120" s="118"/>
    </row>
    <row r="121" spans="1:7" s="119" customFormat="1" ht="38.25">
      <c r="A121" s="158" t="s">
        <v>448</v>
      </c>
      <c r="B121" s="320" t="s">
        <v>379</v>
      </c>
      <c r="C121" s="159" t="s">
        <v>9</v>
      </c>
      <c r="D121" s="160">
        <v>20</v>
      </c>
      <c r="E121" s="172">
        <f>+'ITEM_12,6'!M60</f>
        <v>93384</v>
      </c>
      <c r="F121" s="162">
        <f t="shared" ref="F121:F133" si="2">ROUND(E121*D121,0)</f>
        <v>1867680</v>
      </c>
      <c r="G121" s="118"/>
    </row>
    <row r="122" spans="1:7" s="119" customFormat="1" ht="25.5">
      <c r="A122" s="158" t="s">
        <v>449</v>
      </c>
      <c r="B122" s="320" t="s">
        <v>380</v>
      </c>
      <c r="C122" s="159" t="s">
        <v>9</v>
      </c>
      <c r="D122" s="160">
        <v>20</v>
      </c>
      <c r="E122" s="172">
        <f>+'ITEM_12,7'!M60</f>
        <v>136950</v>
      </c>
      <c r="F122" s="162">
        <f t="shared" si="2"/>
        <v>2739000</v>
      </c>
      <c r="G122" s="118"/>
    </row>
    <row r="123" spans="1:7" s="119" customFormat="1" ht="36" customHeight="1">
      <c r="A123" s="158" t="s">
        <v>450</v>
      </c>
      <c r="B123" s="120" t="s">
        <v>381</v>
      </c>
      <c r="C123" s="159" t="s">
        <v>9</v>
      </c>
      <c r="D123" s="160">
        <v>18</v>
      </c>
      <c r="E123" s="172">
        <f>+'ITEM_12,8'!M60</f>
        <v>48742</v>
      </c>
      <c r="F123" s="162">
        <f t="shared" si="2"/>
        <v>877356</v>
      </c>
      <c r="G123" s="118"/>
    </row>
    <row r="124" spans="1:7" s="119" customFormat="1">
      <c r="A124" s="158" t="s">
        <v>451</v>
      </c>
      <c r="B124" s="123" t="s">
        <v>382</v>
      </c>
      <c r="C124" s="159" t="s">
        <v>9</v>
      </c>
      <c r="D124" s="160">
        <v>20</v>
      </c>
      <c r="E124" s="172">
        <f>+'ITEM_12,9'!M60</f>
        <v>86553</v>
      </c>
      <c r="F124" s="162">
        <f t="shared" si="2"/>
        <v>1731060</v>
      </c>
      <c r="G124" s="118"/>
    </row>
    <row r="125" spans="1:7" s="119" customFormat="1">
      <c r="A125" s="158" t="s">
        <v>452</v>
      </c>
      <c r="B125" s="123" t="s">
        <v>383</v>
      </c>
      <c r="C125" s="159" t="s">
        <v>9</v>
      </c>
      <c r="D125" s="160">
        <v>5</v>
      </c>
      <c r="E125" s="172">
        <f>+'ITEM_12,10'!M60</f>
        <v>44416</v>
      </c>
      <c r="F125" s="162">
        <f t="shared" si="2"/>
        <v>222080</v>
      </c>
      <c r="G125" s="118"/>
    </row>
    <row r="126" spans="1:7" s="119" customFormat="1">
      <c r="A126" s="277">
        <v>12</v>
      </c>
      <c r="B126" s="278" t="s">
        <v>358</v>
      </c>
      <c r="C126" s="279"/>
      <c r="D126" s="280"/>
      <c r="E126" s="281"/>
      <c r="F126" s="282"/>
      <c r="G126" s="118">
        <f>SUM(F127:F130)</f>
        <v>26467945</v>
      </c>
    </row>
    <row r="127" spans="1:7" s="119" customFormat="1" ht="25.5">
      <c r="A127" s="262">
        <v>12.1</v>
      </c>
      <c r="B127" s="120" t="s">
        <v>439</v>
      </c>
      <c r="C127" s="163" t="s">
        <v>11</v>
      </c>
      <c r="D127" s="164">
        <v>1</v>
      </c>
      <c r="E127" s="171">
        <f>+'ITEM_13,1'!M60</f>
        <v>9606859</v>
      </c>
      <c r="F127" s="162">
        <f t="shared" si="2"/>
        <v>9606859</v>
      </c>
      <c r="G127" s="118"/>
    </row>
    <row r="128" spans="1:7" s="119" customFormat="1" ht="25.5">
      <c r="A128" s="262">
        <v>12.2</v>
      </c>
      <c r="B128" s="120" t="s">
        <v>440</v>
      </c>
      <c r="C128" s="163" t="s">
        <v>11</v>
      </c>
      <c r="D128" s="164">
        <v>4</v>
      </c>
      <c r="E128" s="171">
        <f>+'ITEM_13,2'!M60</f>
        <v>2821159</v>
      </c>
      <c r="F128" s="162">
        <f t="shared" si="2"/>
        <v>11284636</v>
      </c>
      <c r="G128" s="118"/>
    </row>
    <row r="129" spans="1:11" s="119" customFormat="1" ht="38.25">
      <c r="A129" s="262">
        <v>12.3</v>
      </c>
      <c r="B129" s="120" t="s">
        <v>385</v>
      </c>
      <c r="C129" s="163" t="s">
        <v>8</v>
      </c>
      <c r="D129" s="164">
        <v>12</v>
      </c>
      <c r="E129" s="171">
        <v>298600</v>
      </c>
      <c r="F129" s="162">
        <f t="shared" si="2"/>
        <v>3583200</v>
      </c>
      <c r="G129" s="118"/>
    </row>
    <row r="130" spans="1:11" s="119" customFormat="1" ht="25.5">
      <c r="A130" s="262">
        <v>12.4</v>
      </c>
      <c r="B130" s="120" t="s">
        <v>388</v>
      </c>
      <c r="C130" s="163" t="s">
        <v>11</v>
      </c>
      <c r="D130" s="164">
        <v>5</v>
      </c>
      <c r="E130" s="171">
        <v>398650</v>
      </c>
      <c r="F130" s="162">
        <f t="shared" si="2"/>
        <v>1993250</v>
      </c>
      <c r="G130" s="118"/>
    </row>
    <row r="131" spans="1:11" s="119" customFormat="1">
      <c r="A131" s="277">
        <v>13</v>
      </c>
      <c r="B131" s="278" t="s">
        <v>26</v>
      </c>
      <c r="C131" s="279"/>
      <c r="D131" s="280"/>
      <c r="E131" s="281"/>
      <c r="F131" s="282"/>
      <c r="G131" s="118">
        <f>SUM(F132:F133)</f>
        <v>14544820</v>
      </c>
    </row>
    <row r="132" spans="1:11" s="119" customFormat="1">
      <c r="A132" s="158">
        <v>13.1</v>
      </c>
      <c r="B132" s="120" t="s">
        <v>386</v>
      </c>
      <c r="C132" s="159" t="s">
        <v>9</v>
      </c>
      <c r="D132" s="160">
        <v>420</v>
      </c>
      <c r="E132" s="172">
        <f>+'ITEM_14,1'!M60</f>
        <v>5104</v>
      </c>
      <c r="F132" s="162">
        <f t="shared" si="2"/>
        <v>2143680</v>
      </c>
      <c r="G132" s="118"/>
    </row>
    <row r="133" spans="1:11" s="119" customFormat="1">
      <c r="A133" s="262">
        <v>13.2</v>
      </c>
      <c r="B133" s="120" t="s">
        <v>387</v>
      </c>
      <c r="C133" s="163" t="s">
        <v>10</v>
      </c>
      <c r="D133" s="164">
        <v>230</v>
      </c>
      <c r="E133" s="171">
        <f>+ITEM_14.2!M58</f>
        <v>53918</v>
      </c>
      <c r="F133" s="162">
        <f t="shared" si="2"/>
        <v>12401140</v>
      </c>
      <c r="G133" s="118"/>
    </row>
    <row r="134" spans="1:11" s="115" customFormat="1" ht="15" customHeight="1">
      <c r="A134" s="292"/>
      <c r="B134" s="293"/>
      <c r="C134" s="294"/>
      <c r="D134" s="164"/>
      <c r="E134" s="295" t="s">
        <v>13</v>
      </c>
      <c r="F134" s="296">
        <f>SUM(F4:F133)</f>
        <v>610056160</v>
      </c>
    </row>
    <row r="135" spans="1:11" s="115" customFormat="1" ht="15" customHeight="1">
      <c r="A135" s="292"/>
      <c r="B135" s="163"/>
      <c r="C135" s="294"/>
      <c r="D135" s="164"/>
      <c r="E135" s="318" t="s">
        <v>27</v>
      </c>
      <c r="F135" s="297">
        <f>F134*19%</f>
        <v>115910670.40000001</v>
      </c>
    </row>
    <row r="136" spans="1:11" s="115" customFormat="1" ht="15" customHeight="1">
      <c r="A136" s="292"/>
      <c r="B136" s="163"/>
      <c r="C136" s="294"/>
      <c r="D136" s="164"/>
      <c r="E136" s="295" t="s">
        <v>14</v>
      </c>
      <c r="F136" s="297">
        <f>F134*1%</f>
        <v>6100561.6000000006</v>
      </c>
    </row>
    <row r="137" spans="1:11" s="115" customFormat="1" ht="15" customHeight="1">
      <c r="A137" s="292"/>
      <c r="B137" s="163"/>
      <c r="C137" s="294"/>
      <c r="D137" s="164"/>
      <c r="E137" s="295" t="s">
        <v>15</v>
      </c>
      <c r="F137" s="297">
        <f>F134*5%</f>
        <v>30502808</v>
      </c>
      <c r="H137" s="135"/>
      <c r="J137" s="117"/>
    </row>
    <row r="138" spans="1:11" s="115" customFormat="1" ht="15" customHeight="1">
      <c r="A138" s="292"/>
      <c r="B138" s="163"/>
      <c r="C138" s="294"/>
      <c r="D138" s="164"/>
      <c r="E138" s="295" t="s">
        <v>16</v>
      </c>
      <c r="F138" s="297">
        <f>F137*19%</f>
        <v>5795533.5200000005</v>
      </c>
    </row>
    <row r="139" spans="1:11" s="115" customFormat="1" ht="15" customHeight="1">
      <c r="A139" s="292"/>
      <c r="B139" s="163"/>
      <c r="C139" s="294"/>
      <c r="D139" s="164"/>
      <c r="E139" s="295" t="s">
        <v>17</v>
      </c>
      <c r="F139" s="296">
        <f>SUM(F135:F138)</f>
        <v>158309573.52000001</v>
      </c>
      <c r="H139" s="117"/>
    </row>
    <row r="140" spans="1:11" s="115" customFormat="1" ht="15" customHeight="1">
      <c r="A140" s="298"/>
      <c r="B140" s="298"/>
      <c r="C140" s="299"/>
      <c r="D140" s="299"/>
      <c r="E140" s="295" t="s">
        <v>18</v>
      </c>
      <c r="F140" s="296">
        <f>ROUND(F134+F139,0)</f>
        <v>768365734</v>
      </c>
      <c r="G140" s="321">
        <f>+F140+396632018</f>
        <v>1164997752</v>
      </c>
    </row>
    <row r="141" spans="1:11" s="115" customFormat="1" ht="19.5" customHeight="1">
      <c r="A141" s="126"/>
      <c r="B141" s="126"/>
      <c r="C141" s="127"/>
      <c r="D141" s="128"/>
      <c r="E141" s="129"/>
      <c r="F141" s="129"/>
      <c r="G141" s="138"/>
      <c r="H141" s="138"/>
      <c r="I141" s="138"/>
      <c r="J141" s="138"/>
      <c r="K141" s="138"/>
    </row>
    <row r="142" spans="1:11">
      <c r="A142" s="130"/>
      <c r="B142" s="131"/>
      <c r="C142" s="132"/>
      <c r="D142" s="124"/>
      <c r="E142" s="133"/>
      <c r="F142" s="134"/>
    </row>
    <row r="143" spans="1:11" ht="36.75" customHeight="1">
      <c r="A143" s="130"/>
      <c r="B143" s="131"/>
      <c r="C143" s="125"/>
      <c r="D143" s="124"/>
      <c r="E143" s="133"/>
      <c r="F143" s="136"/>
    </row>
    <row r="144" spans="1:11">
      <c r="A144" s="130"/>
      <c r="B144" s="372" t="s">
        <v>465</v>
      </c>
      <c r="C144" s="125"/>
      <c r="D144" s="124"/>
      <c r="E144" s="133"/>
      <c r="F144" s="136"/>
    </row>
    <row r="145" spans="1:6">
      <c r="A145" s="137"/>
      <c r="B145" s="373" t="s">
        <v>466</v>
      </c>
      <c r="C145" s="125"/>
      <c r="D145" s="124"/>
      <c r="E145" s="133"/>
      <c r="F145" s="136"/>
    </row>
    <row r="146" spans="1:6">
      <c r="A146" s="371"/>
      <c r="B146" s="374" t="s">
        <v>467</v>
      </c>
      <c r="C146" s="371"/>
      <c r="D146" s="371"/>
      <c r="E146" s="371"/>
      <c r="F146" s="138"/>
    </row>
    <row r="147" spans="1:6">
      <c r="A147" s="377"/>
      <c r="B147" s="377"/>
      <c r="C147" s="377"/>
      <c r="D147" s="377"/>
      <c r="E147" s="377"/>
    </row>
    <row r="150" spans="1:6">
      <c r="B150" s="141"/>
      <c r="E150" s="142"/>
    </row>
    <row r="151" spans="1:6">
      <c r="B151" s="143"/>
      <c r="E151" s="144"/>
    </row>
  </sheetData>
  <mergeCells count="2">
    <mergeCell ref="A1:F1"/>
    <mergeCell ref="A147:E147"/>
  </mergeCells>
  <phoneticPr fontId="16" type="noConversion"/>
  <dataValidations count="1">
    <dataValidation showDropDown="1" showInputMessage="1" showErrorMessage="1" sqref="E135:E139 E142:E145 E58:E61 E23:E38 E40:E48 E102:E104 E3:E21 E50:E56 E63:E90 E92:E100 E106:E133"/>
  </dataValidations>
  <printOptions horizontalCentered="1"/>
  <pageMargins left="0.7" right="0.7" top="0.75" bottom="0.75" header="0.3" footer="0.3"/>
  <pageSetup scale="69" fitToHeight="0" orientation="portrait" r:id="rId1"/>
  <rowBreaks count="4" manualBreakCount="4">
    <brk id="52" max="5" man="1"/>
    <brk id="80" max="5" man="1"/>
    <brk id="93" max="5" man="1"/>
    <brk id="118" max="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topLeftCell="A40" zoomScale="80" zoomScaleNormal="100" zoomScaleSheetLayoutView="80" workbookViewId="0">
      <selection activeCell="M58" sqref="M58"/>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08"/>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09" t="s">
        <v>71</v>
      </c>
      <c r="H12" s="394"/>
      <c r="I12" s="394"/>
      <c r="J12" s="23"/>
      <c r="K12" s="23"/>
      <c r="L12" s="23"/>
      <c r="M12" s="24"/>
    </row>
    <row r="13" spans="1:13">
      <c r="A13" s="25" t="s">
        <v>72</v>
      </c>
      <c r="B13" s="26"/>
      <c r="C13" s="395" t="s">
        <v>136</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09"/>
      <c r="D17" s="109"/>
      <c r="E17" s="109"/>
      <c r="F17" s="109"/>
      <c r="G17" s="109"/>
      <c r="H17" s="109"/>
      <c r="I17" s="109"/>
      <c r="J17" s="109"/>
      <c r="K17" s="109"/>
      <c r="L17" s="109"/>
      <c r="M17" s="13"/>
    </row>
    <row r="18" spans="1:13">
      <c r="A18" s="25" t="s">
        <v>74</v>
      </c>
      <c r="B18" s="26"/>
      <c r="C18" s="379"/>
      <c r="D18" s="379"/>
      <c r="E18" s="379"/>
      <c r="F18" s="379"/>
      <c r="G18" s="379"/>
      <c r="H18" s="379"/>
      <c r="I18" s="379"/>
      <c r="J18" s="379"/>
      <c r="K18" s="379"/>
      <c r="L18" s="379"/>
      <c r="M18" s="380"/>
    </row>
    <row r="19" spans="1:13">
      <c r="A19" s="25"/>
      <c r="B19" s="26"/>
      <c r="C19" s="109"/>
      <c r="D19" s="109"/>
      <c r="E19" s="109"/>
      <c r="F19" s="109"/>
      <c r="G19" s="109"/>
      <c r="H19" s="109"/>
      <c r="I19" s="109"/>
      <c r="J19" s="109"/>
      <c r="K19" s="109"/>
      <c r="L19" s="109"/>
      <c r="M19" s="13"/>
    </row>
    <row r="20" spans="1:13" ht="31.5" customHeight="1">
      <c r="A20" s="464" t="s">
        <v>113</v>
      </c>
      <c r="B20" s="465"/>
      <c r="C20" s="379"/>
      <c r="D20" s="379"/>
      <c r="E20" s="379"/>
      <c r="F20" s="379"/>
      <c r="G20" s="379"/>
      <c r="H20" s="379"/>
      <c r="I20" s="379"/>
      <c r="J20" s="379"/>
      <c r="K20" s="379"/>
      <c r="L20" s="379"/>
      <c r="M20" s="380"/>
    </row>
    <row r="21" spans="1:13">
      <c r="A21" s="400"/>
      <c r="B21" s="401"/>
      <c r="C21" s="109"/>
      <c r="D21" s="109"/>
      <c r="E21" s="109"/>
      <c r="F21" s="109"/>
      <c r="G21" s="109"/>
      <c r="H21" s="109"/>
      <c r="I21" s="109"/>
      <c r="J21" s="109"/>
      <c r="K21" s="109"/>
      <c r="L21" s="109"/>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03" t="s">
        <v>78</v>
      </c>
      <c r="K25" s="408" t="s">
        <v>79</v>
      </c>
      <c r="L25" s="409"/>
      <c r="M25" s="31" t="s">
        <v>80</v>
      </c>
    </row>
    <row r="26" spans="1:13" ht="15.75" thickBot="1">
      <c r="A26" s="33"/>
      <c r="B26" s="391" t="s">
        <v>145</v>
      </c>
      <c r="C26" s="392"/>
      <c r="D26" s="392"/>
      <c r="E26" s="392"/>
      <c r="F26" s="392"/>
      <c r="G26" s="392"/>
      <c r="H26" s="392"/>
      <c r="I26" s="393"/>
      <c r="J26" s="100">
        <v>1</v>
      </c>
      <c r="K26" s="391" t="s">
        <v>9</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10" t="s">
        <v>83</v>
      </c>
      <c r="K30" s="421" t="s">
        <v>84</v>
      </c>
      <c r="L30" s="424"/>
      <c r="M30" s="44" t="s">
        <v>85</v>
      </c>
    </row>
    <row r="31" spans="1:13">
      <c r="A31" s="425" t="s">
        <v>134</v>
      </c>
      <c r="B31" s="426"/>
      <c r="C31" s="426"/>
      <c r="D31" s="426"/>
      <c r="E31" s="427"/>
      <c r="F31" s="428" t="s">
        <v>123</v>
      </c>
      <c r="G31" s="429"/>
      <c r="H31" s="430" t="s">
        <v>86</v>
      </c>
      <c r="I31" s="427"/>
      <c r="J31" s="72">
        <v>70067</v>
      </c>
      <c r="K31" s="468">
        <v>50</v>
      </c>
      <c r="L31" s="469"/>
      <c r="M31" s="46">
        <f>J31/K31</f>
        <v>1401.34</v>
      </c>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1401.34</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05" t="s">
        <v>79</v>
      </c>
      <c r="J37" s="110" t="s">
        <v>80</v>
      </c>
      <c r="K37" s="421" t="s">
        <v>89</v>
      </c>
      <c r="L37" s="424"/>
      <c r="M37" s="44" t="s">
        <v>85</v>
      </c>
    </row>
    <row r="38" spans="1:13">
      <c r="A38" s="425"/>
      <c r="B38" s="426"/>
      <c r="C38" s="426"/>
      <c r="D38" s="426"/>
      <c r="E38" s="426"/>
      <c r="F38" s="426"/>
      <c r="G38" s="426"/>
      <c r="H38" s="427"/>
      <c r="I38" s="73"/>
      <c r="J38" s="45"/>
      <c r="K38" s="456"/>
      <c r="L38" s="457"/>
      <c r="M38" s="56"/>
    </row>
    <row r="39" spans="1:13">
      <c r="A39" s="425"/>
      <c r="B39" s="426"/>
      <c r="C39" s="426"/>
      <c r="D39" s="426"/>
      <c r="E39" s="426"/>
      <c r="F39" s="426"/>
      <c r="G39" s="426"/>
      <c r="H39" s="427"/>
      <c r="I39" s="73"/>
      <c r="J39" s="45"/>
      <c r="K39" s="456"/>
      <c r="L39" s="457"/>
      <c r="M39" s="56"/>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ht="15.75" thickBot="1">
      <c r="A42" s="410"/>
      <c r="B42" s="411"/>
      <c r="C42" s="411"/>
      <c r="D42" s="411"/>
      <c r="E42" s="411"/>
      <c r="F42" s="411"/>
      <c r="G42" s="411"/>
      <c r="H42" s="412"/>
      <c r="I42" s="74"/>
      <c r="J42" s="57"/>
      <c r="K42" s="466"/>
      <c r="L42" s="467"/>
      <c r="M42" s="75"/>
    </row>
    <row r="43" spans="1:13" ht="15.75" thickBot="1">
      <c r="A43" s="416" t="s">
        <v>87</v>
      </c>
      <c r="B43" s="417"/>
      <c r="C43" s="417"/>
      <c r="D43" s="417"/>
      <c r="E43" s="417"/>
      <c r="F43" s="417"/>
      <c r="G43" s="417"/>
      <c r="H43" s="417"/>
      <c r="I43" s="417"/>
      <c r="J43" s="417"/>
      <c r="K43" s="417"/>
      <c r="L43" s="418"/>
      <c r="M43" s="58">
        <f>SUM(M38:M42)</f>
        <v>0</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110" t="s">
        <v>92</v>
      </c>
      <c r="I47" s="104" t="s">
        <v>93</v>
      </c>
      <c r="J47" s="60" t="s">
        <v>94</v>
      </c>
      <c r="K47" s="421" t="s">
        <v>95</v>
      </c>
      <c r="L47" s="424"/>
      <c r="M47" s="44" t="s">
        <v>85</v>
      </c>
    </row>
    <row r="48" spans="1:13">
      <c r="A48" s="425"/>
      <c r="B48" s="426"/>
      <c r="C48" s="426"/>
      <c r="D48" s="426"/>
      <c r="E48" s="426"/>
      <c r="F48" s="426"/>
      <c r="G48" s="426"/>
      <c r="H48" s="61"/>
      <c r="I48" s="55"/>
      <c r="J48" s="61"/>
      <c r="K48" s="428"/>
      <c r="L48" s="429"/>
      <c r="M48" s="62"/>
    </row>
    <row r="49" spans="1:15" ht="15.75" thickBot="1">
      <c r="A49" s="410"/>
      <c r="B49" s="411"/>
      <c r="C49" s="411"/>
      <c r="D49" s="411"/>
      <c r="E49" s="411"/>
      <c r="F49" s="411"/>
      <c r="G49" s="411"/>
      <c r="H49" s="47"/>
      <c r="I49" s="15"/>
      <c r="J49" s="47"/>
      <c r="K49" s="414"/>
      <c r="L49" s="415"/>
      <c r="M49" s="48"/>
    </row>
    <row r="50" spans="1:15" ht="15.75" thickBot="1">
      <c r="A50" s="416" t="s">
        <v>87</v>
      </c>
      <c r="B50" s="417"/>
      <c r="C50" s="417"/>
      <c r="D50" s="417"/>
      <c r="E50" s="417"/>
      <c r="F50" s="417"/>
      <c r="G50" s="417"/>
      <c r="H50" s="417"/>
      <c r="I50" s="417"/>
      <c r="J50" s="417"/>
      <c r="K50" s="417"/>
      <c r="L50" s="418"/>
      <c r="M50" s="63">
        <f>SUM(M48:M49)</f>
        <v>0</v>
      </c>
    </row>
    <row r="51" spans="1:15">
      <c r="A51" s="30"/>
      <c r="B51" s="19"/>
      <c r="C51" s="19"/>
      <c r="D51" s="19"/>
      <c r="E51" s="19"/>
      <c r="F51" s="19"/>
      <c r="G51" s="19"/>
      <c r="H51" s="19"/>
      <c r="I51" s="19"/>
      <c r="J51" s="19"/>
      <c r="K51" s="19"/>
      <c r="L51" s="19"/>
      <c r="M51" s="24"/>
    </row>
    <row r="52" spans="1:15">
      <c r="A52" s="51" t="s">
        <v>96</v>
      </c>
      <c r="B52" s="52"/>
      <c r="C52" s="52"/>
      <c r="D52" s="52"/>
      <c r="E52" s="52"/>
      <c r="F52" s="52"/>
      <c r="G52" s="52"/>
      <c r="H52" s="52"/>
      <c r="I52" s="52"/>
      <c r="J52" s="52"/>
      <c r="K52" s="52"/>
      <c r="L52" s="52"/>
      <c r="M52" s="53"/>
    </row>
    <row r="53" spans="1:15" ht="15.75" thickBot="1">
      <c r="A53" s="30"/>
      <c r="B53" s="19"/>
      <c r="C53" s="19"/>
      <c r="D53" s="19"/>
      <c r="E53" s="19"/>
      <c r="F53" s="19"/>
      <c r="G53" s="19"/>
      <c r="H53" s="19"/>
      <c r="I53" s="19"/>
      <c r="J53" s="19"/>
      <c r="K53" s="19"/>
      <c r="L53" s="19"/>
      <c r="M53" s="24"/>
    </row>
    <row r="54" spans="1:15" ht="26.25">
      <c r="A54" s="453" t="s">
        <v>97</v>
      </c>
      <c r="B54" s="454"/>
      <c r="C54" s="454"/>
      <c r="D54" s="454"/>
      <c r="E54" s="454"/>
      <c r="F54" s="454"/>
      <c r="G54" s="454"/>
      <c r="H54" s="110" t="s">
        <v>98</v>
      </c>
      <c r="I54" s="111" t="s">
        <v>99</v>
      </c>
      <c r="J54" s="111" t="s">
        <v>100</v>
      </c>
      <c r="K54" s="455" t="s">
        <v>84</v>
      </c>
      <c r="L54" s="455"/>
      <c r="M54" s="65" t="s">
        <v>85</v>
      </c>
    </row>
    <row r="55" spans="1:15" ht="15.75" thickBot="1">
      <c r="A55" s="432" t="s">
        <v>122</v>
      </c>
      <c r="B55" s="433"/>
      <c r="C55" s="433"/>
      <c r="D55" s="433"/>
      <c r="E55" s="433"/>
      <c r="F55" s="433"/>
      <c r="G55" s="433"/>
      <c r="H55" s="3">
        <v>85839.318181818162</v>
      </c>
      <c r="I55" s="4">
        <v>2.2000000000000002</v>
      </c>
      <c r="J55" s="67">
        <f>(I55*H55)</f>
        <v>188846.49999999997</v>
      </c>
      <c r="K55" s="434">
        <v>23.990683032627196</v>
      </c>
      <c r="L55" s="434"/>
      <c r="M55" s="68">
        <f>J55/K55</f>
        <v>7871.659999974564</v>
      </c>
    </row>
    <row r="56" spans="1:15" ht="15.75" thickBot="1">
      <c r="A56" s="435" t="s">
        <v>87</v>
      </c>
      <c r="B56" s="436"/>
      <c r="C56" s="436"/>
      <c r="D56" s="436"/>
      <c r="E56" s="436"/>
      <c r="F56" s="436"/>
      <c r="G56" s="436"/>
      <c r="H56" s="436"/>
      <c r="I56" s="436"/>
      <c r="J56" s="436"/>
      <c r="K56" s="436"/>
      <c r="L56" s="437"/>
      <c r="M56" s="69">
        <f>SUM(M55:M55)</f>
        <v>7871.659999974564</v>
      </c>
      <c r="O56" s="155"/>
    </row>
    <row r="57" spans="1:15" ht="15.75" thickBot="1">
      <c r="A57" s="30"/>
      <c r="B57" s="19"/>
      <c r="C57" s="19"/>
      <c r="D57" s="19"/>
      <c r="E57" s="19"/>
      <c r="F57" s="19"/>
      <c r="G57" s="19"/>
      <c r="H57" s="19"/>
      <c r="I57" s="19"/>
      <c r="J57" s="19"/>
      <c r="K57" s="19"/>
      <c r="L57" s="19"/>
      <c r="M57" s="24"/>
    </row>
    <row r="58" spans="1:15" ht="15.75" thickBot="1">
      <c r="A58" s="416" t="s">
        <v>101</v>
      </c>
      <c r="B58" s="417"/>
      <c r="C58" s="417"/>
      <c r="D58" s="417"/>
      <c r="E58" s="417"/>
      <c r="F58" s="417"/>
      <c r="G58" s="417"/>
      <c r="H58" s="417"/>
      <c r="I58" s="417"/>
      <c r="J58" s="417"/>
      <c r="K58" s="417"/>
      <c r="L58" s="418"/>
      <c r="M58" s="70">
        <f>ROUND(M56+M50+M43+M33,0)</f>
        <v>9273</v>
      </c>
      <c r="N58" s="155"/>
    </row>
    <row r="59" spans="1:15">
      <c r="A59" s="30"/>
      <c r="B59" s="19"/>
      <c r="C59" s="19"/>
      <c r="D59" s="19"/>
      <c r="E59" s="19"/>
      <c r="F59" s="19"/>
      <c r="G59" s="19"/>
      <c r="H59" s="19"/>
      <c r="I59" s="19"/>
      <c r="J59" s="19"/>
      <c r="K59" s="19"/>
      <c r="L59" s="19"/>
      <c r="M59" s="24"/>
    </row>
    <row r="60" spans="1:15">
      <c r="A60" s="51" t="s">
        <v>102</v>
      </c>
      <c r="B60" s="52"/>
      <c r="C60" s="52"/>
      <c r="D60" s="52"/>
      <c r="E60" s="52"/>
      <c r="F60" s="52"/>
      <c r="G60" s="52"/>
      <c r="H60" s="52"/>
      <c r="I60" s="52"/>
      <c r="J60" s="52"/>
      <c r="K60" s="52"/>
      <c r="L60" s="52"/>
      <c r="M60" s="53"/>
    </row>
    <row r="61" spans="1:15" ht="15.75" thickBot="1">
      <c r="A61" s="30"/>
      <c r="B61" s="19"/>
      <c r="C61" s="19"/>
      <c r="D61" s="19"/>
      <c r="E61" s="19"/>
      <c r="F61" s="19"/>
      <c r="G61" s="19"/>
      <c r="H61" s="19"/>
      <c r="I61" s="19"/>
      <c r="J61" s="19"/>
      <c r="K61" s="19"/>
      <c r="L61" s="19"/>
      <c r="M61" s="24"/>
    </row>
    <row r="62" spans="1:15" ht="15.75" thickBot="1">
      <c r="A62" s="438" t="s">
        <v>103</v>
      </c>
      <c r="B62" s="439"/>
      <c r="C62" s="439"/>
      <c r="D62" s="439"/>
      <c r="E62" s="439"/>
      <c r="F62" s="439"/>
      <c r="G62" s="439"/>
      <c r="H62" s="106"/>
      <c r="I62" s="107"/>
      <c r="J62" s="81" t="s">
        <v>104</v>
      </c>
      <c r="K62" s="440" t="s">
        <v>105</v>
      </c>
      <c r="L62" s="441"/>
      <c r="M62" s="82"/>
    </row>
    <row r="63" spans="1:15">
      <c r="A63" s="442" t="s">
        <v>106</v>
      </c>
      <c r="B63" s="443"/>
      <c r="C63" s="443"/>
      <c r="D63" s="443"/>
      <c r="E63" s="443"/>
      <c r="F63" s="443"/>
      <c r="G63" s="443"/>
      <c r="H63" s="83"/>
      <c r="I63" s="84"/>
      <c r="J63" s="85">
        <v>0.19</v>
      </c>
      <c r="K63" s="444">
        <f>M58*J63</f>
        <v>1761.8700000000001</v>
      </c>
      <c r="L63" s="444"/>
      <c r="M63" s="86"/>
    </row>
    <row r="64" spans="1:15">
      <c r="A64" s="447" t="s">
        <v>107</v>
      </c>
      <c r="B64" s="448"/>
      <c r="C64" s="448"/>
      <c r="D64" s="448"/>
      <c r="E64" s="448"/>
      <c r="F64" s="448"/>
      <c r="G64" s="449"/>
      <c r="H64" s="77"/>
      <c r="I64" s="78"/>
      <c r="J64" s="5">
        <v>0.01</v>
      </c>
      <c r="K64" s="445">
        <f>M58*J64</f>
        <v>92.73</v>
      </c>
      <c r="L64" s="445"/>
      <c r="M64" s="6"/>
    </row>
    <row r="65" spans="1:13">
      <c r="A65" s="447" t="s">
        <v>108</v>
      </c>
      <c r="B65" s="448"/>
      <c r="C65" s="448"/>
      <c r="D65" s="448"/>
      <c r="E65" s="448"/>
      <c r="F65" s="448"/>
      <c r="G65" s="449"/>
      <c r="H65" s="77"/>
      <c r="I65" s="78"/>
      <c r="J65" s="5">
        <v>0.05</v>
      </c>
      <c r="K65" s="445">
        <f>M58*J65</f>
        <v>463.65000000000003</v>
      </c>
      <c r="L65" s="445"/>
      <c r="M65" s="6"/>
    </row>
    <row r="66" spans="1:13" ht="15.75" thickBot="1">
      <c r="A66" s="450" t="s">
        <v>117</v>
      </c>
      <c r="B66" s="451"/>
      <c r="C66" s="451"/>
      <c r="D66" s="451"/>
      <c r="E66" s="451"/>
      <c r="F66" s="451"/>
      <c r="G66" s="452"/>
      <c r="H66" s="87"/>
      <c r="I66" s="88"/>
      <c r="J66" s="89">
        <v>0.19</v>
      </c>
      <c r="K66" s="446">
        <f>K65*J66</f>
        <v>88.093500000000006</v>
      </c>
      <c r="L66" s="446"/>
      <c r="M66" s="90"/>
    </row>
    <row r="67" spans="1:13" ht="15.75" thickBot="1">
      <c r="A67" s="435" t="s">
        <v>87</v>
      </c>
      <c r="B67" s="436"/>
      <c r="C67" s="436"/>
      <c r="D67" s="436"/>
      <c r="E67" s="436"/>
      <c r="F67" s="436"/>
      <c r="G67" s="436"/>
      <c r="H67" s="436"/>
      <c r="I67" s="436"/>
      <c r="J67" s="436"/>
      <c r="K67" s="436"/>
      <c r="L67" s="437"/>
      <c r="M67" s="76">
        <f>SUM(K63:L66)</f>
        <v>2406.3434999999999</v>
      </c>
    </row>
    <row r="68" spans="1:13" ht="15.75" thickBot="1">
      <c r="A68" s="30"/>
      <c r="B68" s="19"/>
      <c r="C68" s="19"/>
      <c r="D68" s="19"/>
      <c r="E68" s="19"/>
      <c r="F68" s="19"/>
      <c r="G68" s="19"/>
      <c r="H68" s="19"/>
      <c r="I68" s="19"/>
      <c r="J68" s="19"/>
      <c r="K68" s="19"/>
      <c r="L68" s="19"/>
      <c r="M68" s="24"/>
    </row>
    <row r="69" spans="1:13" ht="15.75" thickBot="1">
      <c r="A69" s="416" t="s">
        <v>109</v>
      </c>
      <c r="B69" s="417"/>
      <c r="C69" s="417"/>
      <c r="D69" s="417"/>
      <c r="E69" s="417"/>
      <c r="F69" s="417"/>
      <c r="G69" s="417"/>
      <c r="H69" s="417"/>
      <c r="I69" s="417"/>
      <c r="J69" s="417"/>
      <c r="K69" s="417"/>
      <c r="L69" s="418"/>
      <c r="M69" s="71">
        <f>ROUND(M58+M67,0)</f>
        <v>11679</v>
      </c>
    </row>
  </sheetData>
  <mergeCells count="71">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L56"/>
    <mergeCell ref="A58:L58"/>
    <mergeCell ref="A62:G62"/>
    <mergeCell ref="K62:L62"/>
    <mergeCell ref="A66:G66"/>
    <mergeCell ref="K66:L66"/>
    <mergeCell ref="A67:L67"/>
    <mergeCell ref="A69:L69"/>
    <mergeCell ref="A63:G63"/>
    <mergeCell ref="K63:L63"/>
    <mergeCell ref="A64:G64"/>
    <mergeCell ref="K64:L64"/>
    <mergeCell ref="A65:G65"/>
    <mergeCell ref="K65:L65"/>
  </mergeCells>
  <pageMargins left="0.7" right="0.7" top="0.75" bottom="0.75" header="0.3" footer="0.3"/>
  <pageSetup scale="5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topLeftCell="A40" zoomScale="80" zoomScaleNormal="100" zoomScaleSheetLayoutView="80" workbookViewId="0">
      <selection activeCell="K66" sqref="K66:L66"/>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08"/>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09" t="s">
        <v>71</v>
      </c>
      <c r="H12" s="394"/>
      <c r="I12" s="394"/>
      <c r="J12" s="23"/>
      <c r="K12" s="23"/>
      <c r="L12" s="23"/>
      <c r="M12" s="24"/>
    </row>
    <row r="13" spans="1:13">
      <c r="A13" s="25" t="s">
        <v>72</v>
      </c>
      <c r="B13" s="26"/>
      <c r="C13" s="395" t="s">
        <v>136</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09"/>
      <c r="D17" s="109"/>
      <c r="E17" s="109"/>
      <c r="F17" s="109"/>
      <c r="G17" s="109"/>
      <c r="H17" s="109"/>
      <c r="I17" s="109"/>
      <c r="J17" s="109"/>
      <c r="K17" s="109"/>
      <c r="L17" s="109"/>
      <c r="M17" s="13"/>
    </row>
    <row r="18" spans="1:13">
      <c r="A18" s="25" t="s">
        <v>74</v>
      </c>
      <c r="B18" s="26"/>
      <c r="C18" s="379"/>
      <c r="D18" s="379"/>
      <c r="E18" s="379"/>
      <c r="F18" s="379"/>
      <c r="G18" s="379"/>
      <c r="H18" s="379"/>
      <c r="I18" s="379"/>
      <c r="J18" s="379"/>
      <c r="K18" s="379"/>
      <c r="L18" s="379"/>
      <c r="M18" s="380"/>
    </row>
    <row r="19" spans="1:13">
      <c r="A19" s="25"/>
      <c r="B19" s="26"/>
      <c r="C19" s="109"/>
      <c r="D19" s="109"/>
      <c r="E19" s="109"/>
      <c r="F19" s="109"/>
      <c r="G19" s="109"/>
      <c r="H19" s="109"/>
      <c r="I19" s="109"/>
      <c r="J19" s="109"/>
      <c r="K19" s="109"/>
      <c r="L19" s="109"/>
      <c r="M19" s="13"/>
    </row>
    <row r="20" spans="1:13" ht="31.5" customHeight="1">
      <c r="A20" s="464" t="s">
        <v>113</v>
      </c>
      <c r="B20" s="465"/>
      <c r="C20" s="379"/>
      <c r="D20" s="379"/>
      <c r="E20" s="379"/>
      <c r="F20" s="379"/>
      <c r="G20" s="379"/>
      <c r="H20" s="379"/>
      <c r="I20" s="379"/>
      <c r="J20" s="379"/>
      <c r="K20" s="379"/>
      <c r="L20" s="379"/>
      <c r="M20" s="380"/>
    </row>
    <row r="21" spans="1:13">
      <c r="A21" s="400"/>
      <c r="B21" s="401"/>
      <c r="C21" s="109"/>
      <c r="D21" s="109"/>
      <c r="E21" s="109"/>
      <c r="F21" s="109"/>
      <c r="G21" s="109"/>
      <c r="H21" s="109"/>
      <c r="I21" s="109"/>
      <c r="J21" s="109"/>
      <c r="K21" s="109"/>
      <c r="L21" s="109"/>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03" t="s">
        <v>78</v>
      </c>
      <c r="K25" s="408" t="s">
        <v>79</v>
      </c>
      <c r="L25" s="409"/>
      <c r="M25" s="31" t="s">
        <v>80</v>
      </c>
    </row>
    <row r="26" spans="1:13" ht="15.75" thickBot="1">
      <c r="A26" s="156"/>
      <c r="B26" s="391" t="s">
        <v>146</v>
      </c>
      <c r="C26" s="392"/>
      <c r="D26" s="392"/>
      <c r="E26" s="392"/>
      <c r="F26" s="392"/>
      <c r="G26" s="392"/>
      <c r="H26" s="392"/>
      <c r="I26" s="393"/>
      <c r="J26" s="100">
        <v>1</v>
      </c>
      <c r="K26" s="391" t="s">
        <v>9</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10" t="s">
        <v>83</v>
      </c>
      <c r="K30" s="421" t="s">
        <v>84</v>
      </c>
      <c r="L30" s="424"/>
      <c r="M30" s="44" t="s">
        <v>85</v>
      </c>
    </row>
    <row r="31" spans="1:13">
      <c r="A31" s="425" t="s">
        <v>134</v>
      </c>
      <c r="B31" s="426"/>
      <c r="C31" s="426"/>
      <c r="D31" s="426"/>
      <c r="E31" s="427"/>
      <c r="F31" s="428" t="s">
        <v>123</v>
      </c>
      <c r="G31" s="429"/>
      <c r="H31" s="430" t="s">
        <v>86</v>
      </c>
      <c r="I31" s="427"/>
      <c r="J31" s="72">
        <v>70067</v>
      </c>
      <c r="K31" s="468">
        <v>25</v>
      </c>
      <c r="L31" s="469"/>
      <c r="M31" s="46">
        <f>J31/K31</f>
        <v>2802.68</v>
      </c>
    </row>
    <row r="32" spans="1:13" ht="15.75" thickBot="1">
      <c r="A32" s="410" t="s">
        <v>124</v>
      </c>
      <c r="B32" s="411"/>
      <c r="C32" s="411"/>
      <c r="D32" s="411"/>
      <c r="E32" s="412"/>
      <c r="F32" s="414" t="s">
        <v>125</v>
      </c>
      <c r="G32" s="415"/>
      <c r="H32" s="413" t="s">
        <v>86</v>
      </c>
      <c r="I32" s="412"/>
      <c r="J32" s="157">
        <f>M56*10%</f>
        <v>1653.8320000234694</v>
      </c>
      <c r="K32" s="414">
        <v>1</v>
      </c>
      <c r="L32" s="415"/>
      <c r="M32" s="48"/>
    </row>
    <row r="33" spans="1:13" ht="15.75" thickBot="1">
      <c r="A33" s="416" t="s">
        <v>87</v>
      </c>
      <c r="B33" s="417"/>
      <c r="C33" s="417"/>
      <c r="D33" s="417"/>
      <c r="E33" s="417"/>
      <c r="F33" s="417"/>
      <c r="G33" s="417"/>
      <c r="H33" s="417"/>
      <c r="I33" s="417"/>
      <c r="J33" s="417"/>
      <c r="K33" s="417"/>
      <c r="L33" s="418"/>
      <c r="M33" s="49">
        <f>SUM(M31:M32)</f>
        <v>2802.68</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05" t="s">
        <v>79</v>
      </c>
      <c r="J37" s="110" t="s">
        <v>80</v>
      </c>
      <c r="K37" s="421" t="s">
        <v>89</v>
      </c>
      <c r="L37" s="424"/>
      <c r="M37" s="44" t="s">
        <v>85</v>
      </c>
    </row>
    <row r="38" spans="1:13">
      <c r="A38" s="425"/>
      <c r="B38" s="426"/>
      <c r="C38" s="426"/>
      <c r="D38" s="426"/>
      <c r="E38" s="426"/>
      <c r="F38" s="426"/>
      <c r="G38" s="426"/>
      <c r="H38" s="427"/>
      <c r="I38" s="73"/>
      <c r="J38" s="45"/>
      <c r="K38" s="456"/>
      <c r="L38" s="457"/>
      <c r="M38" s="56"/>
    </row>
    <row r="39" spans="1:13">
      <c r="A39" s="425"/>
      <c r="B39" s="426"/>
      <c r="C39" s="426"/>
      <c r="D39" s="426"/>
      <c r="E39" s="426"/>
      <c r="F39" s="426"/>
      <c r="G39" s="426"/>
      <c r="H39" s="427"/>
      <c r="I39" s="73"/>
      <c r="J39" s="45"/>
      <c r="K39" s="456"/>
      <c r="L39" s="457"/>
      <c r="M39" s="56"/>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ht="15.75" thickBot="1">
      <c r="A42" s="410"/>
      <c r="B42" s="411"/>
      <c r="C42" s="411"/>
      <c r="D42" s="411"/>
      <c r="E42" s="411"/>
      <c r="F42" s="411"/>
      <c r="G42" s="411"/>
      <c r="H42" s="412"/>
      <c r="I42" s="74"/>
      <c r="J42" s="57"/>
      <c r="K42" s="466"/>
      <c r="L42" s="467"/>
      <c r="M42" s="75"/>
    </row>
    <row r="43" spans="1:13" ht="15.75" thickBot="1">
      <c r="A43" s="416" t="s">
        <v>87</v>
      </c>
      <c r="B43" s="417"/>
      <c r="C43" s="417"/>
      <c r="D43" s="417"/>
      <c r="E43" s="417"/>
      <c r="F43" s="417"/>
      <c r="G43" s="417"/>
      <c r="H43" s="417"/>
      <c r="I43" s="417"/>
      <c r="J43" s="417"/>
      <c r="K43" s="417"/>
      <c r="L43" s="418"/>
      <c r="M43" s="58">
        <f>SUM(M38:M42)</f>
        <v>0</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110" t="s">
        <v>92</v>
      </c>
      <c r="I47" s="104" t="s">
        <v>93</v>
      </c>
      <c r="J47" s="60" t="s">
        <v>94</v>
      </c>
      <c r="K47" s="421" t="s">
        <v>95</v>
      </c>
      <c r="L47" s="424"/>
      <c r="M47" s="44" t="s">
        <v>85</v>
      </c>
    </row>
    <row r="48" spans="1:13">
      <c r="A48" s="425"/>
      <c r="B48" s="426"/>
      <c r="C48" s="426"/>
      <c r="D48" s="426"/>
      <c r="E48" s="426"/>
      <c r="F48" s="426"/>
      <c r="G48" s="426"/>
      <c r="H48" s="61"/>
      <c r="I48" s="55"/>
      <c r="J48" s="61"/>
      <c r="K48" s="428"/>
      <c r="L48" s="429"/>
      <c r="M48" s="62"/>
    </row>
    <row r="49" spans="1:15" ht="15.75" thickBot="1">
      <c r="A49" s="410"/>
      <c r="B49" s="411"/>
      <c r="C49" s="411"/>
      <c r="D49" s="411"/>
      <c r="E49" s="411"/>
      <c r="F49" s="411"/>
      <c r="G49" s="411"/>
      <c r="H49" s="47"/>
      <c r="I49" s="15"/>
      <c r="J49" s="47"/>
      <c r="K49" s="414"/>
      <c r="L49" s="415"/>
      <c r="M49" s="48"/>
    </row>
    <row r="50" spans="1:15" ht="15.75" thickBot="1">
      <c r="A50" s="416" t="s">
        <v>87</v>
      </c>
      <c r="B50" s="417"/>
      <c r="C50" s="417"/>
      <c r="D50" s="417"/>
      <c r="E50" s="417"/>
      <c r="F50" s="417"/>
      <c r="G50" s="417"/>
      <c r="H50" s="417"/>
      <c r="I50" s="417"/>
      <c r="J50" s="417"/>
      <c r="K50" s="417"/>
      <c r="L50" s="418"/>
      <c r="M50" s="63">
        <f>SUM(M48:M49)</f>
        <v>0</v>
      </c>
    </row>
    <row r="51" spans="1:15">
      <c r="A51" s="30"/>
      <c r="B51" s="19"/>
      <c r="C51" s="19"/>
      <c r="D51" s="19"/>
      <c r="E51" s="19"/>
      <c r="F51" s="19"/>
      <c r="G51" s="19"/>
      <c r="H51" s="19"/>
      <c r="I51" s="19"/>
      <c r="J51" s="19"/>
      <c r="K51" s="19"/>
      <c r="L51" s="19"/>
      <c r="M51" s="24"/>
    </row>
    <row r="52" spans="1:15">
      <c r="A52" s="51" t="s">
        <v>96</v>
      </c>
      <c r="B52" s="52"/>
      <c r="C52" s="52"/>
      <c r="D52" s="52"/>
      <c r="E52" s="52"/>
      <c r="F52" s="52"/>
      <c r="G52" s="52"/>
      <c r="H52" s="52"/>
      <c r="I52" s="52"/>
      <c r="J52" s="52"/>
      <c r="K52" s="52"/>
      <c r="L52" s="52"/>
      <c r="M52" s="53"/>
    </row>
    <row r="53" spans="1:15" ht="15.75" thickBot="1">
      <c r="A53" s="30"/>
      <c r="B53" s="19"/>
      <c r="C53" s="19"/>
      <c r="D53" s="19"/>
      <c r="E53" s="19"/>
      <c r="F53" s="19"/>
      <c r="G53" s="19"/>
      <c r="H53" s="19"/>
      <c r="I53" s="19"/>
      <c r="J53" s="19"/>
      <c r="K53" s="19"/>
      <c r="L53" s="19"/>
      <c r="M53" s="24"/>
    </row>
    <row r="54" spans="1:15" ht="26.25">
      <c r="A54" s="453" t="s">
        <v>97</v>
      </c>
      <c r="B54" s="454"/>
      <c r="C54" s="454"/>
      <c r="D54" s="454"/>
      <c r="E54" s="454"/>
      <c r="F54" s="454"/>
      <c r="G54" s="454"/>
      <c r="H54" s="110" t="s">
        <v>98</v>
      </c>
      <c r="I54" s="111" t="s">
        <v>99</v>
      </c>
      <c r="J54" s="111" t="s">
        <v>100</v>
      </c>
      <c r="K54" s="455" t="s">
        <v>84</v>
      </c>
      <c r="L54" s="455"/>
      <c r="M54" s="65" t="s">
        <v>85</v>
      </c>
    </row>
    <row r="55" spans="1:15" ht="15.75" thickBot="1">
      <c r="A55" s="432" t="s">
        <v>122</v>
      </c>
      <c r="B55" s="433"/>
      <c r="C55" s="433"/>
      <c r="D55" s="433"/>
      <c r="E55" s="433"/>
      <c r="F55" s="433"/>
      <c r="G55" s="433"/>
      <c r="H55" s="3">
        <v>85839.318181818162</v>
      </c>
      <c r="I55" s="4">
        <v>2.2000000000000002</v>
      </c>
      <c r="J55" s="67">
        <f>(I55*H55)</f>
        <v>188846.49999999997</v>
      </c>
      <c r="K55" s="434">
        <v>11.418723304260654</v>
      </c>
      <c r="L55" s="434"/>
      <c r="M55" s="68">
        <f>J55/K55</f>
        <v>16538.320000234693</v>
      </c>
    </row>
    <row r="56" spans="1:15" ht="15.75" thickBot="1">
      <c r="A56" s="435" t="s">
        <v>87</v>
      </c>
      <c r="B56" s="436"/>
      <c r="C56" s="436"/>
      <c r="D56" s="436"/>
      <c r="E56" s="436"/>
      <c r="F56" s="436"/>
      <c r="G56" s="436"/>
      <c r="H56" s="436"/>
      <c r="I56" s="436"/>
      <c r="J56" s="436"/>
      <c r="K56" s="436"/>
      <c r="L56" s="437"/>
      <c r="M56" s="69">
        <f>SUM(M55:M55)</f>
        <v>16538.320000234693</v>
      </c>
      <c r="O56" s="155"/>
    </row>
    <row r="57" spans="1:15" ht="15.75" thickBot="1">
      <c r="A57" s="30"/>
      <c r="B57" s="19"/>
      <c r="C57" s="19"/>
      <c r="D57" s="19"/>
      <c r="E57" s="19"/>
      <c r="F57" s="19"/>
      <c r="G57" s="19"/>
      <c r="H57" s="19"/>
      <c r="I57" s="19"/>
      <c r="J57" s="19"/>
      <c r="K57" s="19"/>
      <c r="L57" s="19"/>
      <c r="M57" s="24"/>
    </row>
    <row r="58" spans="1:15" ht="15.75" thickBot="1">
      <c r="A58" s="416" t="s">
        <v>101</v>
      </c>
      <c r="B58" s="417"/>
      <c r="C58" s="417"/>
      <c r="D58" s="417"/>
      <c r="E58" s="417"/>
      <c r="F58" s="417"/>
      <c r="G58" s="417"/>
      <c r="H58" s="417"/>
      <c r="I58" s="417"/>
      <c r="J58" s="417"/>
      <c r="K58" s="417"/>
      <c r="L58" s="418"/>
      <c r="M58" s="70">
        <f>ROUND(M56+M50+M43+M33,0)</f>
        <v>19341</v>
      </c>
      <c r="N58" s="155"/>
    </row>
    <row r="59" spans="1:15">
      <c r="A59" s="30"/>
      <c r="B59" s="19"/>
      <c r="C59" s="19"/>
      <c r="D59" s="19"/>
      <c r="E59" s="19"/>
      <c r="F59" s="19"/>
      <c r="G59" s="19"/>
      <c r="H59" s="19"/>
      <c r="I59" s="19"/>
      <c r="J59" s="19"/>
      <c r="K59" s="19"/>
      <c r="L59" s="19"/>
      <c r="M59" s="24"/>
    </row>
    <row r="60" spans="1:15">
      <c r="A60" s="51" t="s">
        <v>102</v>
      </c>
      <c r="B60" s="52"/>
      <c r="C60" s="52"/>
      <c r="D60" s="52"/>
      <c r="E60" s="52"/>
      <c r="F60" s="52"/>
      <c r="G60" s="52"/>
      <c r="H60" s="52"/>
      <c r="I60" s="52"/>
      <c r="J60" s="52"/>
      <c r="K60" s="52"/>
      <c r="L60" s="52"/>
      <c r="M60" s="53"/>
    </row>
    <row r="61" spans="1:15" ht="15.75" thickBot="1">
      <c r="A61" s="30"/>
      <c r="B61" s="19"/>
      <c r="C61" s="19"/>
      <c r="D61" s="19"/>
      <c r="E61" s="19"/>
      <c r="F61" s="19"/>
      <c r="G61" s="19"/>
      <c r="H61" s="19"/>
      <c r="I61" s="19"/>
      <c r="J61" s="19"/>
      <c r="K61" s="19"/>
      <c r="L61" s="19"/>
      <c r="M61" s="24"/>
    </row>
    <row r="62" spans="1:15" ht="15.75" thickBot="1">
      <c r="A62" s="438" t="s">
        <v>103</v>
      </c>
      <c r="B62" s="439"/>
      <c r="C62" s="439"/>
      <c r="D62" s="439"/>
      <c r="E62" s="439"/>
      <c r="F62" s="439"/>
      <c r="G62" s="439"/>
      <c r="H62" s="106"/>
      <c r="I62" s="107"/>
      <c r="J62" s="81" t="s">
        <v>104</v>
      </c>
      <c r="K62" s="440" t="s">
        <v>105</v>
      </c>
      <c r="L62" s="441"/>
      <c r="M62" s="82"/>
    </row>
    <row r="63" spans="1:15">
      <c r="A63" s="442" t="s">
        <v>106</v>
      </c>
      <c r="B63" s="443"/>
      <c r="C63" s="443"/>
      <c r="D63" s="443"/>
      <c r="E63" s="443"/>
      <c r="F63" s="443"/>
      <c r="G63" s="443"/>
      <c r="H63" s="83"/>
      <c r="I63" s="84"/>
      <c r="J63" s="85">
        <v>0.19</v>
      </c>
      <c r="K63" s="444">
        <f>M58*J63</f>
        <v>3674.79</v>
      </c>
      <c r="L63" s="444"/>
      <c r="M63" s="86"/>
    </row>
    <row r="64" spans="1:15">
      <c r="A64" s="447" t="s">
        <v>107</v>
      </c>
      <c r="B64" s="448"/>
      <c r="C64" s="448"/>
      <c r="D64" s="448"/>
      <c r="E64" s="448"/>
      <c r="F64" s="448"/>
      <c r="G64" s="449"/>
      <c r="H64" s="77"/>
      <c r="I64" s="78"/>
      <c r="J64" s="5">
        <v>0.01</v>
      </c>
      <c r="K64" s="445">
        <f>M58*J64</f>
        <v>193.41</v>
      </c>
      <c r="L64" s="445"/>
      <c r="M64" s="6"/>
    </row>
    <row r="65" spans="1:13">
      <c r="A65" s="447" t="s">
        <v>108</v>
      </c>
      <c r="B65" s="448"/>
      <c r="C65" s="448"/>
      <c r="D65" s="448"/>
      <c r="E65" s="448"/>
      <c r="F65" s="448"/>
      <c r="G65" s="449"/>
      <c r="H65" s="77"/>
      <c r="I65" s="78"/>
      <c r="J65" s="5">
        <v>0.05</v>
      </c>
      <c r="K65" s="445">
        <f>M58*J65</f>
        <v>967.05000000000007</v>
      </c>
      <c r="L65" s="445"/>
      <c r="M65" s="6"/>
    </row>
    <row r="66" spans="1:13" ht="15.75" thickBot="1">
      <c r="A66" s="450" t="s">
        <v>117</v>
      </c>
      <c r="B66" s="451"/>
      <c r="C66" s="451"/>
      <c r="D66" s="451"/>
      <c r="E66" s="451"/>
      <c r="F66" s="451"/>
      <c r="G66" s="452"/>
      <c r="H66" s="87"/>
      <c r="I66" s="88"/>
      <c r="J66" s="89">
        <v>0.19</v>
      </c>
      <c r="K66" s="446">
        <f>K65*J66</f>
        <v>183.73950000000002</v>
      </c>
      <c r="L66" s="446"/>
      <c r="M66" s="90"/>
    </row>
    <row r="67" spans="1:13" ht="15.75" thickBot="1">
      <c r="A67" s="435" t="s">
        <v>87</v>
      </c>
      <c r="B67" s="436"/>
      <c r="C67" s="436"/>
      <c r="D67" s="436"/>
      <c r="E67" s="436"/>
      <c r="F67" s="436"/>
      <c r="G67" s="436"/>
      <c r="H67" s="436"/>
      <c r="I67" s="436"/>
      <c r="J67" s="436"/>
      <c r="K67" s="436"/>
      <c r="L67" s="437"/>
      <c r="M67" s="76">
        <f>SUM(K63:L66)</f>
        <v>5018.9894999999997</v>
      </c>
    </row>
    <row r="68" spans="1:13" ht="15.75" thickBot="1">
      <c r="A68" s="30"/>
      <c r="B68" s="19"/>
      <c r="C68" s="19"/>
      <c r="D68" s="19"/>
      <c r="E68" s="19"/>
      <c r="F68" s="19"/>
      <c r="G68" s="19"/>
      <c r="H68" s="19"/>
      <c r="I68" s="19"/>
      <c r="J68" s="19"/>
      <c r="K68" s="19"/>
      <c r="L68" s="19"/>
      <c r="M68" s="24"/>
    </row>
    <row r="69" spans="1:13" ht="15.75" thickBot="1">
      <c r="A69" s="416" t="s">
        <v>109</v>
      </c>
      <c r="B69" s="417"/>
      <c r="C69" s="417"/>
      <c r="D69" s="417"/>
      <c r="E69" s="417"/>
      <c r="F69" s="417"/>
      <c r="G69" s="417"/>
      <c r="H69" s="417"/>
      <c r="I69" s="417"/>
      <c r="J69" s="417"/>
      <c r="K69" s="417"/>
      <c r="L69" s="418"/>
      <c r="M69" s="71">
        <f>ROUND(M58+M67,0)</f>
        <v>24360</v>
      </c>
    </row>
  </sheetData>
  <mergeCells count="71">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L56"/>
    <mergeCell ref="A58:L58"/>
    <mergeCell ref="A62:G62"/>
    <mergeCell ref="K62:L62"/>
    <mergeCell ref="A66:G66"/>
    <mergeCell ref="K66:L66"/>
    <mergeCell ref="A67:L67"/>
    <mergeCell ref="A69:L69"/>
    <mergeCell ref="A63:G63"/>
    <mergeCell ref="K63:L63"/>
    <mergeCell ref="A64:G64"/>
    <mergeCell ref="K64:L64"/>
    <mergeCell ref="A65:G65"/>
    <mergeCell ref="K65:L65"/>
  </mergeCells>
  <pageMargins left="0.7" right="0.7" top="0.75" bottom="0.75" header="0.3" footer="0.3"/>
  <pageSetup scale="5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tabSelected="1" view="pageBreakPreview" topLeftCell="A37" zoomScale="80" zoomScaleNormal="100" zoomScaleSheetLayoutView="80" workbookViewId="0">
      <selection activeCell="M58" sqref="M58"/>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08"/>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09" t="s">
        <v>71</v>
      </c>
      <c r="H12" s="394"/>
      <c r="I12" s="394"/>
      <c r="J12" s="23"/>
      <c r="K12" s="23"/>
      <c r="L12" s="23"/>
      <c r="M12" s="24"/>
    </row>
    <row r="13" spans="1:13">
      <c r="A13" s="25" t="s">
        <v>72</v>
      </c>
      <c r="B13" s="26"/>
      <c r="C13" s="395" t="s">
        <v>136</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09"/>
      <c r="D17" s="109"/>
      <c r="E17" s="109"/>
      <c r="F17" s="109"/>
      <c r="G17" s="109"/>
      <c r="H17" s="109"/>
      <c r="I17" s="109"/>
      <c r="J17" s="109"/>
      <c r="K17" s="109"/>
      <c r="L17" s="109"/>
      <c r="M17" s="13"/>
    </row>
    <row r="18" spans="1:13">
      <c r="A18" s="25" t="s">
        <v>74</v>
      </c>
      <c r="B18" s="26"/>
      <c r="C18" s="379"/>
      <c r="D18" s="379"/>
      <c r="E18" s="379"/>
      <c r="F18" s="379"/>
      <c r="G18" s="379"/>
      <c r="H18" s="379"/>
      <c r="I18" s="379"/>
      <c r="J18" s="379"/>
      <c r="K18" s="379"/>
      <c r="L18" s="379"/>
      <c r="M18" s="380"/>
    </row>
    <row r="19" spans="1:13">
      <c r="A19" s="25"/>
      <c r="B19" s="26"/>
      <c r="C19" s="109"/>
      <c r="D19" s="109"/>
      <c r="E19" s="109"/>
      <c r="F19" s="109"/>
      <c r="G19" s="109"/>
      <c r="H19" s="109"/>
      <c r="I19" s="109"/>
      <c r="J19" s="109"/>
      <c r="K19" s="109"/>
      <c r="L19" s="109"/>
      <c r="M19" s="13"/>
    </row>
    <row r="20" spans="1:13" ht="31.5" customHeight="1">
      <c r="A20" s="464" t="s">
        <v>113</v>
      </c>
      <c r="B20" s="465"/>
      <c r="C20" s="379"/>
      <c r="D20" s="379"/>
      <c r="E20" s="379"/>
      <c r="F20" s="379"/>
      <c r="G20" s="379"/>
      <c r="H20" s="379"/>
      <c r="I20" s="379"/>
      <c r="J20" s="379"/>
      <c r="K20" s="379"/>
      <c r="L20" s="379"/>
      <c r="M20" s="380"/>
    </row>
    <row r="21" spans="1:13">
      <c r="A21" s="400"/>
      <c r="B21" s="401"/>
      <c r="C21" s="109"/>
      <c r="D21" s="109"/>
      <c r="E21" s="109"/>
      <c r="F21" s="109"/>
      <c r="G21" s="109"/>
      <c r="H21" s="109"/>
      <c r="I21" s="109"/>
      <c r="J21" s="109"/>
      <c r="K21" s="109"/>
      <c r="L21" s="109"/>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03" t="s">
        <v>78</v>
      </c>
      <c r="K25" s="408" t="s">
        <v>79</v>
      </c>
      <c r="L25" s="409"/>
      <c r="M25" s="31" t="s">
        <v>80</v>
      </c>
    </row>
    <row r="26" spans="1:13" ht="15.75" thickBot="1">
      <c r="A26" s="156"/>
      <c r="B26" s="391" t="s">
        <v>151</v>
      </c>
      <c r="C26" s="392"/>
      <c r="D26" s="392"/>
      <c r="E26" s="392"/>
      <c r="F26" s="392"/>
      <c r="G26" s="392"/>
      <c r="H26" s="392"/>
      <c r="I26" s="393"/>
      <c r="J26" s="100">
        <v>1</v>
      </c>
      <c r="K26" s="391" t="s">
        <v>9</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10" t="s">
        <v>83</v>
      </c>
      <c r="K30" s="421" t="s">
        <v>84</v>
      </c>
      <c r="L30" s="424"/>
      <c r="M30" s="44" t="s">
        <v>85</v>
      </c>
    </row>
    <row r="31" spans="1:13">
      <c r="A31" s="425" t="s">
        <v>134</v>
      </c>
      <c r="B31" s="426"/>
      <c r="C31" s="426"/>
      <c r="D31" s="426"/>
      <c r="E31" s="427"/>
      <c r="F31" s="428" t="s">
        <v>123</v>
      </c>
      <c r="G31" s="429"/>
      <c r="H31" s="430" t="s">
        <v>86</v>
      </c>
      <c r="I31" s="427"/>
      <c r="J31" s="72">
        <v>70067</v>
      </c>
      <c r="K31" s="468">
        <v>24</v>
      </c>
      <c r="L31" s="469"/>
      <c r="M31" s="46">
        <f>J31/K31</f>
        <v>2919.4583333333335</v>
      </c>
    </row>
    <row r="32" spans="1:13" ht="15.75" thickBot="1">
      <c r="A32" s="410"/>
      <c r="B32" s="411"/>
      <c r="C32" s="411"/>
      <c r="D32" s="411"/>
      <c r="E32" s="412"/>
      <c r="F32" s="414"/>
      <c r="G32" s="415"/>
      <c r="H32" s="413"/>
      <c r="I32" s="412"/>
      <c r="J32" s="157"/>
      <c r="K32" s="414"/>
      <c r="L32" s="415"/>
      <c r="M32" s="48"/>
    </row>
    <row r="33" spans="1:13" ht="15.75" thickBot="1">
      <c r="A33" s="416" t="s">
        <v>87</v>
      </c>
      <c r="B33" s="417"/>
      <c r="C33" s="417"/>
      <c r="D33" s="417"/>
      <c r="E33" s="417"/>
      <c r="F33" s="417"/>
      <c r="G33" s="417"/>
      <c r="H33" s="417"/>
      <c r="I33" s="417"/>
      <c r="J33" s="417"/>
      <c r="K33" s="417"/>
      <c r="L33" s="418"/>
      <c r="M33" s="49">
        <f>SUM(M31:M32)</f>
        <v>2919.4583333333335</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05" t="s">
        <v>79</v>
      </c>
      <c r="J37" s="110" t="s">
        <v>80</v>
      </c>
      <c r="K37" s="421" t="s">
        <v>89</v>
      </c>
      <c r="L37" s="424"/>
      <c r="M37" s="44" t="s">
        <v>85</v>
      </c>
    </row>
    <row r="38" spans="1:13">
      <c r="A38" s="425"/>
      <c r="B38" s="426"/>
      <c r="C38" s="426"/>
      <c r="D38" s="426"/>
      <c r="E38" s="426"/>
      <c r="F38" s="426"/>
      <c r="G38" s="426"/>
      <c r="H38" s="427"/>
      <c r="I38" s="73"/>
      <c r="J38" s="45"/>
      <c r="K38" s="456"/>
      <c r="L38" s="457"/>
      <c r="M38" s="56"/>
    </row>
    <row r="39" spans="1:13">
      <c r="A39" s="425"/>
      <c r="B39" s="426"/>
      <c r="C39" s="426"/>
      <c r="D39" s="426"/>
      <c r="E39" s="426"/>
      <c r="F39" s="426"/>
      <c r="G39" s="426"/>
      <c r="H39" s="427"/>
      <c r="I39" s="73"/>
      <c r="J39" s="45"/>
      <c r="K39" s="456"/>
      <c r="L39" s="457"/>
      <c r="M39" s="56"/>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ht="15.75" thickBot="1">
      <c r="A42" s="410"/>
      <c r="B42" s="411"/>
      <c r="C42" s="411"/>
      <c r="D42" s="411"/>
      <c r="E42" s="411"/>
      <c r="F42" s="411"/>
      <c r="G42" s="411"/>
      <c r="H42" s="412"/>
      <c r="I42" s="74"/>
      <c r="J42" s="57"/>
      <c r="K42" s="466"/>
      <c r="L42" s="467"/>
      <c r="M42" s="75"/>
    </row>
    <row r="43" spans="1:13" ht="15.75" thickBot="1">
      <c r="A43" s="416" t="s">
        <v>87</v>
      </c>
      <c r="B43" s="417"/>
      <c r="C43" s="417"/>
      <c r="D43" s="417"/>
      <c r="E43" s="417"/>
      <c r="F43" s="417"/>
      <c r="G43" s="417"/>
      <c r="H43" s="417"/>
      <c r="I43" s="417"/>
      <c r="J43" s="417"/>
      <c r="K43" s="417"/>
      <c r="L43" s="418"/>
      <c r="M43" s="58">
        <f>SUM(M38:M42)</f>
        <v>0</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110" t="s">
        <v>92</v>
      </c>
      <c r="I47" s="104" t="s">
        <v>93</v>
      </c>
      <c r="J47" s="60" t="s">
        <v>94</v>
      </c>
      <c r="K47" s="421" t="s">
        <v>95</v>
      </c>
      <c r="L47" s="424"/>
      <c r="M47" s="44" t="s">
        <v>85</v>
      </c>
    </row>
    <row r="48" spans="1:13">
      <c r="A48" s="425"/>
      <c r="B48" s="426"/>
      <c r="C48" s="426"/>
      <c r="D48" s="426"/>
      <c r="E48" s="426"/>
      <c r="F48" s="426"/>
      <c r="G48" s="426"/>
      <c r="H48" s="61"/>
      <c r="I48" s="55"/>
      <c r="J48" s="61"/>
      <c r="K48" s="428"/>
      <c r="L48" s="429"/>
      <c r="M48" s="62"/>
    </row>
    <row r="49" spans="1:15" ht="15.75" thickBot="1">
      <c r="A49" s="410"/>
      <c r="B49" s="411"/>
      <c r="C49" s="411"/>
      <c r="D49" s="411"/>
      <c r="E49" s="411"/>
      <c r="F49" s="411"/>
      <c r="G49" s="411"/>
      <c r="H49" s="47"/>
      <c r="I49" s="15"/>
      <c r="J49" s="47"/>
      <c r="K49" s="414"/>
      <c r="L49" s="415"/>
      <c r="M49" s="48"/>
    </row>
    <row r="50" spans="1:15" ht="15.75" thickBot="1">
      <c r="A50" s="416" t="s">
        <v>87</v>
      </c>
      <c r="B50" s="417"/>
      <c r="C50" s="417"/>
      <c r="D50" s="417"/>
      <c r="E50" s="417"/>
      <c r="F50" s="417"/>
      <c r="G50" s="417"/>
      <c r="H50" s="417"/>
      <c r="I50" s="417"/>
      <c r="J50" s="417"/>
      <c r="K50" s="417"/>
      <c r="L50" s="418"/>
      <c r="M50" s="63">
        <f>SUM(M48:M49)</f>
        <v>0</v>
      </c>
    </row>
    <row r="51" spans="1:15">
      <c r="A51" s="30"/>
      <c r="B51" s="19"/>
      <c r="C51" s="19"/>
      <c r="D51" s="19"/>
      <c r="E51" s="19"/>
      <c r="F51" s="19"/>
      <c r="G51" s="19"/>
      <c r="H51" s="19"/>
      <c r="I51" s="19"/>
      <c r="J51" s="19"/>
      <c r="K51" s="19"/>
      <c r="L51" s="19"/>
      <c r="M51" s="24"/>
    </row>
    <row r="52" spans="1:15">
      <c r="A52" s="51" t="s">
        <v>96</v>
      </c>
      <c r="B52" s="52"/>
      <c r="C52" s="52"/>
      <c r="D52" s="52"/>
      <c r="E52" s="52"/>
      <c r="F52" s="52"/>
      <c r="G52" s="52"/>
      <c r="H52" s="52"/>
      <c r="I52" s="52"/>
      <c r="J52" s="52"/>
      <c r="K52" s="52"/>
      <c r="L52" s="52"/>
      <c r="M52" s="53"/>
    </row>
    <row r="53" spans="1:15" ht="15.75" thickBot="1">
      <c r="A53" s="30"/>
      <c r="B53" s="19"/>
      <c r="C53" s="19"/>
      <c r="D53" s="19"/>
      <c r="E53" s="19"/>
      <c r="F53" s="19"/>
      <c r="G53" s="19"/>
      <c r="H53" s="19"/>
      <c r="I53" s="19"/>
      <c r="J53" s="19"/>
      <c r="K53" s="19"/>
      <c r="L53" s="19"/>
      <c r="M53" s="24"/>
    </row>
    <row r="54" spans="1:15" ht="26.25">
      <c r="A54" s="453" t="s">
        <v>97</v>
      </c>
      <c r="B54" s="454"/>
      <c r="C54" s="454"/>
      <c r="D54" s="454"/>
      <c r="E54" s="454"/>
      <c r="F54" s="454"/>
      <c r="G54" s="454"/>
      <c r="H54" s="110" t="s">
        <v>98</v>
      </c>
      <c r="I54" s="111" t="s">
        <v>99</v>
      </c>
      <c r="J54" s="111" t="s">
        <v>100</v>
      </c>
      <c r="K54" s="455" t="s">
        <v>84</v>
      </c>
      <c r="L54" s="455"/>
      <c r="M54" s="65" t="s">
        <v>85</v>
      </c>
    </row>
    <row r="55" spans="1:15" ht="15.75" thickBot="1">
      <c r="A55" s="432" t="s">
        <v>116</v>
      </c>
      <c r="B55" s="433"/>
      <c r="C55" s="433"/>
      <c r="D55" s="433"/>
      <c r="E55" s="433"/>
      <c r="F55" s="433"/>
      <c r="G55" s="433"/>
      <c r="H55" s="3">
        <v>42915.00189393945</v>
      </c>
      <c r="I55" s="4">
        <v>2.2000000000000002</v>
      </c>
      <c r="J55" s="67">
        <f>(I55*H55)</f>
        <v>94413.004166666797</v>
      </c>
      <c r="K55" s="470">
        <v>6.1</v>
      </c>
      <c r="L55" s="470"/>
      <c r="M55" s="68">
        <f>J55/K55</f>
        <v>15477.54166666669</v>
      </c>
    </row>
    <row r="56" spans="1:15" ht="15.75" thickBot="1">
      <c r="A56" s="435" t="s">
        <v>87</v>
      </c>
      <c r="B56" s="436"/>
      <c r="C56" s="436"/>
      <c r="D56" s="436"/>
      <c r="E56" s="436"/>
      <c r="F56" s="436"/>
      <c r="G56" s="436"/>
      <c r="H56" s="436"/>
      <c r="I56" s="436"/>
      <c r="J56" s="436"/>
      <c r="K56" s="436"/>
      <c r="L56" s="437"/>
      <c r="M56" s="69">
        <f>SUM(M55:M55)</f>
        <v>15477.54166666669</v>
      </c>
      <c r="O56" s="155"/>
    </row>
    <row r="57" spans="1:15" ht="15.75" thickBot="1">
      <c r="A57" s="30"/>
      <c r="B57" s="19"/>
      <c r="C57" s="19"/>
      <c r="D57" s="19"/>
      <c r="E57" s="19"/>
      <c r="F57" s="19"/>
      <c r="G57" s="19"/>
      <c r="H57" s="19"/>
      <c r="I57" s="19"/>
      <c r="J57" s="19"/>
      <c r="K57" s="19"/>
      <c r="L57" s="19"/>
      <c r="M57" s="24"/>
    </row>
    <row r="58" spans="1:15" ht="15.75" thickBot="1">
      <c r="A58" s="416" t="s">
        <v>101</v>
      </c>
      <c r="B58" s="417"/>
      <c r="C58" s="417"/>
      <c r="D58" s="417"/>
      <c r="E58" s="417"/>
      <c r="F58" s="417"/>
      <c r="G58" s="417"/>
      <c r="H58" s="417"/>
      <c r="I58" s="417"/>
      <c r="J58" s="417"/>
      <c r="K58" s="417"/>
      <c r="L58" s="418"/>
      <c r="M58" s="70">
        <f>ROUND(M56+M50+M43+M33,0)</f>
        <v>18397</v>
      </c>
      <c r="N58" s="155"/>
    </row>
    <row r="59" spans="1:15">
      <c r="A59" s="30"/>
      <c r="B59" s="19"/>
      <c r="C59" s="19"/>
      <c r="D59" s="19"/>
      <c r="E59" s="19"/>
      <c r="F59" s="19"/>
      <c r="G59" s="19"/>
      <c r="H59" s="19"/>
      <c r="I59" s="19"/>
      <c r="J59" s="19"/>
      <c r="K59" s="19"/>
      <c r="L59" s="19"/>
      <c r="M59" s="24"/>
    </row>
    <row r="60" spans="1:15">
      <c r="A60" s="51" t="s">
        <v>102</v>
      </c>
      <c r="B60" s="52"/>
      <c r="C60" s="52"/>
      <c r="D60" s="52"/>
      <c r="E60" s="52"/>
      <c r="F60" s="52"/>
      <c r="G60" s="52"/>
      <c r="H60" s="52"/>
      <c r="I60" s="52"/>
      <c r="J60" s="52"/>
      <c r="K60" s="52"/>
      <c r="L60" s="52"/>
      <c r="M60" s="53"/>
    </row>
    <row r="61" spans="1:15" ht="15.75" thickBot="1">
      <c r="A61" s="30"/>
      <c r="B61" s="19"/>
      <c r="C61" s="19"/>
      <c r="D61" s="19"/>
      <c r="E61" s="19"/>
      <c r="F61" s="19"/>
      <c r="G61" s="19"/>
      <c r="H61" s="19"/>
      <c r="I61" s="19"/>
      <c r="J61" s="19"/>
      <c r="K61" s="19"/>
      <c r="L61" s="19"/>
      <c r="M61" s="24"/>
    </row>
    <row r="62" spans="1:15" ht="15.75" thickBot="1">
      <c r="A62" s="438" t="s">
        <v>103</v>
      </c>
      <c r="B62" s="439"/>
      <c r="C62" s="439"/>
      <c r="D62" s="439"/>
      <c r="E62" s="439"/>
      <c r="F62" s="439"/>
      <c r="G62" s="439"/>
      <c r="H62" s="106"/>
      <c r="I62" s="107"/>
      <c r="J62" s="81" t="s">
        <v>104</v>
      </c>
      <c r="K62" s="440" t="s">
        <v>105</v>
      </c>
      <c r="L62" s="441"/>
      <c r="M62" s="82"/>
    </row>
    <row r="63" spans="1:15">
      <c r="A63" s="442" t="s">
        <v>106</v>
      </c>
      <c r="B63" s="443"/>
      <c r="C63" s="443"/>
      <c r="D63" s="443"/>
      <c r="E63" s="443"/>
      <c r="F63" s="443"/>
      <c r="G63" s="443"/>
      <c r="H63" s="83"/>
      <c r="I63" s="84"/>
      <c r="J63" s="85">
        <v>0.19</v>
      </c>
      <c r="K63" s="444">
        <f>M58*J63</f>
        <v>3495.43</v>
      </c>
      <c r="L63" s="444"/>
      <c r="M63" s="86"/>
    </row>
    <row r="64" spans="1:15">
      <c r="A64" s="447" t="s">
        <v>107</v>
      </c>
      <c r="B64" s="448"/>
      <c r="C64" s="448"/>
      <c r="D64" s="448"/>
      <c r="E64" s="448"/>
      <c r="F64" s="448"/>
      <c r="G64" s="449"/>
      <c r="H64" s="77"/>
      <c r="I64" s="78"/>
      <c r="J64" s="5">
        <v>0.01</v>
      </c>
      <c r="K64" s="445">
        <f>M58*J64</f>
        <v>183.97</v>
      </c>
      <c r="L64" s="445"/>
      <c r="M64" s="6"/>
    </row>
    <row r="65" spans="1:13">
      <c r="A65" s="447" t="s">
        <v>108</v>
      </c>
      <c r="B65" s="448"/>
      <c r="C65" s="448"/>
      <c r="D65" s="448"/>
      <c r="E65" s="448"/>
      <c r="F65" s="448"/>
      <c r="G65" s="449"/>
      <c r="H65" s="77"/>
      <c r="I65" s="78"/>
      <c r="J65" s="5">
        <v>0.05</v>
      </c>
      <c r="K65" s="445">
        <f>M58*J65</f>
        <v>919.85</v>
      </c>
      <c r="L65" s="445"/>
      <c r="M65" s="6"/>
    </row>
    <row r="66" spans="1:13" ht="15.75" thickBot="1">
      <c r="A66" s="450" t="s">
        <v>117</v>
      </c>
      <c r="B66" s="451"/>
      <c r="C66" s="451"/>
      <c r="D66" s="451"/>
      <c r="E66" s="451"/>
      <c r="F66" s="451"/>
      <c r="G66" s="452"/>
      <c r="H66" s="87"/>
      <c r="I66" s="88"/>
      <c r="J66" s="89">
        <v>0.19</v>
      </c>
      <c r="K66" s="446">
        <f>K65*J66</f>
        <v>174.7715</v>
      </c>
      <c r="L66" s="446"/>
      <c r="M66" s="90"/>
    </row>
    <row r="67" spans="1:13" ht="15.75" thickBot="1">
      <c r="A67" s="435" t="s">
        <v>87</v>
      </c>
      <c r="B67" s="436"/>
      <c r="C67" s="436"/>
      <c r="D67" s="436"/>
      <c r="E67" s="436"/>
      <c r="F67" s="436"/>
      <c r="G67" s="436"/>
      <c r="H67" s="436"/>
      <c r="I67" s="436"/>
      <c r="J67" s="436"/>
      <c r="K67" s="436"/>
      <c r="L67" s="437"/>
      <c r="M67" s="76">
        <f>SUM(K63:L66)</f>
        <v>4774.0214999999998</v>
      </c>
    </row>
    <row r="68" spans="1:13" ht="15.75" thickBot="1">
      <c r="A68" s="30"/>
      <c r="B68" s="19"/>
      <c r="C68" s="19"/>
      <c r="D68" s="19"/>
      <c r="E68" s="19"/>
      <c r="F68" s="19"/>
      <c r="G68" s="19"/>
      <c r="H68" s="19"/>
      <c r="I68" s="19"/>
      <c r="J68" s="19"/>
      <c r="K68" s="19"/>
      <c r="L68" s="19"/>
      <c r="M68" s="24"/>
    </row>
    <row r="69" spans="1:13" ht="15.75" thickBot="1">
      <c r="A69" s="416" t="s">
        <v>109</v>
      </c>
      <c r="B69" s="417"/>
      <c r="C69" s="417"/>
      <c r="D69" s="417"/>
      <c r="E69" s="417"/>
      <c r="F69" s="417"/>
      <c r="G69" s="417"/>
      <c r="H69" s="417"/>
      <c r="I69" s="417"/>
      <c r="J69" s="417"/>
      <c r="K69" s="417"/>
      <c r="L69" s="418"/>
      <c r="M69" s="71">
        <f>ROUND(M58+M67,0)</f>
        <v>23171</v>
      </c>
    </row>
  </sheetData>
  <mergeCells count="71">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L56"/>
    <mergeCell ref="A58:L58"/>
    <mergeCell ref="A62:G62"/>
    <mergeCell ref="K62:L62"/>
    <mergeCell ref="A66:G66"/>
    <mergeCell ref="K66:L66"/>
    <mergeCell ref="A67:L67"/>
    <mergeCell ref="A69:L69"/>
    <mergeCell ref="A63:G63"/>
    <mergeCell ref="K63:L63"/>
    <mergeCell ref="A64:G64"/>
    <mergeCell ref="K64:L64"/>
    <mergeCell ref="A65:G65"/>
    <mergeCell ref="K65:L65"/>
  </mergeCells>
  <pageMargins left="0.7" right="0.7" top="0.75" bottom="0.75" header="0.3" footer="0.3"/>
  <pageSetup scale="57"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topLeftCell="A49" zoomScale="80" zoomScaleNormal="100" zoomScaleSheetLayoutView="80" workbookViewId="0">
      <selection activeCell="M58" sqref="M58"/>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08"/>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09" t="s">
        <v>71</v>
      </c>
      <c r="H12" s="394"/>
      <c r="I12" s="394"/>
      <c r="J12" s="23"/>
      <c r="K12" s="23"/>
      <c r="L12" s="23"/>
      <c r="M12" s="24"/>
    </row>
    <row r="13" spans="1:13">
      <c r="A13" s="25" t="s">
        <v>72</v>
      </c>
      <c r="B13" s="26"/>
      <c r="C13" s="395" t="s">
        <v>136</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09"/>
      <c r="D17" s="109"/>
      <c r="E17" s="109"/>
      <c r="F17" s="109"/>
      <c r="G17" s="109"/>
      <c r="H17" s="109"/>
      <c r="I17" s="109"/>
      <c r="J17" s="109"/>
      <c r="K17" s="109"/>
      <c r="L17" s="109"/>
      <c r="M17" s="13"/>
    </row>
    <row r="18" spans="1:13">
      <c r="A18" s="25" t="s">
        <v>74</v>
      </c>
      <c r="B18" s="26"/>
      <c r="C18" s="379"/>
      <c r="D18" s="379"/>
      <c r="E18" s="379"/>
      <c r="F18" s="379"/>
      <c r="G18" s="379"/>
      <c r="H18" s="379"/>
      <c r="I18" s="379"/>
      <c r="J18" s="379"/>
      <c r="K18" s="379"/>
      <c r="L18" s="379"/>
      <c r="M18" s="380"/>
    </row>
    <row r="19" spans="1:13">
      <c r="A19" s="25"/>
      <c r="B19" s="26"/>
      <c r="C19" s="109"/>
      <c r="D19" s="109"/>
      <c r="E19" s="109"/>
      <c r="F19" s="109"/>
      <c r="G19" s="109"/>
      <c r="H19" s="109"/>
      <c r="I19" s="109"/>
      <c r="J19" s="109"/>
      <c r="K19" s="109"/>
      <c r="L19" s="109"/>
      <c r="M19" s="13"/>
    </row>
    <row r="20" spans="1:13" ht="31.5" customHeight="1">
      <c r="A20" s="464" t="s">
        <v>113</v>
      </c>
      <c r="B20" s="465"/>
      <c r="C20" s="379"/>
      <c r="D20" s="379"/>
      <c r="E20" s="379"/>
      <c r="F20" s="379"/>
      <c r="G20" s="379"/>
      <c r="H20" s="379"/>
      <c r="I20" s="379"/>
      <c r="J20" s="379"/>
      <c r="K20" s="379"/>
      <c r="L20" s="379"/>
      <c r="M20" s="380"/>
    </row>
    <row r="21" spans="1:13">
      <c r="A21" s="400"/>
      <c r="B21" s="401"/>
      <c r="C21" s="109"/>
      <c r="D21" s="109"/>
      <c r="E21" s="109"/>
      <c r="F21" s="109"/>
      <c r="G21" s="109"/>
      <c r="H21" s="109"/>
      <c r="I21" s="109"/>
      <c r="J21" s="109"/>
      <c r="K21" s="109"/>
      <c r="L21" s="109"/>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03" t="s">
        <v>78</v>
      </c>
      <c r="K25" s="408" t="s">
        <v>79</v>
      </c>
      <c r="L25" s="409"/>
      <c r="M25" s="31" t="s">
        <v>80</v>
      </c>
    </row>
    <row r="26" spans="1:13" ht="15.75" thickBot="1">
      <c r="A26" s="156"/>
      <c r="B26" s="391" t="s">
        <v>353</v>
      </c>
      <c r="C26" s="392"/>
      <c r="D26" s="392"/>
      <c r="E26" s="392"/>
      <c r="F26" s="392"/>
      <c r="G26" s="392"/>
      <c r="H26" s="392"/>
      <c r="I26" s="393"/>
      <c r="J26" s="100">
        <v>1</v>
      </c>
      <c r="K26" s="391" t="s">
        <v>9</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10" t="s">
        <v>83</v>
      </c>
      <c r="K30" s="421" t="s">
        <v>84</v>
      </c>
      <c r="L30" s="424"/>
      <c r="M30" s="44" t="s">
        <v>85</v>
      </c>
    </row>
    <row r="31" spans="1:13">
      <c r="A31" s="425"/>
      <c r="B31" s="426"/>
      <c r="C31" s="426"/>
      <c r="D31" s="426"/>
      <c r="E31" s="427"/>
      <c r="F31" s="428"/>
      <c r="G31" s="429"/>
      <c r="H31" s="430"/>
      <c r="I31" s="427"/>
      <c r="J31" s="72"/>
      <c r="K31" s="468"/>
      <c r="L31" s="469"/>
      <c r="M31" s="46"/>
    </row>
    <row r="32" spans="1:13" ht="15.75" thickBot="1">
      <c r="A32" s="410"/>
      <c r="B32" s="411"/>
      <c r="C32" s="411"/>
      <c r="D32" s="411"/>
      <c r="E32" s="412"/>
      <c r="F32" s="414"/>
      <c r="G32" s="415"/>
      <c r="H32" s="413"/>
      <c r="I32" s="412"/>
      <c r="J32" s="157"/>
      <c r="K32" s="414"/>
      <c r="L32" s="415"/>
      <c r="M32" s="48"/>
    </row>
    <row r="33" spans="1:13" ht="15.75" thickBot="1">
      <c r="A33" s="416" t="s">
        <v>87</v>
      </c>
      <c r="B33" s="417"/>
      <c r="C33" s="417"/>
      <c r="D33" s="417"/>
      <c r="E33" s="417"/>
      <c r="F33" s="417"/>
      <c r="G33" s="417"/>
      <c r="H33" s="417"/>
      <c r="I33" s="417"/>
      <c r="J33" s="417"/>
      <c r="K33" s="417"/>
      <c r="L33" s="418"/>
      <c r="M33" s="49">
        <f>SUM(M31:M32)</f>
        <v>0</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05" t="s">
        <v>79</v>
      </c>
      <c r="J37" s="110" t="s">
        <v>80</v>
      </c>
      <c r="K37" s="421" t="s">
        <v>89</v>
      </c>
      <c r="L37" s="424"/>
      <c r="M37" s="44" t="s">
        <v>85</v>
      </c>
    </row>
    <row r="38" spans="1:13">
      <c r="A38" s="425" t="s">
        <v>352</v>
      </c>
      <c r="B38" s="426"/>
      <c r="C38" s="426"/>
      <c r="D38" s="426"/>
      <c r="E38" s="426"/>
      <c r="F38" s="426"/>
      <c r="G38" s="426"/>
      <c r="H38" s="427"/>
      <c r="I38" s="73" t="s">
        <v>125</v>
      </c>
      <c r="J38" s="45">
        <v>1</v>
      </c>
      <c r="K38" s="456">
        <v>1024</v>
      </c>
      <c r="L38" s="457"/>
      <c r="M38" s="56">
        <f>K38*J38</f>
        <v>1024</v>
      </c>
    </row>
    <row r="39" spans="1:13">
      <c r="A39" s="425"/>
      <c r="B39" s="426"/>
      <c r="C39" s="426"/>
      <c r="D39" s="426"/>
      <c r="E39" s="426"/>
      <c r="F39" s="426"/>
      <c r="G39" s="426"/>
      <c r="H39" s="427"/>
      <c r="I39" s="73"/>
      <c r="J39" s="165"/>
      <c r="K39" s="456"/>
      <c r="L39" s="457"/>
      <c r="M39" s="56"/>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ht="15.75" thickBot="1">
      <c r="A42" s="410"/>
      <c r="B42" s="411"/>
      <c r="C42" s="411"/>
      <c r="D42" s="411"/>
      <c r="E42" s="411"/>
      <c r="F42" s="411"/>
      <c r="G42" s="411"/>
      <c r="H42" s="412"/>
      <c r="I42" s="74"/>
      <c r="J42" s="57"/>
      <c r="K42" s="466"/>
      <c r="L42" s="467"/>
      <c r="M42" s="75"/>
    </row>
    <row r="43" spans="1:13" ht="15.75" thickBot="1">
      <c r="A43" s="416" t="s">
        <v>87</v>
      </c>
      <c r="B43" s="417"/>
      <c r="C43" s="417"/>
      <c r="D43" s="417"/>
      <c r="E43" s="417"/>
      <c r="F43" s="417"/>
      <c r="G43" s="417"/>
      <c r="H43" s="417"/>
      <c r="I43" s="417"/>
      <c r="J43" s="417"/>
      <c r="K43" s="417"/>
      <c r="L43" s="418"/>
      <c r="M43" s="58">
        <f>SUM(M38:M42)</f>
        <v>1024</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110" t="s">
        <v>92</v>
      </c>
      <c r="I47" s="104" t="s">
        <v>93</v>
      </c>
      <c r="J47" s="60" t="s">
        <v>94</v>
      </c>
      <c r="K47" s="421" t="s">
        <v>95</v>
      </c>
      <c r="L47" s="424"/>
      <c r="M47" s="44" t="s">
        <v>85</v>
      </c>
    </row>
    <row r="48" spans="1:13">
      <c r="A48" s="425"/>
      <c r="B48" s="426"/>
      <c r="C48" s="426"/>
      <c r="D48" s="426"/>
      <c r="E48" s="426"/>
      <c r="F48" s="426"/>
      <c r="G48" s="426"/>
      <c r="H48" s="61"/>
      <c r="I48" s="55"/>
      <c r="J48" s="61"/>
      <c r="K48" s="428"/>
      <c r="L48" s="429"/>
      <c r="M48" s="62"/>
    </row>
    <row r="49" spans="1:15" ht="15.75" thickBot="1">
      <c r="A49" s="410"/>
      <c r="B49" s="411"/>
      <c r="C49" s="411"/>
      <c r="D49" s="411"/>
      <c r="E49" s="411"/>
      <c r="F49" s="411"/>
      <c r="G49" s="411"/>
      <c r="H49" s="47"/>
      <c r="I49" s="15"/>
      <c r="J49" s="47"/>
      <c r="K49" s="414"/>
      <c r="L49" s="415"/>
      <c r="M49" s="48"/>
    </row>
    <row r="50" spans="1:15" ht="15.75" thickBot="1">
      <c r="A50" s="416" t="s">
        <v>87</v>
      </c>
      <c r="B50" s="417"/>
      <c r="C50" s="417"/>
      <c r="D50" s="417"/>
      <c r="E50" s="417"/>
      <c r="F50" s="417"/>
      <c r="G50" s="417"/>
      <c r="H50" s="417"/>
      <c r="I50" s="417"/>
      <c r="J50" s="417"/>
      <c r="K50" s="417"/>
      <c r="L50" s="418"/>
      <c r="M50" s="63">
        <f>SUM(M48:M49)</f>
        <v>0</v>
      </c>
    </row>
    <row r="51" spans="1:15">
      <c r="A51" s="30"/>
      <c r="B51" s="19"/>
      <c r="C51" s="19"/>
      <c r="D51" s="19"/>
      <c r="E51" s="19"/>
      <c r="F51" s="19"/>
      <c r="G51" s="19"/>
      <c r="H51" s="19"/>
      <c r="I51" s="19"/>
      <c r="J51" s="19"/>
      <c r="K51" s="19"/>
      <c r="L51" s="19"/>
      <c r="M51" s="24"/>
    </row>
    <row r="52" spans="1:15">
      <c r="A52" s="51" t="s">
        <v>96</v>
      </c>
      <c r="B52" s="52"/>
      <c r="C52" s="52"/>
      <c r="D52" s="52"/>
      <c r="E52" s="52"/>
      <c r="F52" s="52"/>
      <c r="G52" s="52"/>
      <c r="H52" s="52"/>
      <c r="I52" s="52"/>
      <c r="J52" s="52"/>
      <c r="K52" s="52"/>
      <c r="L52" s="52"/>
      <c r="M52" s="53"/>
    </row>
    <row r="53" spans="1:15" ht="15.75" thickBot="1">
      <c r="A53" s="30"/>
      <c r="B53" s="19"/>
      <c r="C53" s="19"/>
      <c r="D53" s="19"/>
      <c r="E53" s="19"/>
      <c r="F53" s="19"/>
      <c r="G53" s="19"/>
      <c r="H53" s="19"/>
      <c r="I53" s="19"/>
      <c r="J53" s="19"/>
      <c r="K53" s="19"/>
      <c r="L53" s="19"/>
      <c r="M53" s="24"/>
    </row>
    <row r="54" spans="1:15" ht="26.25">
      <c r="A54" s="453" t="s">
        <v>97</v>
      </c>
      <c r="B54" s="454"/>
      <c r="C54" s="454"/>
      <c r="D54" s="454"/>
      <c r="E54" s="454"/>
      <c r="F54" s="454"/>
      <c r="G54" s="454"/>
      <c r="H54" s="110" t="s">
        <v>98</v>
      </c>
      <c r="I54" s="111" t="s">
        <v>99</v>
      </c>
      <c r="J54" s="111" t="s">
        <v>100</v>
      </c>
      <c r="K54" s="455" t="s">
        <v>84</v>
      </c>
      <c r="L54" s="455"/>
      <c r="M54" s="65" t="s">
        <v>85</v>
      </c>
    </row>
    <row r="55" spans="1:15" ht="15.75" thickBot="1">
      <c r="A55" s="432" t="s">
        <v>135</v>
      </c>
      <c r="B55" s="433"/>
      <c r="C55" s="433"/>
      <c r="D55" s="433"/>
      <c r="E55" s="433"/>
      <c r="F55" s="433"/>
      <c r="G55" s="433"/>
      <c r="H55" s="3">
        <v>122202.95454545444</v>
      </c>
      <c r="I55" s="4">
        <v>2.2000000000000002</v>
      </c>
      <c r="J55" s="67">
        <f>(I55*H55)</f>
        <v>268846.49999999977</v>
      </c>
      <c r="K55" s="470">
        <v>40</v>
      </c>
      <c r="L55" s="470"/>
      <c r="M55" s="68">
        <f>J55/K55</f>
        <v>6721.162499999994</v>
      </c>
    </row>
    <row r="56" spans="1:15" ht="15.75" thickBot="1">
      <c r="A56" s="435" t="s">
        <v>87</v>
      </c>
      <c r="B56" s="436"/>
      <c r="C56" s="436"/>
      <c r="D56" s="436"/>
      <c r="E56" s="436"/>
      <c r="F56" s="436"/>
      <c r="G56" s="436"/>
      <c r="H56" s="436"/>
      <c r="I56" s="436"/>
      <c r="J56" s="436"/>
      <c r="K56" s="436"/>
      <c r="L56" s="437"/>
      <c r="M56" s="69">
        <f>SUM(M55:M55)</f>
        <v>6721.162499999994</v>
      </c>
      <c r="O56" s="155"/>
    </row>
    <row r="57" spans="1:15" ht="15.75" thickBot="1">
      <c r="A57" s="30"/>
      <c r="B57" s="19"/>
      <c r="C57" s="19"/>
      <c r="D57" s="19"/>
      <c r="E57" s="19"/>
      <c r="F57" s="19"/>
      <c r="G57" s="19"/>
      <c r="H57" s="19"/>
      <c r="I57" s="19"/>
      <c r="J57" s="19"/>
      <c r="K57" s="19"/>
      <c r="L57" s="19"/>
      <c r="M57" s="24"/>
    </row>
    <row r="58" spans="1:15" ht="15.75" thickBot="1">
      <c r="A58" s="416" t="s">
        <v>101</v>
      </c>
      <c r="B58" s="417"/>
      <c r="C58" s="417"/>
      <c r="D58" s="417"/>
      <c r="E58" s="417"/>
      <c r="F58" s="417"/>
      <c r="G58" s="417"/>
      <c r="H58" s="417"/>
      <c r="I58" s="417"/>
      <c r="J58" s="417"/>
      <c r="K58" s="417"/>
      <c r="L58" s="418"/>
      <c r="M58" s="70">
        <f>ROUND(M56+M50+M43+M33,0)</f>
        <v>7745</v>
      </c>
      <c r="N58" s="155"/>
    </row>
    <row r="59" spans="1:15">
      <c r="A59" s="30"/>
      <c r="B59" s="19"/>
      <c r="C59" s="19"/>
      <c r="D59" s="19"/>
      <c r="E59" s="19"/>
      <c r="F59" s="19"/>
      <c r="G59" s="19"/>
      <c r="H59" s="19"/>
      <c r="I59" s="19"/>
      <c r="J59" s="19"/>
      <c r="K59" s="19"/>
      <c r="L59" s="19"/>
      <c r="M59" s="24"/>
    </row>
    <row r="60" spans="1:15">
      <c r="A60" s="51" t="s">
        <v>102</v>
      </c>
      <c r="B60" s="52"/>
      <c r="C60" s="52"/>
      <c r="D60" s="52"/>
      <c r="E60" s="52"/>
      <c r="F60" s="52"/>
      <c r="G60" s="52"/>
      <c r="H60" s="52"/>
      <c r="I60" s="52"/>
      <c r="J60" s="52"/>
      <c r="K60" s="52"/>
      <c r="L60" s="52"/>
      <c r="M60" s="53"/>
    </row>
    <row r="61" spans="1:15" ht="15.75" thickBot="1">
      <c r="A61" s="30"/>
      <c r="B61" s="19"/>
      <c r="C61" s="19"/>
      <c r="D61" s="19"/>
      <c r="E61" s="19"/>
      <c r="F61" s="19"/>
      <c r="G61" s="19"/>
      <c r="H61" s="19"/>
      <c r="I61" s="19"/>
      <c r="J61" s="19"/>
      <c r="K61" s="19"/>
      <c r="L61" s="19"/>
      <c r="M61" s="24"/>
    </row>
    <row r="62" spans="1:15" ht="15.75" thickBot="1">
      <c r="A62" s="438" t="s">
        <v>103</v>
      </c>
      <c r="B62" s="439"/>
      <c r="C62" s="439"/>
      <c r="D62" s="439"/>
      <c r="E62" s="439"/>
      <c r="F62" s="439"/>
      <c r="G62" s="439"/>
      <c r="H62" s="106"/>
      <c r="I62" s="107"/>
      <c r="J62" s="81" t="s">
        <v>104</v>
      </c>
      <c r="K62" s="440" t="s">
        <v>105</v>
      </c>
      <c r="L62" s="441"/>
      <c r="M62" s="82"/>
    </row>
    <row r="63" spans="1:15">
      <c r="A63" s="442" t="s">
        <v>106</v>
      </c>
      <c r="B63" s="443"/>
      <c r="C63" s="443"/>
      <c r="D63" s="443"/>
      <c r="E63" s="443"/>
      <c r="F63" s="443"/>
      <c r="G63" s="443"/>
      <c r="H63" s="83"/>
      <c r="I63" s="84"/>
      <c r="J63" s="85">
        <v>0.19</v>
      </c>
      <c r="K63" s="444">
        <f>M58*J63</f>
        <v>1471.55</v>
      </c>
      <c r="L63" s="444"/>
      <c r="M63" s="86"/>
    </row>
    <row r="64" spans="1:15">
      <c r="A64" s="447" t="s">
        <v>107</v>
      </c>
      <c r="B64" s="448"/>
      <c r="C64" s="448"/>
      <c r="D64" s="448"/>
      <c r="E64" s="448"/>
      <c r="F64" s="448"/>
      <c r="G64" s="449"/>
      <c r="H64" s="77"/>
      <c r="I64" s="78"/>
      <c r="J64" s="5">
        <v>0.01</v>
      </c>
      <c r="K64" s="445">
        <f>M58*J64</f>
        <v>77.45</v>
      </c>
      <c r="L64" s="445"/>
      <c r="M64" s="6"/>
    </row>
    <row r="65" spans="1:13">
      <c r="A65" s="447" t="s">
        <v>108</v>
      </c>
      <c r="B65" s="448"/>
      <c r="C65" s="448"/>
      <c r="D65" s="448"/>
      <c r="E65" s="448"/>
      <c r="F65" s="448"/>
      <c r="G65" s="449"/>
      <c r="H65" s="77"/>
      <c r="I65" s="78"/>
      <c r="J65" s="5">
        <v>0.05</v>
      </c>
      <c r="K65" s="445">
        <f>M58*J65</f>
        <v>387.25</v>
      </c>
      <c r="L65" s="445"/>
      <c r="M65" s="6"/>
    </row>
    <row r="66" spans="1:13" ht="15.75" thickBot="1">
      <c r="A66" s="450" t="s">
        <v>117</v>
      </c>
      <c r="B66" s="451"/>
      <c r="C66" s="451"/>
      <c r="D66" s="451"/>
      <c r="E66" s="451"/>
      <c r="F66" s="451"/>
      <c r="G66" s="452"/>
      <c r="H66" s="87"/>
      <c r="I66" s="88"/>
      <c r="J66" s="89">
        <v>0.19</v>
      </c>
      <c r="K66" s="446">
        <f>K65*J66</f>
        <v>73.577500000000001</v>
      </c>
      <c r="L66" s="446"/>
      <c r="M66" s="90"/>
    </row>
    <row r="67" spans="1:13" ht="15.75" thickBot="1">
      <c r="A67" s="435" t="s">
        <v>87</v>
      </c>
      <c r="B67" s="436"/>
      <c r="C67" s="436"/>
      <c r="D67" s="436"/>
      <c r="E67" s="436"/>
      <c r="F67" s="436"/>
      <c r="G67" s="436"/>
      <c r="H67" s="436"/>
      <c r="I67" s="436"/>
      <c r="J67" s="436"/>
      <c r="K67" s="436"/>
      <c r="L67" s="437"/>
      <c r="M67" s="76">
        <f>SUM(K63:L66)</f>
        <v>2009.8275000000001</v>
      </c>
    </row>
    <row r="68" spans="1:13" ht="15.75" thickBot="1">
      <c r="A68" s="30"/>
      <c r="B68" s="19"/>
      <c r="C68" s="19"/>
      <c r="D68" s="19"/>
      <c r="E68" s="19"/>
      <c r="F68" s="19"/>
      <c r="G68" s="19"/>
      <c r="H68" s="19"/>
      <c r="I68" s="19"/>
      <c r="J68" s="19"/>
      <c r="K68" s="19"/>
      <c r="L68" s="19"/>
      <c r="M68" s="24"/>
    </row>
    <row r="69" spans="1:13" ht="15.75" thickBot="1">
      <c r="A69" s="416" t="s">
        <v>109</v>
      </c>
      <c r="B69" s="417"/>
      <c r="C69" s="417"/>
      <c r="D69" s="417"/>
      <c r="E69" s="417"/>
      <c r="F69" s="417"/>
      <c r="G69" s="417"/>
      <c r="H69" s="417"/>
      <c r="I69" s="417"/>
      <c r="J69" s="417"/>
      <c r="K69" s="417"/>
      <c r="L69" s="418"/>
      <c r="M69" s="71">
        <f>ROUND(M58+M67,0)</f>
        <v>9755</v>
      </c>
    </row>
  </sheetData>
  <mergeCells count="71">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L56"/>
    <mergeCell ref="A58:L58"/>
    <mergeCell ref="A62:G62"/>
    <mergeCell ref="K62:L62"/>
    <mergeCell ref="A66:G66"/>
    <mergeCell ref="K66:L66"/>
    <mergeCell ref="A67:L67"/>
    <mergeCell ref="A69:L69"/>
    <mergeCell ref="A63:G63"/>
    <mergeCell ref="K63:L63"/>
    <mergeCell ref="A64:G64"/>
    <mergeCell ref="K64:L64"/>
    <mergeCell ref="A65:G65"/>
    <mergeCell ref="K65:L65"/>
  </mergeCells>
  <pageMargins left="0.7" right="0.7" top="0.75" bottom="0.75" header="0.3" footer="0.3"/>
  <pageSetup scale="5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topLeftCell="A43" zoomScale="80" zoomScaleNormal="100" zoomScaleSheetLayoutView="80" workbookViewId="0">
      <selection activeCell="M58" sqref="M58"/>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08"/>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09" t="s">
        <v>71</v>
      </c>
      <c r="H12" s="394"/>
      <c r="I12" s="394"/>
      <c r="J12" s="23"/>
      <c r="K12" s="23"/>
      <c r="L12" s="23"/>
      <c r="M12" s="24"/>
    </row>
    <row r="13" spans="1:13">
      <c r="A13" s="25" t="s">
        <v>72</v>
      </c>
      <c r="B13" s="26"/>
      <c r="C13" s="395" t="s">
        <v>136</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09"/>
      <c r="D17" s="109"/>
      <c r="E17" s="109"/>
      <c r="F17" s="109"/>
      <c r="G17" s="109"/>
      <c r="H17" s="109"/>
      <c r="I17" s="109"/>
      <c r="J17" s="109"/>
      <c r="K17" s="109"/>
      <c r="L17" s="109"/>
      <c r="M17" s="13"/>
    </row>
    <row r="18" spans="1:13">
      <c r="A18" s="25" t="s">
        <v>74</v>
      </c>
      <c r="B18" s="26"/>
      <c r="C18" s="379"/>
      <c r="D18" s="379"/>
      <c r="E18" s="379"/>
      <c r="F18" s="379"/>
      <c r="G18" s="379"/>
      <c r="H18" s="379"/>
      <c r="I18" s="379"/>
      <c r="J18" s="379"/>
      <c r="K18" s="379"/>
      <c r="L18" s="379"/>
      <c r="M18" s="380"/>
    </row>
    <row r="19" spans="1:13">
      <c r="A19" s="25"/>
      <c r="B19" s="26"/>
      <c r="C19" s="109"/>
      <c r="D19" s="109"/>
      <c r="E19" s="109"/>
      <c r="F19" s="109"/>
      <c r="G19" s="109"/>
      <c r="H19" s="109"/>
      <c r="I19" s="109"/>
      <c r="J19" s="109"/>
      <c r="K19" s="109"/>
      <c r="L19" s="109"/>
      <c r="M19" s="13"/>
    </row>
    <row r="20" spans="1:13" ht="31.5" customHeight="1">
      <c r="A20" s="464" t="s">
        <v>113</v>
      </c>
      <c r="B20" s="465"/>
      <c r="C20" s="379"/>
      <c r="D20" s="379"/>
      <c r="E20" s="379"/>
      <c r="F20" s="379"/>
      <c r="G20" s="379"/>
      <c r="H20" s="379"/>
      <c r="I20" s="379"/>
      <c r="J20" s="379"/>
      <c r="K20" s="379"/>
      <c r="L20" s="379"/>
      <c r="M20" s="380"/>
    </row>
    <row r="21" spans="1:13">
      <c r="A21" s="400"/>
      <c r="B21" s="401"/>
      <c r="C21" s="109"/>
      <c r="D21" s="109"/>
      <c r="E21" s="109"/>
      <c r="F21" s="109"/>
      <c r="G21" s="109"/>
      <c r="H21" s="109"/>
      <c r="I21" s="109"/>
      <c r="J21" s="109"/>
      <c r="K21" s="109"/>
      <c r="L21" s="109"/>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03" t="s">
        <v>78</v>
      </c>
      <c r="K25" s="408" t="s">
        <v>79</v>
      </c>
      <c r="L25" s="409"/>
      <c r="M25" s="31" t="s">
        <v>80</v>
      </c>
    </row>
    <row r="26" spans="1:13" ht="15.75" thickBot="1">
      <c r="A26" s="156"/>
      <c r="B26" s="391" t="s">
        <v>152</v>
      </c>
      <c r="C26" s="392"/>
      <c r="D26" s="392"/>
      <c r="E26" s="392"/>
      <c r="F26" s="392"/>
      <c r="G26" s="392"/>
      <c r="H26" s="392"/>
      <c r="I26" s="393"/>
      <c r="J26" s="100">
        <v>1</v>
      </c>
      <c r="K26" s="391" t="s">
        <v>9</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10" t="s">
        <v>83</v>
      </c>
      <c r="K30" s="421" t="s">
        <v>84</v>
      </c>
      <c r="L30" s="424"/>
      <c r="M30" s="44" t="s">
        <v>85</v>
      </c>
    </row>
    <row r="31" spans="1:13">
      <c r="A31" s="425" t="s">
        <v>134</v>
      </c>
      <c r="B31" s="426"/>
      <c r="C31" s="426"/>
      <c r="D31" s="426"/>
      <c r="E31" s="427"/>
      <c r="F31" s="428" t="s">
        <v>123</v>
      </c>
      <c r="G31" s="429"/>
      <c r="H31" s="430" t="s">
        <v>86</v>
      </c>
      <c r="I31" s="427"/>
      <c r="J31" s="72">
        <v>70067</v>
      </c>
      <c r="K31" s="468">
        <v>17</v>
      </c>
      <c r="L31" s="469"/>
      <c r="M31" s="46">
        <f>J31/K31</f>
        <v>4121.588235294118</v>
      </c>
    </row>
    <row r="32" spans="1:13" ht="15.75" thickBot="1">
      <c r="A32" s="410"/>
      <c r="B32" s="411"/>
      <c r="C32" s="411"/>
      <c r="D32" s="411"/>
      <c r="E32" s="412"/>
      <c r="F32" s="414"/>
      <c r="G32" s="415"/>
      <c r="H32" s="413"/>
      <c r="I32" s="412"/>
      <c r="J32" s="157"/>
      <c r="K32" s="414"/>
      <c r="L32" s="415"/>
      <c r="M32" s="48"/>
    </row>
    <row r="33" spans="1:13" ht="15.75" thickBot="1">
      <c r="A33" s="416" t="s">
        <v>87</v>
      </c>
      <c r="B33" s="417"/>
      <c r="C33" s="417"/>
      <c r="D33" s="417"/>
      <c r="E33" s="417"/>
      <c r="F33" s="417"/>
      <c r="G33" s="417"/>
      <c r="H33" s="417"/>
      <c r="I33" s="417"/>
      <c r="J33" s="417"/>
      <c r="K33" s="417"/>
      <c r="L33" s="418"/>
      <c r="M33" s="49">
        <f>SUM(M31:M32)</f>
        <v>4121.588235294118</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05" t="s">
        <v>79</v>
      </c>
      <c r="J37" s="110" t="s">
        <v>80</v>
      </c>
      <c r="K37" s="421" t="s">
        <v>89</v>
      </c>
      <c r="L37" s="424"/>
      <c r="M37" s="44" t="s">
        <v>85</v>
      </c>
    </row>
    <row r="38" spans="1:13">
      <c r="A38" s="425"/>
      <c r="B38" s="426"/>
      <c r="C38" s="426"/>
      <c r="D38" s="426"/>
      <c r="E38" s="426"/>
      <c r="F38" s="426"/>
      <c r="G38" s="426"/>
      <c r="H38" s="427"/>
      <c r="I38" s="73"/>
      <c r="J38" s="45"/>
      <c r="K38" s="456"/>
      <c r="L38" s="457"/>
      <c r="M38" s="56"/>
    </row>
    <row r="39" spans="1:13">
      <c r="A39" s="425"/>
      <c r="B39" s="426"/>
      <c r="C39" s="426"/>
      <c r="D39" s="426"/>
      <c r="E39" s="426"/>
      <c r="F39" s="426"/>
      <c r="G39" s="426"/>
      <c r="H39" s="427"/>
      <c r="I39" s="73"/>
      <c r="J39" s="165"/>
      <c r="K39" s="456"/>
      <c r="L39" s="457"/>
      <c r="M39" s="56"/>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ht="15.75" thickBot="1">
      <c r="A42" s="410"/>
      <c r="B42" s="411"/>
      <c r="C42" s="411"/>
      <c r="D42" s="411"/>
      <c r="E42" s="411"/>
      <c r="F42" s="411"/>
      <c r="G42" s="411"/>
      <c r="H42" s="412"/>
      <c r="I42" s="74"/>
      <c r="J42" s="57"/>
      <c r="K42" s="466"/>
      <c r="L42" s="467"/>
      <c r="M42" s="75"/>
    </row>
    <row r="43" spans="1:13" ht="15.75" thickBot="1">
      <c r="A43" s="416" t="s">
        <v>87</v>
      </c>
      <c r="B43" s="417"/>
      <c r="C43" s="417"/>
      <c r="D43" s="417"/>
      <c r="E43" s="417"/>
      <c r="F43" s="417"/>
      <c r="G43" s="417"/>
      <c r="H43" s="417"/>
      <c r="I43" s="417"/>
      <c r="J43" s="417"/>
      <c r="K43" s="417"/>
      <c r="L43" s="418"/>
      <c r="M43" s="58">
        <f>SUM(M38:M42)</f>
        <v>0</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110" t="s">
        <v>92</v>
      </c>
      <c r="I47" s="104" t="s">
        <v>93</v>
      </c>
      <c r="J47" s="60" t="s">
        <v>94</v>
      </c>
      <c r="K47" s="421" t="s">
        <v>95</v>
      </c>
      <c r="L47" s="424"/>
      <c r="M47" s="44" t="s">
        <v>85</v>
      </c>
    </row>
    <row r="48" spans="1:13">
      <c r="A48" s="425"/>
      <c r="B48" s="426"/>
      <c r="C48" s="426"/>
      <c r="D48" s="426"/>
      <c r="E48" s="426"/>
      <c r="F48" s="426"/>
      <c r="G48" s="426"/>
      <c r="H48" s="61"/>
      <c r="I48" s="55"/>
      <c r="J48" s="61"/>
      <c r="K48" s="428"/>
      <c r="L48" s="429"/>
      <c r="M48" s="62"/>
    </row>
    <row r="49" spans="1:15" ht="15.75" thickBot="1">
      <c r="A49" s="410"/>
      <c r="B49" s="411"/>
      <c r="C49" s="411"/>
      <c r="D49" s="411"/>
      <c r="E49" s="411"/>
      <c r="F49" s="411"/>
      <c r="G49" s="411"/>
      <c r="H49" s="47"/>
      <c r="I49" s="15"/>
      <c r="J49" s="47"/>
      <c r="K49" s="414"/>
      <c r="L49" s="415"/>
      <c r="M49" s="48"/>
    </row>
    <row r="50" spans="1:15" ht="15.75" thickBot="1">
      <c r="A50" s="416" t="s">
        <v>87</v>
      </c>
      <c r="B50" s="417"/>
      <c r="C50" s="417"/>
      <c r="D50" s="417"/>
      <c r="E50" s="417"/>
      <c r="F50" s="417"/>
      <c r="G50" s="417"/>
      <c r="H50" s="417"/>
      <c r="I50" s="417"/>
      <c r="J50" s="417"/>
      <c r="K50" s="417"/>
      <c r="L50" s="418"/>
      <c r="M50" s="63">
        <f>SUM(M48:M49)</f>
        <v>0</v>
      </c>
    </row>
    <row r="51" spans="1:15">
      <c r="A51" s="30"/>
      <c r="B51" s="19"/>
      <c r="C51" s="19"/>
      <c r="D51" s="19"/>
      <c r="E51" s="19"/>
      <c r="F51" s="19"/>
      <c r="G51" s="19"/>
      <c r="H51" s="19"/>
      <c r="I51" s="19"/>
      <c r="J51" s="19"/>
      <c r="K51" s="19"/>
      <c r="L51" s="19"/>
      <c r="M51" s="24"/>
    </row>
    <row r="52" spans="1:15">
      <c r="A52" s="51" t="s">
        <v>96</v>
      </c>
      <c r="B52" s="52"/>
      <c r="C52" s="52"/>
      <c r="D52" s="52"/>
      <c r="E52" s="52"/>
      <c r="F52" s="52"/>
      <c r="G52" s="52"/>
      <c r="H52" s="52"/>
      <c r="I52" s="52"/>
      <c r="J52" s="52"/>
      <c r="K52" s="52"/>
      <c r="L52" s="52"/>
      <c r="M52" s="53"/>
    </row>
    <row r="53" spans="1:15" ht="15.75" thickBot="1">
      <c r="A53" s="30"/>
      <c r="B53" s="19"/>
      <c r="C53" s="19"/>
      <c r="D53" s="19"/>
      <c r="E53" s="19"/>
      <c r="F53" s="19"/>
      <c r="G53" s="19"/>
      <c r="H53" s="19"/>
      <c r="I53" s="19"/>
      <c r="J53" s="19"/>
      <c r="K53" s="19"/>
      <c r="L53" s="19"/>
      <c r="M53" s="24"/>
    </row>
    <row r="54" spans="1:15" ht="26.25">
      <c r="A54" s="453" t="s">
        <v>97</v>
      </c>
      <c r="B54" s="454"/>
      <c r="C54" s="454"/>
      <c r="D54" s="454"/>
      <c r="E54" s="454"/>
      <c r="F54" s="454"/>
      <c r="G54" s="454"/>
      <c r="H54" s="110" t="s">
        <v>98</v>
      </c>
      <c r="I54" s="111" t="s">
        <v>99</v>
      </c>
      <c r="J54" s="111" t="s">
        <v>100</v>
      </c>
      <c r="K54" s="455" t="s">
        <v>84</v>
      </c>
      <c r="L54" s="455"/>
      <c r="M54" s="65" t="s">
        <v>85</v>
      </c>
    </row>
    <row r="55" spans="1:15" ht="15.75" thickBot="1">
      <c r="A55" s="432" t="s">
        <v>122</v>
      </c>
      <c r="B55" s="433"/>
      <c r="C55" s="433"/>
      <c r="D55" s="433"/>
      <c r="E55" s="433"/>
      <c r="F55" s="433"/>
      <c r="G55" s="433"/>
      <c r="H55" s="3">
        <v>85839.318181818162</v>
      </c>
      <c r="I55" s="4">
        <v>2.2000000000000002</v>
      </c>
      <c r="J55" s="67">
        <f>(I55*H55)</f>
        <v>188846.49999999997</v>
      </c>
      <c r="K55" s="434">
        <v>15.110848090462525</v>
      </c>
      <c r="L55" s="434"/>
      <c r="M55" s="68">
        <f>J55/K55</f>
        <v>12497.412380129328</v>
      </c>
    </row>
    <row r="56" spans="1:15" ht="15.75" thickBot="1">
      <c r="A56" s="435" t="s">
        <v>87</v>
      </c>
      <c r="B56" s="436"/>
      <c r="C56" s="436"/>
      <c r="D56" s="436"/>
      <c r="E56" s="436"/>
      <c r="F56" s="436"/>
      <c r="G56" s="436"/>
      <c r="H56" s="436"/>
      <c r="I56" s="436"/>
      <c r="J56" s="436"/>
      <c r="K56" s="436"/>
      <c r="L56" s="437"/>
      <c r="M56" s="69">
        <f>SUM(M55:M55)</f>
        <v>12497.412380129328</v>
      </c>
      <c r="O56" s="155"/>
    </row>
    <row r="57" spans="1:15" ht="15.75" thickBot="1">
      <c r="A57" s="30"/>
      <c r="B57" s="19"/>
      <c r="C57" s="19"/>
      <c r="D57" s="19"/>
      <c r="E57" s="19"/>
      <c r="F57" s="19"/>
      <c r="G57" s="19"/>
      <c r="H57" s="19"/>
      <c r="I57" s="19"/>
      <c r="J57" s="19"/>
      <c r="K57" s="19"/>
      <c r="L57" s="19"/>
      <c r="M57" s="24"/>
    </row>
    <row r="58" spans="1:15" ht="15.75" thickBot="1">
      <c r="A58" s="416" t="s">
        <v>101</v>
      </c>
      <c r="B58" s="417"/>
      <c r="C58" s="417"/>
      <c r="D58" s="417"/>
      <c r="E58" s="417"/>
      <c r="F58" s="417"/>
      <c r="G58" s="417"/>
      <c r="H58" s="417"/>
      <c r="I58" s="417"/>
      <c r="J58" s="417"/>
      <c r="K58" s="417"/>
      <c r="L58" s="418"/>
      <c r="M58" s="70">
        <f>ROUND(M56+M50+M43+M33,0)</f>
        <v>16619</v>
      </c>
      <c r="N58" s="155"/>
    </row>
    <row r="59" spans="1:15">
      <c r="A59" s="30"/>
      <c r="B59" s="19"/>
      <c r="C59" s="19"/>
      <c r="D59" s="19"/>
      <c r="E59" s="19"/>
      <c r="F59" s="19"/>
      <c r="G59" s="19"/>
      <c r="H59" s="19"/>
      <c r="I59" s="19"/>
      <c r="J59" s="19"/>
      <c r="K59" s="19"/>
      <c r="L59" s="19"/>
      <c r="M59" s="24"/>
    </row>
    <row r="60" spans="1:15">
      <c r="A60" s="51" t="s">
        <v>102</v>
      </c>
      <c r="B60" s="52"/>
      <c r="C60" s="52"/>
      <c r="D60" s="52"/>
      <c r="E60" s="52"/>
      <c r="F60" s="52"/>
      <c r="G60" s="52"/>
      <c r="H60" s="52"/>
      <c r="I60" s="52"/>
      <c r="J60" s="52"/>
      <c r="K60" s="52"/>
      <c r="L60" s="52"/>
      <c r="M60" s="53"/>
    </row>
    <row r="61" spans="1:15" ht="15.75" thickBot="1">
      <c r="A61" s="30"/>
      <c r="B61" s="19"/>
      <c r="C61" s="19"/>
      <c r="D61" s="19"/>
      <c r="E61" s="19"/>
      <c r="F61" s="19"/>
      <c r="G61" s="19"/>
      <c r="H61" s="19"/>
      <c r="I61" s="19"/>
      <c r="J61" s="19"/>
      <c r="K61" s="19"/>
      <c r="L61" s="19"/>
      <c r="M61" s="24"/>
    </row>
    <row r="62" spans="1:15" ht="15.75" thickBot="1">
      <c r="A62" s="438" t="s">
        <v>103</v>
      </c>
      <c r="B62" s="439"/>
      <c r="C62" s="439"/>
      <c r="D62" s="439"/>
      <c r="E62" s="439"/>
      <c r="F62" s="439"/>
      <c r="G62" s="439"/>
      <c r="H62" s="106"/>
      <c r="I62" s="107"/>
      <c r="J62" s="81" t="s">
        <v>104</v>
      </c>
      <c r="K62" s="440" t="s">
        <v>105</v>
      </c>
      <c r="L62" s="441"/>
      <c r="M62" s="82"/>
    </row>
    <row r="63" spans="1:15">
      <c r="A63" s="442" t="s">
        <v>106</v>
      </c>
      <c r="B63" s="443"/>
      <c r="C63" s="443"/>
      <c r="D63" s="443"/>
      <c r="E63" s="443"/>
      <c r="F63" s="443"/>
      <c r="G63" s="443"/>
      <c r="H63" s="83"/>
      <c r="I63" s="84"/>
      <c r="J63" s="85">
        <v>0.19</v>
      </c>
      <c r="K63" s="444">
        <f>M58*J63</f>
        <v>3157.61</v>
      </c>
      <c r="L63" s="444"/>
      <c r="M63" s="86"/>
    </row>
    <row r="64" spans="1:15">
      <c r="A64" s="447" t="s">
        <v>107</v>
      </c>
      <c r="B64" s="448"/>
      <c r="C64" s="448"/>
      <c r="D64" s="448"/>
      <c r="E64" s="448"/>
      <c r="F64" s="448"/>
      <c r="G64" s="449"/>
      <c r="H64" s="77"/>
      <c r="I64" s="78"/>
      <c r="J64" s="5">
        <v>0.01</v>
      </c>
      <c r="K64" s="445">
        <f>M58*J64</f>
        <v>166.19</v>
      </c>
      <c r="L64" s="445"/>
      <c r="M64" s="6"/>
    </row>
    <row r="65" spans="1:13">
      <c r="A65" s="447" t="s">
        <v>108</v>
      </c>
      <c r="B65" s="448"/>
      <c r="C65" s="448"/>
      <c r="D65" s="448"/>
      <c r="E65" s="448"/>
      <c r="F65" s="448"/>
      <c r="G65" s="449"/>
      <c r="H65" s="77"/>
      <c r="I65" s="78"/>
      <c r="J65" s="5">
        <v>0.05</v>
      </c>
      <c r="K65" s="445">
        <f>M58*J65</f>
        <v>830.95</v>
      </c>
      <c r="L65" s="445"/>
      <c r="M65" s="6"/>
    </row>
    <row r="66" spans="1:13" ht="15.75" thickBot="1">
      <c r="A66" s="450" t="s">
        <v>117</v>
      </c>
      <c r="B66" s="451"/>
      <c r="C66" s="451"/>
      <c r="D66" s="451"/>
      <c r="E66" s="451"/>
      <c r="F66" s="451"/>
      <c r="G66" s="452"/>
      <c r="H66" s="87"/>
      <c r="I66" s="88"/>
      <c r="J66" s="89">
        <v>0.19</v>
      </c>
      <c r="K66" s="446">
        <f>K65*J66</f>
        <v>157.88050000000001</v>
      </c>
      <c r="L66" s="446"/>
      <c r="M66" s="90"/>
    </row>
    <row r="67" spans="1:13" ht="15.75" thickBot="1">
      <c r="A67" s="435" t="s">
        <v>87</v>
      </c>
      <c r="B67" s="436"/>
      <c r="C67" s="436"/>
      <c r="D67" s="436"/>
      <c r="E67" s="436"/>
      <c r="F67" s="436"/>
      <c r="G67" s="436"/>
      <c r="H67" s="436"/>
      <c r="I67" s="436"/>
      <c r="J67" s="436"/>
      <c r="K67" s="436"/>
      <c r="L67" s="437"/>
      <c r="M67" s="76">
        <f>SUM(K63:L66)</f>
        <v>4312.6305000000002</v>
      </c>
    </row>
    <row r="68" spans="1:13" ht="15.75" thickBot="1">
      <c r="A68" s="30"/>
      <c r="B68" s="19"/>
      <c r="C68" s="19"/>
      <c r="D68" s="19"/>
      <c r="E68" s="19"/>
      <c r="F68" s="19"/>
      <c r="G68" s="19"/>
      <c r="H68" s="19"/>
      <c r="I68" s="19"/>
      <c r="J68" s="19"/>
      <c r="K68" s="19"/>
      <c r="L68" s="19"/>
      <c r="M68" s="24"/>
    </row>
    <row r="69" spans="1:13" ht="15.75" thickBot="1">
      <c r="A69" s="416" t="s">
        <v>109</v>
      </c>
      <c r="B69" s="417"/>
      <c r="C69" s="417"/>
      <c r="D69" s="417"/>
      <c r="E69" s="417"/>
      <c r="F69" s="417"/>
      <c r="G69" s="417"/>
      <c r="H69" s="417"/>
      <c r="I69" s="417"/>
      <c r="J69" s="417"/>
      <c r="K69" s="417"/>
      <c r="L69" s="418"/>
      <c r="M69" s="71">
        <f>ROUND(M58+M67,0)</f>
        <v>20932</v>
      </c>
    </row>
  </sheetData>
  <mergeCells count="71">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L56"/>
    <mergeCell ref="A58:L58"/>
    <mergeCell ref="A62:G62"/>
    <mergeCell ref="K62:L62"/>
    <mergeCell ref="A66:G66"/>
    <mergeCell ref="K66:L66"/>
    <mergeCell ref="A67:L67"/>
    <mergeCell ref="A69:L69"/>
    <mergeCell ref="A63:G63"/>
    <mergeCell ref="K63:L63"/>
    <mergeCell ref="A64:G64"/>
    <mergeCell ref="K64:L64"/>
    <mergeCell ref="A65:G65"/>
    <mergeCell ref="K65:L65"/>
  </mergeCells>
  <pageMargins left="0.7" right="0.7" top="0.75" bottom="0.75" header="0.3" footer="0.3"/>
  <pageSetup scale="5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1"/>
  <sheetViews>
    <sheetView view="pageBreakPreview" topLeftCell="A46" zoomScale="80" zoomScaleNormal="100" zoomScaleSheetLayoutView="80" workbookViewId="0">
      <selection activeCell="M60" sqref="M60"/>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08"/>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09"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09"/>
      <c r="D17" s="109"/>
      <c r="E17" s="109"/>
      <c r="F17" s="109"/>
      <c r="G17" s="109"/>
      <c r="H17" s="109"/>
      <c r="I17" s="109"/>
      <c r="J17" s="109"/>
      <c r="K17" s="109"/>
      <c r="L17" s="109"/>
      <c r="M17" s="13"/>
    </row>
    <row r="18" spans="1:13">
      <c r="A18" s="25" t="s">
        <v>74</v>
      </c>
      <c r="B18" s="26"/>
      <c r="C18" s="379"/>
      <c r="D18" s="379"/>
      <c r="E18" s="379"/>
      <c r="F18" s="379"/>
      <c r="G18" s="379"/>
      <c r="H18" s="379"/>
      <c r="I18" s="379"/>
      <c r="J18" s="379"/>
      <c r="K18" s="379"/>
      <c r="L18" s="379"/>
      <c r="M18" s="380"/>
    </row>
    <row r="19" spans="1:13">
      <c r="A19" s="25"/>
      <c r="B19" s="26"/>
      <c r="C19" s="109"/>
      <c r="D19" s="109"/>
      <c r="E19" s="109"/>
      <c r="F19" s="109"/>
      <c r="G19" s="109"/>
      <c r="H19" s="109"/>
      <c r="I19" s="109"/>
      <c r="J19" s="109"/>
      <c r="K19" s="109"/>
      <c r="L19" s="109"/>
      <c r="M19" s="13"/>
    </row>
    <row r="20" spans="1:13" ht="31.5" customHeight="1">
      <c r="A20" s="464" t="s">
        <v>113</v>
      </c>
      <c r="B20" s="465"/>
      <c r="C20" s="379"/>
      <c r="D20" s="379"/>
      <c r="E20" s="379"/>
      <c r="F20" s="379"/>
      <c r="G20" s="379"/>
      <c r="H20" s="379"/>
      <c r="I20" s="379"/>
      <c r="J20" s="379"/>
      <c r="K20" s="379"/>
      <c r="L20" s="379"/>
      <c r="M20" s="380"/>
    </row>
    <row r="21" spans="1:13">
      <c r="A21" s="400"/>
      <c r="B21" s="401"/>
      <c r="C21" s="109"/>
      <c r="D21" s="109"/>
      <c r="E21" s="109"/>
      <c r="F21" s="109"/>
      <c r="G21" s="109"/>
      <c r="H21" s="109"/>
      <c r="I21" s="109"/>
      <c r="J21" s="109"/>
      <c r="K21" s="109"/>
      <c r="L21" s="109"/>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03" t="s">
        <v>78</v>
      </c>
      <c r="K25" s="408" t="s">
        <v>79</v>
      </c>
      <c r="L25" s="409"/>
      <c r="M25" s="31" t="s">
        <v>80</v>
      </c>
    </row>
    <row r="26" spans="1:13" ht="15.75" thickBot="1">
      <c r="A26" s="33"/>
      <c r="B26" s="391" t="s">
        <v>7</v>
      </c>
      <c r="C26" s="392"/>
      <c r="D26" s="392"/>
      <c r="E26" s="392"/>
      <c r="F26" s="392"/>
      <c r="G26" s="392"/>
      <c r="H26" s="392"/>
      <c r="I26" s="393"/>
      <c r="J26" s="100">
        <v>1</v>
      </c>
      <c r="K26" s="391" t="str">
        <f>'[1]NUEVO DISEÑO'!C5</f>
        <v>ML</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10" t="s">
        <v>83</v>
      </c>
      <c r="K30" s="421" t="s">
        <v>84</v>
      </c>
      <c r="L30" s="424"/>
      <c r="M30" s="44" t="s">
        <v>85</v>
      </c>
    </row>
    <row r="31" spans="1:13">
      <c r="A31" s="425"/>
      <c r="B31" s="426"/>
      <c r="C31" s="426"/>
      <c r="D31" s="426"/>
      <c r="E31" s="427"/>
      <c r="F31" s="428"/>
      <c r="G31" s="429"/>
      <c r="H31" s="430"/>
      <c r="I31" s="427"/>
      <c r="J31" s="72"/>
      <c r="K31" s="428"/>
      <c r="L31" s="429"/>
      <c r="M31" s="46"/>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0</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05" t="s">
        <v>79</v>
      </c>
      <c r="J37" s="110" t="s">
        <v>80</v>
      </c>
      <c r="K37" s="421" t="s">
        <v>89</v>
      </c>
      <c r="L37" s="424"/>
      <c r="M37" s="44" t="s">
        <v>85</v>
      </c>
    </row>
    <row r="38" spans="1:13">
      <c r="A38" s="425" t="s">
        <v>118</v>
      </c>
      <c r="B38" s="426"/>
      <c r="C38" s="426"/>
      <c r="D38" s="426"/>
      <c r="E38" s="426"/>
      <c r="F38" s="426"/>
      <c r="G38" s="426"/>
      <c r="H38" s="427"/>
      <c r="I38" s="73" t="s">
        <v>8</v>
      </c>
      <c r="J38" s="45">
        <v>2</v>
      </c>
      <c r="K38" s="456">
        <v>2301</v>
      </c>
      <c r="L38" s="457"/>
      <c r="M38" s="56">
        <f>K38*J38</f>
        <v>4602</v>
      </c>
    </row>
    <row r="39" spans="1:13">
      <c r="A39" s="425" t="s">
        <v>114</v>
      </c>
      <c r="B39" s="426"/>
      <c r="C39" s="426"/>
      <c r="D39" s="426"/>
      <c r="E39" s="426"/>
      <c r="F39" s="426"/>
      <c r="G39" s="426"/>
      <c r="H39" s="427"/>
      <c r="I39" s="73" t="s">
        <v>111</v>
      </c>
      <c r="J39" s="45">
        <v>0.09</v>
      </c>
      <c r="K39" s="456">
        <v>5162</v>
      </c>
      <c r="L39" s="457"/>
      <c r="M39" s="56">
        <f>K39*J39</f>
        <v>464.58</v>
      </c>
    </row>
    <row r="40" spans="1:13">
      <c r="A40" s="425" t="s">
        <v>119</v>
      </c>
      <c r="B40" s="426"/>
      <c r="C40" s="426"/>
      <c r="D40" s="426"/>
      <c r="E40" s="426"/>
      <c r="F40" s="426"/>
      <c r="G40" s="426"/>
      <c r="H40" s="427"/>
      <c r="I40" s="73" t="s">
        <v>115</v>
      </c>
      <c r="J40" s="45">
        <v>1.4</v>
      </c>
      <c r="K40" s="456">
        <v>3308</v>
      </c>
      <c r="L40" s="457"/>
      <c r="M40" s="56">
        <f>K40*J40</f>
        <v>4631.2</v>
      </c>
    </row>
    <row r="41" spans="1:13">
      <c r="A41" s="425" t="s">
        <v>120</v>
      </c>
      <c r="B41" s="426"/>
      <c r="C41" s="426"/>
      <c r="D41" s="426"/>
      <c r="E41" s="426"/>
      <c r="F41" s="426"/>
      <c r="G41" s="426"/>
      <c r="H41" s="427"/>
      <c r="I41" s="73" t="s">
        <v>8</v>
      </c>
      <c r="J41" s="45">
        <v>1</v>
      </c>
      <c r="K41" s="456">
        <v>3200</v>
      </c>
      <c r="L41" s="457"/>
      <c r="M41" s="56">
        <f>K41*J41</f>
        <v>3200</v>
      </c>
    </row>
    <row r="42" spans="1:13" ht="15.75" thickBot="1">
      <c r="A42" s="410" t="s">
        <v>121</v>
      </c>
      <c r="B42" s="411"/>
      <c r="C42" s="411"/>
      <c r="D42" s="411"/>
      <c r="E42" s="411"/>
      <c r="F42" s="411"/>
      <c r="G42" s="411"/>
      <c r="H42" s="412"/>
      <c r="I42" s="74" t="s">
        <v>10</v>
      </c>
      <c r="J42" s="57">
        <v>0.01</v>
      </c>
      <c r="K42" s="466">
        <v>310036</v>
      </c>
      <c r="L42" s="467"/>
      <c r="M42" s="75">
        <f>K42*J42</f>
        <v>3100.36</v>
      </c>
    </row>
    <row r="43" spans="1:13" ht="15.75" thickBot="1">
      <c r="A43" s="416" t="s">
        <v>87</v>
      </c>
      <c r="B43" s="417"/>
      <c r="C43" s="417"/>
      <c r="D43" s="417"/>
      <c r="E43" s="417"/>
      <c r="F43" s="417"/>
      <c r="G43" s="417"/>
      <c r="H43" s="417"/>
      <c r="I43" s="417"/>
      <c r="J43" s="417"/>
      <c r="K43" s="417"/>
      <c r="L43" s="418"/>
      <c r="M43" s="58">
        <f>SUM(M38:M42)</f>
        <v>15998.14</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110" t="s">
        <v>92</v>
      </c>
      <c r="I47" s="104" t="s">
        <v>93</v>
      </c>
      <c r="J47" s="60" t="s">
        <v>94</v>
      </c>
      <c r="K47" s="421" t="s">
        <v>95</v>
      </c>
      <c r="L47" s="424"/>
      <c r="M47" s="44" t="s">
        <v>85</v>
      </c>
    </row>
    <row r="48" spans="1:13">
      <c r="A48" s="425"/>
      <c r="B48" s="426"/>
      <c r="C48" s="426"/>
      <c r="D48" s="426"/>
      <c r="E48" s="426"/>
      <c r="F48" s="426"/>
      <c r="G48" s="426"/>
      <c r="H48" s="61"/>
      <c r="I48" s="55"/>
      <c r="J48" s="61"/>
      <c r="K48" s="428"/>
      <c r="L48" s="429"/>
      <c r="M48" s="62"/>
    </row>
    <row r="49" spans="1:14" ht="15.75" thickBot="1">
      <c r="A49" s="410"/>
      <c r="B49" s="411"/>
      <c r="C49" s="411"/>
      <c r="D49" s="411"/>
      <c r="E49" s="411"/>
      <c r="F49" s="411"/>
      <c r="G49" s="411"/>
      <c r="H49" s="47"/>
      <c r="I49" s="15"/>
      <c r="J49" s="47"/>
      <c r="K49" s="414"/>
      <c r="L49" s="415"/>
      <c r="M49" s="48"/>
    </row>
    <row r="50" spans="1:14" ht="15.75" thickBot="1">
      <c r="A50" s="416" t="s">
        <v>87</v>
      </c>
      <c r="B50" s="417"/>
      <c r="C50" s="417"/>
      <c r="D50" s="417"/>
      <c r="E50" s="417"/>
      <c r="F50" s="417"/>
      <c r="G50" s="417"/>
      <c r="H50" s="417"/>
      <c r="I50" s="417"/>
      <c r="J50" s="417"/>
      <c r="K50" s="417"/>
      <c r="L50" s="418"/>
      <c r="M50" s="63">
        <f>SUM(M48:M49)</f>
        <v>0</v>
      </c>
    </row>
    <row r="51" spans="1:14">
      <c r="A51" s="30"/>
      <c r="B51" s="19"/>
      <c r="C51" s="19"/>
      <c r="D51" s="19"/>
      <c r="E51" s="19"/>
      <c r="F51" s="19"/>
      <c r="G51" s="19"/>
      <c r="H51" s="19"/>
      <c r="I51" s="19"/>
      <c r="J51" s="19"/>
      <c r="K51" s="19"/>
      <c r="L51" s="19"/>
      <c r="M51" s="24"/>
    </row>
    <row r="52" spans="1:14">
      <c r="A52" s="51" t="s">
        <v>96</v>
      </c>
      <c r="B52" s="52"/>
      <c r="C52" s="52"/>
      <c r="D52" s="52"/>
      <c r="E52" s="52"/>
      <c r="F52" s="52"/>
      <c r="G52" s="52"/>
      <c r="H52" s="52"/>
      <c r="I52" s="52"/>
      <c r="J52" s="52"/>
      <c r="K52" s="52"/>
      <c r="L52" s="52"/>
      <c r="M52" s="53"/>
    </row>
    <row r="53" spans="1:14" ht="15.75" thickBot="1">
      <c r="A53" s="30"/>
      <c r="B53" s="19"/>
      <c r="C53" s="19"/>
      <c r="D53" s="19"/>
      <c r="E53" s="19"/>
      <c r="F53" s="19"/>
      <c r="G53" s="19"/>
      <c r="H53" s="19"/>
      <c r="I53" s="19"/>
      <c r="J53" s="19"/>
      <c r="K53" s="19"/>
      <c r="L53" s="19"/>
      <c r="M53" s="24"/>
    </row>
    <row r="54" spans="1:14" ht="26.25">
      <c r="A54" s="453" t="s">
        <v>97</v>
      </c>
      <c r="B54" s="454"/>
      <c r="C54" s="454"/>
      <c r="D54" s="454"/>
      <c r="E54" s="454"/>
      <c r="F54" s="454"/>
      <c r="G54" s="454"/>
      <c r="H54" s="110" t="s">
        <v>98</v>
      </c>
      <c r="I54" s="111" t="s">
        <v>99</v>
      </c>
      <c r="J54" s="111" t="s">
        <v>100</v>
      </c>
      <c r="K54" s="455" t="s">
        <v>84</v>
      </c>
      <c r="L54" s="455"/>
      <c r="M54" s="65" t="s">
        <v>85</v>
      </c>
    </row>
    <row r="55" spans="1:14">
      <c r="A55" s="471" t="s">
        <v>122</v>
      </c>
      <c r="B55" s="472"/>
      <c r="C55" s="472"/>
      <c r="D55" s="472"/>
      <c r="E55" s="472"/>
      <c r="F55" s="472"/>
      <c r="G55" s="472"/>
      <c r="H55" s="1">
        <v>93129.381818181835</v>
      </c>
      <c r="I55" s="2">
        <v>2.2000000000000002</v>
      </c>
      <c r="J55" s="66">
        <f>(I55*H55)</f>
        <v>204884.64000000004</v>
      </c>
      <c r="K55" s="473">
        <v>24</v>
      </c>
      <c r="L55" s="473"/>
      <c r="M55" s="56">
        <f>J55/K55</f>
        <v>8536.8600000000024</v>
      </c>
    </row>
    <row r="56" spans="1:14">
      <c r="A56" s="471"/>
      <c r="B56" s="472"/>
      <c r="C56" s="472"/>
      <c r="D56" s="472"/>
      <c r="E56" s="472"/>
      <c r="F56" s="472"/>
      <c r="G56" s="472"/>
      <c r="H56" s="1"/>
      <c r="I56" s="2"/>
      <c r="J56" s="66"/>
      <c r="K56" s="473"/>
      <c r="L56" s="473"/>
      <c r="M56" s="56"/>
    </row>
    <row r="57" spans="1:14" ht="15.75" thickBot="1">
      <c r="A57" s="432"/>
      <c r="B57" s="433"/>
      <c r="C57" s="433"/>
      <c r="D57" s="433"/>
      <c r="E57" s="433"/>
      <c r="F57" s="433"/>
      <c r="G57" s="433"/>
      <c r="H57" s="3"/>
      <c r="I57" s="4"/>
      <c r="J57" s="67"/>
      <c r="K57" s="434"/>
      <c r="L57" s="434"/>
      <c r="M57" s="68"/>
    </row>
    <row r="58" spans="1:14" ht="15.75" thickBot="1">
      <c r="A58" s="435" t="s">
        <v>87</v>
      </c>
      <c r="B58" s="436"/>
      <c r="C58" s="436"/>
      <c r="D58" s="436"/>
      <c r="E58" s="436"/>
      <c r="F58" s="436"/>
      <c r="G58" s="436"/>
      <c r="H58" s="436"/>
      <c r="I58" s="436"/>
      <c r="J58" s="436"/>
      <c r="K58" s="436"/>
      <c r="L58" s="437"/>
      <c r="M58" s="69">
        <f>SUM(M55:M57)</f>
        <v>8536.8600000000024</v>
      </c>
    </row>
    <row r="59" spans="1:14" ht="15.75" thickBot="1">
      <c r="A59" s="30"/>
      <c r="B59" s="19"/>
      <c r="C59" s="19"/>
      <c r="D59" s="19"/>
      <c r="E59" s="19"/>
      <c r="F59" s="19"/>
      <c r="G59" s="19"/>
      <c r="H59" s="19"/>
      <c r="I59" s="19"/>
      <c r="J59" s="19"/>
      <c r="K59" s="19"/>
      <c r="L59" s="19"/>
      <c r="M59" s="24"/>
    </row>
    <row r="60" spans="1:14" ht="15.75" thickBot="1">
      <c r="A60" s="416" t="s">
        <v>101</v>
      </c>
      <c r="B60" s="417"/>
      <c r="C60" s="417"/>
      <c r="D60" s="417"/>
      <c r="E60" s="417"/>
      <c r="F60" s="417"/>
      <c r="G60" s="417"/>
      <c r="H60" s="417"/>
      <c r="I60" s="417"/>
      <c r="J60" s="417"/>
      <c r="K60" s="417"/>
      <c r="L60" s="418"/>
      <c r="M60" s="70">
        <f>ROUND(M58+M50+M43+M33,0)</f>
        <v>24535</v>
      </c>
      <c r="N60" s="155"/>
    </row>
    <row r="61" spans="1:14">
      <c r="A61" s="30"/>
      <c r="B61" s="19"/>
      <c r="C61" s="19"/>
      <c r="D61" s="19"/>
      <c r="E61" s="19"/>
      <c r="F61" s="19"/>
      <c r="G61" s="19"/>
      <c r="H61" s="19"/>
      <c r="I61" s="19"/>
      <c r="J61" s="19"/>
      <c r="K61" s="19"/>
      <c r="L61" s="19"/>
      <c r="M61" s="24"/>
    </row>
    <row r="62" spans="1:14">
      <c r="A62" s="51" t="s">
        <v>102</v>
      </c>
      <c r="B62" s="52"/>
      <c r="C62" s="52"/>
      <c r="D62" s="52"/>
      <c r="E62" s="52"/>
      <c r="F62" s="52"/>
      <c r="G62" s="52"/>
      <c r="H62" s="52"/>
      <c r="I62" s="52"/>
      <c r="J62" s="52"/>
      <c r="K62" s="52"/>
      <c r="L62" s="52"/>
      <c r="M62" s="53"/>
    </row>
    <row r="63" spans="1:14" ht="15.75" thickBot="1">
      <c r="A63" s="30"/>
      <c r="B63" s="19"/>
      <c r="C63" s="19"/>
      <c r="D63" s="19"/>
      <c r="E63" s="19"/>
      <c r="F63" s="19"/>
      <c r="G63" s="19"/>
      <c r="H63" s="19"/>
      <c r="I63" s="19"/>
      <c r="J63" s="19"/>
      <c r="K63" s="19"/>
      <c r="L63" s="19"/>
      <c r="M63" s="24"/>
    </row>
    <row r="64" spans="1:14" ht="15.75" thickBot="1">
      <c r="A64" s="438" t="s">
        <v>103</v>
      </c>
      <c r="B64" s="439"/>
      <c r="C64" s="439"/>
      <c r="D64" s="439"/>
      <c r="E64" s="439"/>
      <c r="F64" s="439"/>
      <c r="G64" s="439"/>
      <c r="H64" s="106"/>
      <c r="I64" s="107"/>
      <c r="J64" s="81" t="s">
        <v>104</v>
      </c>
      <c r="K64" s="440" t="s">
        <v>105</v>
      </c>
      <c r="L64" s="441"/>
      <c r="M64" s="82"/>
    </row>
    <row r="65" spans="1:13">
      <c r="A65" s="442" t="s">
        <v>106</v>
      </c>
      <c r="B65" s="443"/>
      <c r="C65" s="443"/>
      <c r="D65" s="443"/>
      <c r="E65" s="443"/>
      <c r="F65" s="443"/>
      <c r="G65" s="443"/>
      <c r="H65" s="83"/>
      <c r="I65" s="84"/>
      <c r="J65" s="85">
        <v>0.19</v>
      </c>
      <c r="K65" s="444">
        <f>M60*J65</f>
        <v>4661.6499999999996</v>
      </c>
      <c r="L65" s="444"/>
      <c r="M65" s="86"/>
    </row>
    <row r="66" spans="1:13">
      <c r="A66" s="447" t="s">
        <v>107</v>
      </c>
      <c r="B66" s="448"/>
      <c r="C66" s="448"/>
      <c r="D66" s="448"/>
      <c r="E66" s="448"/>
      <c r="F66" s="448"/>
      <c r="G66" s="449"/>
      <c r="H66" s="77"/>
      <c r="I66" s="78"/>
      <c r="J66" s="5">
        <v>0.01</v>
      </c>
      <c r="K66" s="445">
        <f>M60*J66</f>
        <v>245.35</v>
      </c>
      <c r="L66" s="445"/>
      <c r="M66" s="6"/>
    </row>
    <row r="67" spans="1:13">
      <c r="A67" s="447" t="s">
        <v>108</v>
      </c>
      <c r="B67" s="448"/>
      <c r="C67" s="448"/>
      <c r="D67" s="448"/>
      <c r="E67" s="448"/>
      <c r="F67" s="448"/>
      <c r="G67" s="449"/>
      <c r="H67" s="77"/>
      <c r="I67" s="78"/>
      <c r="J67" s="5">
        <v>0.05</v>
      </c>
      <c r="K67" s="445">
        <f>M60*J67</f>
        <v>1226.75</v>
      </c>
      <c r="L67" s="445"/>
      <c r="M67" s="6"/>
    </row>
    <row r="68" spans="1:13" ht="15.75" thickBot="1">
      <c r="A68" s="450" t="s">
        <v>117</v>
      </c>
      <c r="B68" s="451"/>
      <c r="C68" s="451"/>
      <c r="D68" s="451"/>
      <c r="E68" s="451"/>
      <c r="F68" s="451"/>
      <c r="G68" s="452"/>
      <c r="H68" s="87"/>
      <c r="I68" s="88"/>
      <c r="J68" s="89">
        <v>0.19</v>
      </c>
      <c r="K68" s="446">
        <f>K67*J68</f>
        <v>233.08250000000001</v>
      </c>
      <c r="L68" s="446"/>
      <c r="M68" s="90"/>
    </row>
    <row r="69" spans="1:13" ht="15.75" thickBot="1">
      <c r="A69" s="435" t="s">
        <v>87</v>
      </c>
      <c r="B69" s="436"/>
      <c r="C69" s="436"/>
      <c r="D69" s="436"/>
      <c r="E69" s="436"/>
      <c r="F69" s="436"/>
      <c r="G69" s="436"/>
      <c r="H69" s="436"/>
      <c r="I69" s="436"/>
      <c r="J69" s="436"/>
      <c r="K69" s="436"/>
      <c r="L69" s="437"/>
      <c r="M69" s="76">
        <f>SUM(K65:L68)</f>
        <v>6366.8325000000004</v>
      </c>
    </row>
    <row r="70" spans="1:13" ht="15.75" thickBot="1">
      <c r="A70" s="30"/>
      <c r="B70" s="19"/>
      <c r="C70" s="19"/>
      <c r="D70" s="19"/>
      <c r="E70" s="19"/>
      <c r="F70" s="19"/>
      <c r="G70" s="19"/>
      <c r="H70" s="19"/>
      <c r="I70" s="19"/>
      <c r="J70" s="19"/>
      <c r="K70" s="19"/>
      <c r="L70" s="19"/>
      <c r="M70" s="24"/>
    </row>
    <row r="71" spans="1:13" ht="15.75" thickBot="1">
      <c r="A71" s="416" t="s">
        <v>109</v>
      </c>
      <c r="B71" s="417"/>
      <c r="C71" s="417"/>
      <c r="D71" s="417"/>
      <c r="E71" s="417"/>
      <c r="F71" s="417"/>
      <c r="G71" s="417"/>
      <c r="H71" s="417"/>
      <c r="I71" s="417"/>
      <c r="J71" s="417"/>
      <c r="K71" s="417"/>
      <c r="L71" s="418"/>
      <c r="M71" s="71">
        <f>ROUND(M60+M69,0)</f>
        <v>30902</v>
      </c>
    </row>
  </sheetData>
  <mergeCells count="75">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G56"/>
    <mergeCell ref="K56:L56"/>
    <mergeCell ref="A57:G57"/>
    <mergeCell ref="K57:L57"/>
    <mergeCell ref="A58:L58"/>
    <mergeCell ref="A60:L60"/>
    <mergeCell ref="A64:G64"/>
    <mergeCell ref="K64:L64"/>
    <mergeCell ref="A65:G65"/>
    <mergeCell ref="K65:L65"/>
    <mergeCell ref="A69:L69"/>
    <mergeCell ref="A71:L71"/>
    <mergeCell ref="A66:G66"/>
    <mergeCell ref="K66:L66"/>
    <mergeCell ref="A67:G67"/>
    <mergeCell ref="K67:L67"/>
    <mergeCell ref="A68:G68"/>
    <mergeCell ref="K68:L68"/>
  </mergeCells>
  <pageMargins left="0.7" right="0.7" top="0.75" bottom="0.75" header="0.3" footer="0.3"/>
  <pageSetup scale="57"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
  <sheetViews>
    <sheetView view="pageBreakPreview" topLeftCell="A46" zoomScale="80" zoomScaleNormal="100" zoomScaleSheetLayoutView="80" workbookViewId="0">
      <selection activeCell="M61" sqref="M61"/>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08"/>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09"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09"/>
      <c r="D17" s="109"/>
      <c r="E17" s="109"/>
      <c r="F17" s="109"/>
      <c r="G17" s="109"/>
      <c r="H17" s="109"/>
      <c r="I17" s="109"/>
      <c r="J17" s="109"/>
      <c r="K17" s="109"/>
      <c r="L17" s="109"/>
      <c r="M17" s="13"/>
    </row>
    <row r="18" spans="1:13">
      <c r="A18" s="25" t="s">
        <v>74</v>
      </c>
      <c r="B18" s="26"/>
      <c r="C18" s="379"/>
      <c r="D18" s="379"/>
      <c r="E18" s="379"/>
      <c r="F18" s="379"/>
      <c r="G18" s="379"/>
      <c r="H18" s="379"/>
      <c r="I18" s="379"/>
      <c r="J18" s="379"/>
      <c r="K18" s="379"/>
      <c r="L18" s="379"/>
      <c r="M18" s="380"/>
    </row>
    <row r="19" spans="1:13">
      <c r="A19" s="25"/>
      <c r="B19" s="26"/>
      <c r="C19" s="109"/>
      <c r="D19" s="109"/>
      <c r="E19" s="109"/>
      <c r="F19" s="109"/>
      <c r="G19" s="109"/>
      <c r="H19" s="109"/>
      <c r="I19" s="109"/>
      <c r="J19" s="109"/>
      <c r="K19" s="109"/>
      <c r="L19" s="109"/>
      <c r="M19" s="13"/>
    </row>
    <row r="20" spans="1:13" ht="31.5" customHeight="1">
      <c r="A20" s="464" t="s">
        <v>113</v>
      </c>
      <c r="B20" s="465"/>
      <c r="C20" s="379"/>
      <c r="D20" s="379"/>
      <c r="E20" s="379"/>
      <c r="F20" s="379"/>
      <c r="G20" s="379"/>
      <c r="H20" s="379"/>
      <c r="I20" s="379"/>
      <c r="J20" s="379"/>
      <c r="K20" s="379"/>
      <c r="L20" s="379"/>
      <c r="M20" s="380"/>
    </row>
    <row r="21" spans="1:13">
      <c r="A21" s="400"/>
      <c r="B21" s="401"/>
      <c r="C21" s="109"/>
      <c r="D21" s="109"/>
      <c r="E21" s="109"/>
      <c r="F21" s="109"/>
      <c r="G21" s="109"/>
      <c r="H21" s="109"/>
      <c r="I21" s="109"/>
      <c r="J21" s="109"/>
      <c r="K21" s="109"/>
      <c r="L21" s="109"/>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03" t="s">
        <v>78</v>
      </c>
      <c r="K25" s="408" t="s">
        <v>79</v>
      </c>
      <c r="L25" s="409"/>
      <c r="M25" s="31" t="s">
        <v>80</v>
      </c>
    </row>
    <row r="26" spans="1:13" ht="15.75" thickBot="1">
      <c r="A26" s="33"/>
      <c r="B26" s="391" t="s">
        <v>154</v>
      </c>
      <c r="C26" s="392"/>
      <c r="D26" s="392"/>
      <c r="E26" s="392"/>
      <c r="F26" s="392"/>
      <c r="G26" s="392"/>
      <c r="H26" s="392"/>
      <c r="I26" s="393"/>
      <c r="J26" s="100">
        <v>1</v>
      </c>
      <c r="K26" s="391" t="s">
        <v>8</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ht="15.75" thickBot="1">
      <c r="A30" s="438" t="s">
        <v>77</v>
      </c>
      <c r="B30" s="474"/>
      <c r="C30" s="474"/>
      <c r="D30" s="474"/>
      <c r="E30" s="475"/>
      <c r="F30" s="476" t="s">
        <v>79</v>
      </c>
      <c r="G30" s="474"/>
      <c r="H30" s="477" t="s">
        <v>82</v>
      </c>
      <c r="I30" s="478"/>
      <c r="J30" s="113" t="s">
        <v>83</v>
      </c>
      <c r="K30" s="476" t="s">
        <v>84</v>
      </c>
      <c r="L30" s="479"/>
      <c r="M30" s="114" t="s">
        <v>85</v>
      </c>
    </row>
    <row r="31" spans="1:13">
      <c r="A31" s="442" t="s">
        <v>134</v>
      </c>
      <c r="B31" s="443"/>
      <c r="C31" s="443"/>
      <c r="D31" s="443"/>
      <c r="E31" s="443"/>
      <c r="F31" s="480" t="s">
        <v>123</v>
      </c>
      <c r="G31" s="480"/>
      <c r="H31" s="443" t="s">
        <v>86</v>
      </c>
      <c r="I31" s="443"/>
      <c r="J31" s="167">
        <v>70067</v>
      </c>
      <c r="K31" s="481">
        <v>50</v>
      </c>
      <c r="L31" s="481"/>
      <c r="M31" s="168">
        <f>J31/K31</f>
        <v>1401.34</v>
      </c>
    </row>
    <row r="32" spans="1:13">
      <c r="A32" s="471" t="s">
        <v>124</v>
      </c>
      <c r="B32" s="472"/>
      <c r="C32" s="472"/>
      <c r="D32" s="472"/>
      <c r="E32" s="472"/>
      <c r="F32" s="482" t="s">
        <v>125</v>
      </c>
      <c r="G32" s="482"/>
      <c r="H32" s="472" t="s">
        <v>86</v>
      </c>
      <c r="I32" s="472"/>
      <c r="J32" s="66">
        <f>M56*10%</f>
        <v>1024.4232000000002</v>
      </c>
      <c r="K32" s="482">
        <v>1</v>
      </c>
      <c r="L32" s="482"/>
      <c r="M32" s="261">
        <f>+K32*J32</f>
        <v>1024.4232000000002</v>
      </c>
    </row>
    <row r="33" spans="1:13" ht="15.75" thickBot="1">
      <c r="A33" s="410" t="s">
        <v>133</v>
      </c>
      <c r="B33" s="411"/>
      <c r="C33" s="411"/>
      <c r="D33" s="411"/>
      <c r="E33" s="412"/>
      <c r="F33" s="414" t="s">
        <v>110</v>
      </c>
      <c r="G33" s="415"/>
      <c r="H33" s="413" t="s">
        <v>86</v>
      </c>
      <c r="I33" s="412"/>
      <c r="J33" s="169">
        <v>12000</v>
      </c>
      <c r="K33" s="414">
        <v>5</v>
      </c>
      <c r="L33" s="415"/>
      <c r="M33" s="170">
        <f>J33/K33</f>
        <v>2400</v>
      </c>
    </row>
    <row r="34" spans="1:13" ht="15.75" thickBot="1">
      <c r="A34" s="435" t="s">
        <v>87</v>
      </c>
      <c r="B34" s="436"/>
      <c r="C34" s="436"/>
      <c r="D34" s="436"/>
      <c r="E34" s="436"/>
      <c r="F34" s="436"/>
      <c r="G34" s="436"/>
      <c r="H34" s="436"/>
      <c r="I34" s="436"/>
      <c r="J34" s="436"/>
      <c r="K34" s="436"/>
      <c r="L34" s="437"/>
      <c r="M34" s="166">
        <f>SUM(M31:M33)</f>
        <v>4825.7632000000003</v>
      </c>
    </row>
    <row r="35" spans="1:13">
      <c r="A35" s="50"/>
      <c r="B35" s="19"/>
      <c r="C35" s="19"/>
      <c r="D35" s="19"/>
      <c r="E35" s="19"/>
      <c r="F35" s="19"/>
      <c r="G35" s="19"/>
      <c r="H35" s="19"/>
      <c r="I35" s="19"/>
      <c r="J35" s="19"/>
      <c r="K35" s="19"/>
      <c r="L35" s="19"/>
      <c r="M35" s="24"/>
    </row>
    <row r="36" spans="1:13">
      <c r="A36" s="51" t="s">
        <v>88</v>
      </c>
      <c r="B36" s="52"/>
      <c r="C36" s="52"/>
      <c r="D36" s="52"/>
      <c r="E36" s="52"/>
      <c r="F36" s="52"/>
      <c r="G36" s="52"/>
      <c r="H36" s="52"/>
      <c r="I36" s="52"/>
      <c r="J36" s="52"/>
      <c r="K36" s="52"/>
      <c r="L36" s="52"/>
      <c r="M36" s="53"/>
    </row>
    <row r="37" spans="1:13" ht="15.75" thickBot="1">
      <c r="A37" s="14"/>
      <c r="B37" s="15"/>
      <c r="C37" s="15"/>
      <c r="D37" s="15"/>
      <c r="E37" s="15"/>
      <c r="F37" s="15"/>
      <c r="G37" s="15"/>
      <c r="H37" s="15"/>
      <c r="I37" s="19"/>
      <c r="J37" s="19"/>
      <c r="K37" s="19"/>
      <c r="L37" s="19"/>
      <c r="M37" s="24"/>
    </row>
    <row r="38" spans="1:13">
      <c r="A38" s="408" t="s">
        <v>77</v>
      </c>
      <c r="B38" s="431"/>
      <c r="C38" s="431"/>
      <c r="D38" s="431"/>
      <c r="E38" s="431"/>
      <c r="F38" s="431"/>
      <c r="G38" s="431"/>
      <c r="H38" s="424"/>
      <c r="I38" s="105" t="s">
        <v>79</v>
      </c>
      <c r="J38" s="110" t="s">
        <v>80</v>
      </c>
      <c r="K38" s="421" t="s">
        <v>89</v>
      </c>
      <c r="L38" s="424"/>
      <c r="M38" s="44" t="s">
        <v>85</v>
      </c>
    </row>
    <row r="39" spans="1:13">
      <c r="A39" s="425"/>
      <c r="B39" s="426"/>
      <c r="C39" s="426"/>
      <c r="D39" s="426"/>
      <c r="E39" s="426"/>
      <c r="F39" s="426"/>
      <c r="G39" s="426"/>
      <c r="H39" s="427"/>
      <c r="I39" s="73"/>
      <c r="J39" s="45"/>
      <c r="K39" s="456"/>
      <c r="L39" s="457"/>
      <c r="M39" s="56"/>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c r="A42" s="425"/>
      <c r="B42" s="426"/>
      <c r="C42" s="426"/>
      <c r="D42" s="426"/>
      <c r="E42" s="426"/>
      <c r="F42" s="426"/>
      <c r="G42" s="426"/>
      <c r="H42" s="427"/>
      <c r="I42" s="73"/>
      <c r="J42" s="45"/>
      <c r="K42" s="456"/>
      <c r="L42" s="457"/>
      <c r="M42" s="56"/>
    </row>
    <row r="43" spans="1:13" ht="15.75" thickBot="1">
      <c r="A43" s="410"/>
      <c r="B43" s="411"/>
      <c r="C43" s="411"/>
      <c r="D43" s="411"/>
      <c r="E43" s="411"/>
      <c r="F43" s="411"/>
      <c r="G43" s="411"/>
      <c r="H43" s="412"/>
      <c r="I43" s="74"/>
      <c r="J43" s="57"/>
      <c r="K43" s="466"/>
      <c r="L43" s="467"/>
      <c r="M43" s="75"/>
    </row>
    <row r="44" spans="1:13" ht="15.75" thickBot="1">
      <c r="A44" s="416" t="s">
        <v>87</v>
      </c>
      <c r="B44" s="417"/>
      <c r="C44" s="417"/>
      <c r="D44" s="417"/>
      <c r="E44" s="417"/>
      <c r="F44" s="417"/>
      <c r="G44" s="417"/>
      <c r="H44" s="417"/>
      <c r="I44" s="417"/>
      <c r="J44" s="417"/>
      <c r="K44" s="417"/>
      <c r="L44" s="418"/>
      <c r="M44" s="58">
        <f>SUM(M39:M43)</f>
        <v>0</v>
      </c>
    </row>
    <row r="45" spans="1:13">
      <c r="A45" s="30"/>
      <c r="B45" s="19"/>
      <c r="C45" s="19"/>
      <c r="D45" s="19"/>
      <c r="E45" s="19"/>
      <c r="F45" s="19"/>
      <c r="G45" s="19"/>
      <c r="H45" s="19"/>
      <c r="I45" s="19"/>
      <c r="J45" s="19"/>
      <c r="K45" s="19"/>
      <c r="L45" s="19"/>
      <c r="M45" s="24"/>
    </row>
    <row r="46" spans="1:13">
      <c r="A46" s="51" t="s">
        <v>90</v>
      </c>
      <c r="B46" s="52"/>
      <c r="C46" s="52"/>
      <c r="D46" s="52"/>
      <c r="E46" s="52"/>
      <c r="F46" s="52"/>
      <c r="G46" s="52"/>
      <c r="H46" s="52"/>
      <c r="I46" s="52"/>
      <c r="J46" s="52"/>
      <c r="K46" s="52"/>
      <c r="L46" s="52"/>
      <c r="M46" s="53"/>
    </row>
    <row r="47" spans="1:13" ht="15.75" thickBot="1">
      <c r="A47" s="30"/>
      <c r="B47" s="19"/>
      <c r="C47" s="19"/>
      <c r="D47" s="19"/>
      <c r="E47" s="19"/>
      <c r="F47" s="19"/>
      <c r="G47" s="19"/>
      <c r="H47" s="19"/>
      <c r="I47" s="19"/>
      <c r="J47" s="19"/>
      <c r="K47" s="19"/>
      <c r="L47" s="19"/>
      <c r="M47" s="24"/>
    </row>
    <row r="48" spans="1:13">
      <c r="A48" s="408" t="s">
        <v>91</v>
      </c>
      <c r="B48" s="431"/>
      <c r="C48" s="431"/>
      <c r="D48" s="431"/>
      <c r="E48" s="431"/>
      <c r="F48" s="431"/>
      <c r="G48" s="431"/>
      <c r="H48" s="110" t="s">
        <v>92</v>
      </c>
      <c r="I48" s="104" t="s">
        <v>93</v>
      </c>
      <c r="J48" s="60" t="s">
        <v>94</v>
      </c>
      <c r="K48" s="421" t="s">
        <v>95</v>
      </c>
      <c r="L48" s="424"/>
      <c r="M48" s="44" t="s">
        <v>85</v>
      </c>
    </row>
    <row r="49" spans="1:14">
      <c r="A49" s="425"/>
      <c r="B49" s="426"/>
      <c r="C49" s="426"/>
      <c r="D49" s="426"/>
      <c r="E49" s="426"/>
      <c r="F49" s="426"/>
      <c r="G49" s="426"/>
      <c r="H49" s="61"/>
      <c r="I49" s="55"/>
      <c r="J49" s="61"/>
      <c r="K49" s="428"/>
      <c r="L49" s="429"/>
      <c r="M49" s="62"/>
    </row>
    <row r="50" spans="1:14" ht="15.75" thickBot="1">
      <c r="A50" s="410"/>
      <c r="B50" s="411"/>
      <c r="C50" s="411"/>
      <c r="D50" s="411"/>
      <c r="E50" s="411"/>
      <c r="F50" s="411"/>
      <c r="G50" s="411"/>
      <c r="H50" s="47"/>
      <c r="I50" s="15"/>
      <c r="J50" s="47"/>
      <c r="K50" s="414"/>
      <c r="L50" s="415"/>
      <c r="M50" s="48"/>
    </row>
    <row r="51" spans="1:14" ht="15.75" thickBot="1">
      <c r="A51" s="416" t="s">
        <v>87</v>
      </c>
      <c r="B51" s="417"/>
      <c r="C51" s="417"/>
      <c r="D51" s="417"/>
      <c r="E51" s="417"/>
      <c r="F51" s="417"/>
      <c r="G51" s="417"/>
      <c r="H51" s="417"/>
      <c r="I51" s="417"/>
      <c r="J51" s="417"/>
      <c r="K51" s="417"/>
      <c r="L51" s="418"/>
      <c r="M51" s="63">
        <f>SUM(M49:M50)</f>
        <v>0</v>
      </c>
    </row>
    <row r="52" spans="1:14">
      <c r="A52" s="30"/>
      <c r="B52" s="19"/>
      <c r="C52" s="19"/>
      <c r="D52" s="19"/>
      <c r="E52" s="19"/>
      <c r="F52" s="19"/>
      <c r="G52" s="19"/>
      <c r="H52" s="19"/>
      <c r="I52" s="19"/>
      <c r="J52" s="19"/>
      <c r="K52" s="19"/>
      <c r="L52" s="19"/>
      <c r="M52" s="24"/>
    </row>
    <row r="53" spans="1:14">
      <c r="A53" s="51" t="s">
        <v>96</v>
      </c>
      <c r="B53" s="52"/>
      <c r="C53" s="52"/>
      <c r="D53" s="52"/>
      <c r="E53" s="52"/>
      <c r="F53" s="52"/>
      <c r="G53" s="52"/>
      <c r="H53" s="52"/>
      <c r="I53" s="52"/>
      <c r="J53" s="52"/>
      <c r="K53" s="52"/>
      <c r="L53" s="52"/>
      <c r="M53" s="53"/>
    </row>
    <row r="54" spans="1:14" ht="15.75" thickBot="1">
      <c r="A54" s="30"/>
      <c r="B54" s="19"/>
      <c r="C54" s="19"/>
      <c r="D54" s="19"/>
      <c r="E54" s="19"/>
      <c r="F54" s="19"/>
      <c r="G54" s="19"/>
      <c r="H54" s="19"/>
      <c r="I54" s="19"/>
      <c r="J54" s="19"/>
      <c r="K54" s="19"/>
      <c r="L54" s="19"/>
      <c r="M54" s="24"/>
    </row>
    <row r="55" spans="1:14" ht="26.25">
      <c r="A55" s="453" t="s">
        <v>97</v>
      </c>
      <c r="B55" s="454"/>
      <c r="C55" s="454"/>
      <c r="D55" s="454"/>
      <c r="E55" s="454"/>
      <c r="F55" s="454"/>
      <c r="G55" s="454"/>
      <c r="H55" s="110" t="s">
        <v>98</v>
      </c>
      <c r="I55" s="111" t="s">
        <v>99</v>
      </c>
      <c r="J55" s="111" t="s">
        <v>100</v>
      </c>
      <c r="K55" s="455" t="s">
        <v>84</v>
      </c>
      <c r="L55" s="455"/>
      <c r="M55" s="65" t="s">
        <v>85</v>
      </c>
    </row>
    <row r="56" spans="1:14">
      <c r="A56" s="471" t="s">
        <v>122</v>
      </c>
      <c r="B56" s="472"/>
      <c r="C56" s="472"/>
      <c r="D56" s="472"/>
      <c r="E56" s="472"/>
      <c r="F56" s="472"/>
      <c r="G56" s="472"/>
      <c r="H56" s="1">
        <v>93129.381818181835</v>
      </c>
      <c r="I56" s="2">
        <v>2.2000000000000002</v>
      </c>
      <c r="J56" s="66">
        <f>(I56*H56)</f>
        <v>204884.64000000004</v>
      </c>
      <c r="K56" s="473">
        <v>20</v>
      </c>
      <c r="L56" s="473"/>
      <c r="M56" s="56">
        <f>J56/K56</f>
        <v>10244.232000000002</v>
      </c>
    </row>
    <row r="57" spans="1:14">
      <c r="A57" s="471"/>
      <c r="B57" s="472"/>
      <c r="C57" s="472"/>
      <c r="D57" s="472"/>
      <c r="E57" s="472"/>
      <c r="F57" s="472"/>
      <c r="G57" s="472"/>
      <c r="H57" s="1"/>
      <c r="I57" s="2"/>
      <c r="J57" s="66"/>
      <c r="K57" s="473"/>
      <c r="L57" s="473"/>
      <c r="M57" s="56"/>
    </row>
    <row r="58" spans="1:14" ht="15.75" thickBot="1">
      <c r="A58" s="432"/>
      <c r="B58" s="433"/>
      <c r="C58" s="433"/>
      <c r="D58" s="433"/>
      <c r="E58" s="433"/>
      <c r="F58" s="433"/>
      <c r="G58" s="433"/>
      <c r="H58" s="3"/>
      <c r="I58" s="4"/>
      <c r="J58" s="67"/>
      <c r="K58" s="434"/>
      <c r="L58" s="434"/>
      <c r="M58" s="68"/>
    </row>
    <row r="59" spans="1:14" ht="15.75" thickBot="1">
      <c r="A59" s="435" t="s">
        <v>87</v>
      </c>
      <c r="B59" s="436"/>
      <c r="C59" s="436"/>
      <c r="D59" s="436"/>
      <c r="E59" s="436"/>
      <c r="F59" s="436"/>
      <c r="G59" s="436"/>
      <c r="H59" s="436"/>
      <c r="I59" s="436"/>
      <c r="J59" s="436"/>
      <c r="K59" s="436"/>
      <c r="L59" s="437"/>
      <c r="M59" s="69">
        <f>SUM(M56:M58)</f>
        <v>10244.232000000002</v>
      </c>
    </row>
    <row r="60" spans="1:14" ht="15.75" thickBot="1">
      <c r="A60" s="30"/>
      <c r="B60" s="19"/>
      <c r="C60" s="19"/>
      <c r="D60" s="19"/>
      <c r="E60" s="19"/>
      <c r="F60" s="19"/>
      <c r="G60" s="19"/>
      <c r="H60" s="19"/>
      <c r="I60" s="19"/>
      <c r="J60" s="19"/>
      <c r="K60" s="19"/>
      <c r="L60" s="19"/>
      <c r="M60" s="24"/>
    </row>
    <row r="61" spans="1:14" ht="15.75" thickBot="1">
      <c r="A61" s="416" t="s">
        <v>101</v>
      </c>
      <c r="B61" s="417"/>
      <c r="C61" s="417"/>
      <c r="D61" s="417"/>
      <c r="E61" s="417"/>
      <c r="F61" s="417"/>
      <c r="G61" s="417"/>
      <c r="H61" s="417"/>
      <c r="I61" s="417"/>
      <c r="J61" s="417"/>
      <c r="K61" s="417"/>
      <c r="L61" s="418"/>
      <c r="M61" s="70">
        <f>ROUND(M59+M51+M44+M34,0)</f>
        <v>15070</v>
      </c>
      <c r="N61" s="155"/>
    </row>
    <row r="62" spans="1:14">
      <c r="A62" s="30"/>
      <c r="B62" s="19"/>
      <c r="C62" s="19"/>
      <c r="D62" s="19"/>
      <c r="E62" s="19"/>
      <c r="F62" s="19"/>
      <c r="G62" s="19"/>
      <c r="H62" s="19"/>
      <c r="I62" s="19"/>
      <c r="J62" s="19"/>
      <c r="K62" s="19"/>
      <c r="L62" s="19"/>
      <c r="M62" s="24"/>
    </row>
    <row r="63" spans="1:14">
      <c r="A63" s="51" t="s">
        <v>102</v>
      </c>
      <c r="B63" s="52"/>
      <c r="C63" s="52"/>
      <c r="D63" s="52"/>
      <c r="E63" s="52"/>
      <c r="F63" s="52"/>
      <c r="G63" s="52"/>
      <c r="H63" s="52"/>
      <c r="I63" s="52"/>
      <c r="J63" s="52"/>
      <c r="K63" s="52"/>
      <c r="L63" s="52"/>
      <c r="M63" s="53"/>
    </row>
    <row r="64" spans="1:14" ht="15.75" thickBot="1">
      <c r="A64" s="30"/>
      <c r="B64" s="19"/>
      <c r="C64" s="19"/>
      <c r="D64" s="19"/>
      <c r="E64" s="19"/>
      <c r="F64" s="19"/>
      <c r="G64" s="19"/>
      <c r="H64" s="19"/>
      <c r="I64" s="19"/>
      <c r="J64" s="19"/>
      <c r="K64" s="19"/>
      <c r="L64" s="19"/>
      <c r="M64" s="24"/>
    </row>
    <row r="65" spans="1:13" ht="15.75" thickBot="1">
      <c r="A65" s="438" t="s">
        <v>103</v>
      </c>
      <c r="B65" s="439"/>
      <c r="C65" s="439"/>
      <c r="D65" s="439"/>
      <c r="E65" s="439"/>
      <c r="F65" s="439"/>
      <c r="G65" s="439"/>
      <c r="H65" s="106"/>
      <c r="I65" s="107"/>
      <c r="J65" s="81" t="s">
        <v>104</v>
      </c>
      <c r="K65" s="440" t="s">
        <v>105</v>
      </c>
      <c r="L65" s="441"/>
      <c r="M65" s="82"/>
    </row>
    <row r="66" spans="1:13">
      <c r="A66" s="442" t="s">
        <v>106</v>
      </c>
      <c r="B66" s="443"/>
      <c r="C66" s="443"/>
      <c r="D66" s="443"/>
      <c r="E66" s="443"/>
      <c r="F66" s="443"/>
      <c r="G66" s="443"/>
      <c r="H66" s="83"/>
      <c r="I66" s="84"/>
      <c r="J66" s="85">
        <v>0.19</v>
      </c>
      <c r="K66" s="444">
        <f>M61*J66</f>
        <v>2863.3</v>
      </c>
      <c r="L66" s="444"/>
      <c r="M66" s="86"/>
    </row>
    <row r="67" spans="1:13">
      <c r="A67" s="447" t="s">
        <v>107</v>
      </c>
      <c r="B67" s="448"/>
      <c r="C67" s="448"/>
      <c r="D67" s="448"/>
      <c r="E67" s="448"/>
      <c r="F67" s="448"/>
      <c r="G67" s="449"/>
      <c r="H67" s="77"/>
      <c r="I67" s="78"/>
      <c r="J67" s="5">
        <v>0.01</v>
      </c>
      <c r="K67" s="445">
        <f>M61*J67</f>
        <v>150.70000000000002</v>
      </c>
      <c r="L67" s="445"/>
      <c r="M67" s="6"/>
    </row>
    <row r="68" spans="1:13">
      <c r="A68" s="447" t="s">
        <v>108</v>
      </c>
      <c r="B68" s="448"/>
      <c r="C68" s="448"/>
      <c r="D68" s="448"/>
      <c r="E68" s="448"/>
      <c r="F68" s="448"/>
      <c r="G68" s="449"/>
      <c r="H68" s="77"/>
      <c r="I68" s="78"/>
      <c r="J68" s="5">
        <v>0.05</v>
      </c>
      <c r="K68" s="445">
        <f>M61*J68</f>
        <v>753.5</v>
      </c>
      <c r="L68" s="445"/>
      <c r="M68" s="6"/>
    </row>
    <row r="69" spans="1:13" ht="15.75" thickBot="1">
      <c r="A69" s="450" t="s">
        <v>117</v>
      </c>
      <c r="B69" s="451"/>
      <c r="C69" s="451"/>
      <c r="D69" s="451"/>
      <c r="E69" s="451"/>
      <c r="F69" s="451"/>
      <c r="G69" s="452"/>
      <c r="H69" s="87"/>
      <c r="I69" s="88"/>
      <c r="J69" s="89">
        <v>0.19</v>
      </c>
      <c r="K69" s="446">
        <f>K68*J69</f>
        <v>143.16499999999999</v>
      </c>
      <c r="L69" s="446"/>
      <c r="M69" s="90"/>
    </row>
    <row r="70" spans="1:13" ht="15.75" thickBot="1">
      <c r="A70" s="435" t="s">
        <v>87</v>
      </c>
      <c r="B70" s="436"/>
      <c r="C70" s="436"/>
      <c r="D70" s="436"/>
      <c r="E70" s="436"/>
      <c r="F70" s="436"/>
      <c r="G70" s="436"/>
      <c r="H70" s="436"/>
      <c r="I70" s="436"/>
      <c r="J70" s="436"/>
      <c r="K70" s="436"/>
      <c r="L70" s="437"/>
      <c r="M70" s="76">
        <f>SUM(K66:L69)</f>
        <v>3910.665</v>
      </c>
    </row>
    <row r="71" spans="1:13" ht="15.75" thickBot="1">
      <c r="A71" s="30"/>
      <c r="B71" s="19"/>
      <c r="C71" s="19"/>
      <c r="D71" s="19"/>
      <c r="E71" s="19"/>
      <c r="F71" s="19"/>
      <c r="G71" s="19"/>
      <c r="H71" s="19"/>
      <c r="I71" s="19"/>
      <c r="J71" s="19"/>
      <c r="K71" s="19"/>
      <c r="L71" s="19"/>
      <c r="M71" s="24"/>
    </row>
    <row r="72" spans="1:13" ht="15.75" thickBot="1">
      <c r="A72" s="416" t="s">
        <v>109</v>
      </c>
      <c r="B72" s="417"/>
      <c r="C72" s="417"/>
      <c r="D72" s="417"/>
      <c r="E72" s="417"/>
      <c r="F72" s="417"/>
      <c r="G72" s="417"/>
      <c r="H72" s="417"/>
      <c r="I72" s="417"/>
      <c r="J72" s="417"/>
      <c r="K72" s="417"/>
      <c r="L72" s="418"/>
      <c r="M72" s="71">
        <f>ROUND(M61+M70,0)</f>
        <v>18981</v>
      </c>
    </row>
  </sheetData>
  <mergeCells count="79">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8:H38"/>
    <mergeCell ref="K38:L38"/>
    <mergeCell ref="A30:E30"/>
    <mergeCell ref="F30:G30"/>
    <mergeCell ref="H30:I30"/>
    <mergeCell ref="K30:L30"/>
    <mergeCell ref="A31:E31"/>
    <mergeCell ref="F31:G31"/>
    <mergeCell ref="H31:I31"/>
    <mergeCell ref="K31:L31"/>
    <mergeCell ref="A32:E32"/>
    <mergeCell ref="F32:G32"/>
    <mergeCell ref="H32:I32"/>
    <mergeCell ref="K32:L32"/>
    <mergeCell ref="A34:L34"/>
    <mergeCell ref="A39:H39"/>
    <mergeCell ref="K39:L39"/>
    <mergeCell ref="A40:H40"/>
    <mergeCell ref="K40:L40"/>
    <mergeCell ref="A41:H41"/>
    <mergeCell ref="K41:L41"/>
    <mergeCell ref="A55:G55"/>
    <mergeCell ref="K55:L55"/>
    <mergeCell ref="A42:H42"/>
    <mergeCell ref="K42:L42"/>
    <mergeCell ref="A43:H43"/>
    <mergeCell ref="K43:L43"/>
    <mergeCell ref="A44:L44"/>
    <mergeCell ref="A48:G48"/>
    <mergeCell ref="K48:L48"/>
    <mergeCell ref="A49:G49"/>
    <mergeCell ref="K49:L49"/>
    <mergeCell ref="A50:G50"/>
    <mergeCell ref="K50:L50"/>
    <mergeCell ref="A51:L51"/>
    <mergeCell ref="A66:G66"/>
    <mergeCell ref="K66:L66"/>
    <mergeCell ref="A56:G56"/>
    <mergeCell ref="K56:L56"/>
    <mergeCell ref="A57:G57"/>
    <mergeCell ref="K57:L57"/>
    <mergeCell ref="A58:G58"/>
    <mergeCell ref="K58:L58"/>
    <mergeCell ref="A70:L70"/>
    <mergeCell ref="A72:L72"/>
    <mergeCell ref="A33:E33"/>
    <mergeCell ref="F33:G33"/>
    <mergeCell ref="H33:I33"/>
    <mergeCell ref="K33:L33"/>
    <mergeCell ref="A67:G67"/>
    <mergeCell ref="K67:L67"/>
    <mergeCell ref="A68:G68"/>
    <mergeCell ref="K68:L68"/>
    <mergeCell ref="A69:G69"/>
    <mergeCell ref="K69:L69"/>
    <mergeCell ref="A59:L59"/>
    <mergeCell ref="A61:L61"/>
    <mergeCell ref="A65:G65"/>
    <mergeCell ref="K65:L65"/>
  </mergeCells>
  <pageMargins left="0.7" right="0.7" top="0.75" bottom="0.75" header="0.3" footer="0.3"/>
  <pageSetup scale="57"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
  <sheetViews>
    <sheetView view="pageBreakPreview" topLeftCell="A46" zoomScale="80" zoomScaleNormal="100" zoomScaleSheetLayoutView="80" workbookViewId="0">
      <selection activeCell="M61" sqref="M61"/>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224"/>
      <c r="D17" s="224"/>
      <c r="E17" s="224"/>
      <c r="F17" s="224"/>
      <c r="G17" s="224"/>
      <c r="H17" s="224"/>
      <c r="I17" s="224"/>
      <c r="J17" s="224"/>
      <c r="K17" s="224"/>
      <c r="L17" s="224"/>
      <c r="M17" s="13"/>
    </row>
    <row r="18" spans="1:13">
      <c r="A18" s="25" t="s">
        <v>74</v>
      </c>
      <c r="B18" s="26"/>
      <c r="C18" s="379"/>
      <c r="D18" s="379"/>
      <c r="E18" s="379"/>
      <c r="F18" s="379"/>
      <c r="G18" s="379"/>
      <c r="H18" s="379"/>
      <c r="I18" s="379"/>
      <c r="J18" s="379"/>
      <c r="K18" s="379"/>
      <c r="L18" s="379"/>
      <c r="M18" s="380"/>
    </row>
    <row r="19" spans="1:13">
      <c r="A19" s="25"/>
      <c r="B19" s="26"/>
      <c r="C19" s="224"/>
      <c r="D19" s="224"/>
      <c r="E19" s="224"/>
      <c r="F19" s="224"/>
      <c r="G19" s="224"/>
      <c r="H19" s="224"/>
      <c r="I19" s="224"/>
      <c r="J19" s="224"/>
      <c r="K19" s="224"/>
      <c r="L19" s="224"/>
      <c r="M19" s="13"/>
    </row>
    <row r="20" spans="1:13" ht="31.5" customHeight="1">
      <c r="A20" s="464" t="s">
        <v>113</v>
      </c>
      <c r="B20" s="465"/>
      <c r="C20" s="379"/>
      <c r="D20" s="379"/>
      <c r="E20" s="379"/>
      <c r="F20" s="379"/>
      <c r="G20" s="379"/>
      <c r="H20" s="379"/>
      <c r="I20" s="379"/>
      <c r="J20" s="379"/>
      <c r="K20" s="379"/>
      <c r="L20" s="379"/>
      <c r="M20" s="380"/>
    </row>
    <row r="21" spans="1:13">
      <c r="A21" s="400"/>
      <c r="B21" s="401"/>
      <c r="C21" s="224"/>
      <c r="D21" s="224"/>
      <c r="E21" s="224"/>
      <c r="F21" s="224"/>
      <c r="G21" s="224"/>
      <c r="H21" s="224"/>
      <c r="I21" s="224"/>
      <c r="J21" s="224"/>
      <c r="K21" s="224"/>
      <c r="L21" s="224"/>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216" t="s">
        <v>78</v>
      </c>
      <c r="K25" s="408" t="s">
        <v>79</v>
      </c>
      <c r="L25" s="409"/>
      <c r="M25" s="31" t="s">
        <v>80</v>
      </c>
    </row>
    <row r="26" spans="1:13" ht="15.75" thickBot="1">
      <c r="A26" s="33"/>
      <c r="B26" s="391" t="s">
        <v>261</v>
      </c>
      <c r="C26" s="392"/>
      <c r="D26" s="392"/>
      <c r="E26" s="392"/>
      <c r="F26" s="392"/>
      <c r="G26" s="392"/>
      <c r="H26" s="392"/>
      <c r="I26" s="393"/>
      <c r="J26" s="215">
        <v>1</v>
      </c>
      <c r="K26" s="391" t="s">
        <v>9</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ht="15.75" thickBot="1">
      <c r="A30" s="438" t="s">
        <v>77</v>
      </c>
      <c r="B30" s="474"/>
      <c r="C30" s="474"/>
      <c r="D30" s="474"/>
      <c r="E30" s="475"/>
      <c r="F30" s="476" t="s">
        <v>79</v>
      </c>
      <c r="G30" s="474"/>
      <c r="H30" s="477" t="s">
        <v>82</v>
      </c>
      <c r="I30" s="478"/>
      <c r="J30" s="113" t="s">
        <v>83</v>
      </c>
      <c r="K30" s="476" t="s">
        <v>84</v>
      </c>
      <c r="L30" s="479"/>
      <c r="M30" s="114" t="s">
        <v>85</v>
      </c>
    </row>
    <row r="31" spans="1:13">
      <c r="A31" s="442" t="s">
        <v>134</v>
      </c>
      <c r="B31" s="443"/>
      <c r="C31" s="443"/>
      <c r="D31" s="443"/>
      <c r="E31" s="443"/>
      <c r="F31" s="480" t="s">
        <v>123</v>
      </c>
      <c r="G31" s="480"/>
      <c r="H31" s="443" t="s">
        <v>86</v>
      </c>
      <c r="I31" s="443"/>
      <c r="J31" s="167">
        <v>70067</v>
      </c>
      <c r="K31" s="481">
        <v>20</v>
      </c>
      <c r="L31" s="481"/>
      <c r="M31" s="168">
        <f>J31/K31</f>
        <v>3503.35</v>
      </c>
    </row>
    <row r="32" spans="1:13">
      <c r="A32" s="471"/>
      <c r="B32" s="472"/>
      <c r="C32" s="472"/>
      <c r="D32" s="472"/>
      <c r="E32" s="472"/>
      <c r="F32" s="482"/>
      <c r="G32" s="482"/>
      <c r="H32" s="472"/>
      <c r="I32" s="472"/>
      <c r="J32" s="66"/>
      <c r="K32" s="482"/>
      <c r="L32" s="482"/>
      <c r="M32" s="62"/>
    </row>
    <row r="33" spans="1:13" ht="15.75" thickBot="1">
      <c r="A33" s="410"/>
      <c r="B33" s="411"/>
      <c r="C33" s="411"/>
      <c r="D33" s="411"/>
      <c r="E33" s="412"/>
      <c r="F33" s="414"/>
      <c r="G33" s="415"/>
      <c r="H33" s="413"/>
      <c r="I33" s="412"/>
      <c r="J33" s="169"/>
      <c r="K33" s="414"/>
      <c r="L33" s="415"/>
      <c r="M33" s="170"/>
    </row>
    <row r="34" spans="1:13" ht="15.75" thickBot="1">
      <c r="A34" s="435" t="s">
        <v>87</v>
      </c>
      <c r="B34" s="436"/>
      <c r="C34" s="436"/>
      <c r="D34" s="436"/>
      <c r="E34" s="436"/>
      <c r="F34" s="436"/>
      <c r="G34" s="436"/>
      <c r="H34" s="436"/>
      <c r="I34" s="436"/>
      <c r="J34" s="436"/>
      <c r="K34" s="436"/>
      <c r="L34" s="437"/>
      <c r="M34" s="166">
        <f>SUM(M31:M33)</f>
        <v>3503.35</v>
      </c>
    </row>
    <row r="35" spans="1:13">
      <c r="A35" s="50"/>
      <c r="B35" s="19"/>
      <c r="C35" s="19"/>
      <c r="D35" s="19"/>
      <c r="E35" s="19"/>
      <c r="F35" s="19"/>
      <c r="G35" s="19"/>
      <c r="H35" s="19"/>
      <c r="I35" s="19"/>
      <c r="J35" s="19"/>
      <c r="K35" s="19"/>
      <c r="L35" s="19"/>
      <c r="M35" s="24"/>
    </row>
    <row r="36" spans="1:13">
      <c r="A36" s="51" t="s">
        <v>88</v>
      </c>
      <c r="B36" s="52"/>
      <c r="C36" s="52"/>
      <c r="D36" s="52"/>
      <c r="E36" s="52"/>
      <c r="F36" s="52"/>
      <c r="G36" s="52"/>
      <c r="H36" s="52"/>
      <c r="I36" s="52"/>
      <c r="J36" s="52"/>
      <c r="K36" s="52"/>
      <c r="L36" s="52"/>
      <c r="M36" s="53"/>
    </row>
    <row r="37" spans="1:13" ht="15.75" thickBot="1">
      <c r="A37" s="14"/>
      <c r="B37" s="15"/>
      <c r="C37" s="15"/>
      <c r="D37" s="15"/>
      <c r="E37" s="15"/>
      <c r="F37" s="15"/>
      <c r="G37" s="15"/>
      <c r="H37" s="15"/>
      <c r="I37" s="19"/>
      <c r="J37" s="19"/>
      <c r="K37" s="19"/>
      <c r="L37" s="19"/>
      <c r="M37" s="24"/>
    </row>
    <row r="38" spans="1:13">
      <c r="A38" s="408" t="s">
        <v>77</v>
      </c>
      <c r="B38" s="431"/>
      <c r="C38" s="431"/>
      <c r="D38" s="431"/>
      <c r="E38" s="431"/>
      <c r="F38" s="431"/>
      <c r="G38" s="431"/>
      <c r="H38" s="424"/>
      <c r="I38" s="217" t="s">
        <v>79</v>
      </c>
      <c r="J38" s="221" t="s">
        <v>80</v>
      </c>
      <c r="K38" s="421" t="s">
        <v>89</v>
      </c>
      <c r="L38" s="424"/>
      <c r="M38" s="44" t="s">
        <v>85</v>
      </c>
    </row>
    <row r="39" spans="1:13">
      <c r="A39" s="425"/>
      <c r="B39" s="426"/>
      <c r="C39" s="426"/>
      <c r="D39" s="426"/>
      <c r="E39" s="426"/>
      <c r="F39" s="426"/>
      <c r="G39" s="426"/>
      <c r="H39" s="427"/>
      <c r="I39" s="73"/>
      <c r="J39" s="45"/>
      <c r="K39" s="456"/>
      <c r="L39" s="457"/>
      <c r="M39" s="56"/>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c r="A42" s="425"/>
      <c r="B42" s="426"/>
      <c r="C42" s="426"/>
      <c r="D42" s="426"/>
      <c r="E42" s="426"/>
      <c r="F42" s="426"/>
      <c r="G42" s="426"/>
      <c r="H42" s="427"/>
      <c r="I42" s="73"/>
      <c r="J42" s="45"/>
      <c r="K42" s="456"/>
      <c r="L42" s="457"/>
      <c r="M42" s="56"/>
    </row>
    <row r="43" spans="1:13" ht="15.75" thickBot="1">
      <c r="A43" s="410"/>
      <c r="B43" s="411"/>
      <c r="C43" s="411"/>
      <c r="D43" s="411"/>
      <c r="E43" s="411"/>
      <c r="F43" s="411"/>
      <c r="G43" s="411"/>
      <c r="H43" s="412"/>
      <c r="I43" s="74"/>
      <c r="J43" s="57"/>
      <c r="K43" s="466"/>
      <c r="L43" s="467"/>
      <c r="M43" s="75"/>
    </row>
    <row r="44" spans="1:13" ht="15.75" thickBot="1">
      <c r="A44" s="416" t="s">
        <v>87</v>
      </c>
      <c r="B44" s="417"/>
      <c r="C44" s="417"/>
      <c r="D44" s="417"/>
      <c r="E44" s="417"/>
      <c r="F44" s="417"/>
      <c r="G44" s="417"/>
      <c r="H44" s="417"/>
      <c r="I44" s="417"/>
      <c r="J44" s="417"/>
      <c r="K44" s="417"/>
      <c r="L44" s="418"/>
      <c r="M44" s="58">
        <f>SUM(M39:M43)</f>
        <v>0</v>
      </c>
    </row>
    <row r="45" spans="1:13">
      <c r="A45" s="30"/>
      <c r="B45" s="19"/>
      <c r="C45" s="19"/>
      <c r="D45" s="19"/>
      <c r="E45" s="19"/>
      <c r="F45" s="19"/>
      <c r="G45" s="19"/>
      <c r="H45" s="19"/>
      <c r="I45" s="19"/>
      <c r="J45" s="19"/>
      <c r="K45" s="19"/>
      <c r="L45" s="19"/>
      <c r="M45" s="24"/>
    </row>
    <row r="46" spans="1:13">
      <c r="A46" s="51" t="s">
        <v>90</v>
      </c>
      <c r="B46" s="52"/>
      <c r="C46" s="52"/>
      <c r="D46" s="52"/>
      <c r="E46" s="52"/>
      <c r="F46" s="52"/>
      <c r="G46" s="52"/>
      <c r="H46" s="52"/>
      <c r="I46" s="52"/>
      <c r="J46" s="52"/>
      <c r="K46" s="52"/>
      <c r="L46" s="52"/>
      <c r="M46" s="53"/>
    </row>
    <row r="47" spans="1:13" ht="15.75" thickBot="1">
      <c r="A47" s="30"/>
      <c r="B47" s="19"/>
      <c r="C47" s="19"/>
      <c r="D47" s="19"/>
      <c r="E47" s="19"/>
      <c r="F47" s="19"/>
      <c r="G47" s="19"/>
      <c r="H47" s="19"/>
      <c r="I47" s="19"/>
      <c r="J47" s="19"/>
      <c r="K47" s="19"/>
      <c r="L47" s="19"/>
      <c r="M47" s="24"/>
    </row>
    <row r="48" spans="1:13">
      <c r="A48" s="408" t="s">
        <v>91</v>
      </c>
      <c r="B48" s="431"/>
      <c r="C48" s="431"/>
      <c r="D48" s="431"/>
      <c r="E48" s="431"/>
      <c r="F48" s="431"/>
      <c r="G48" s="431"/>
      <c r="H48" s="221" t="s">
        <v>92</v>
      </c>
      <c r="I48" s="218" t="s">
        <v>93</v>
      </c>
      <c r="J48" s="60" t="s">
        <v>94</v>
      </c>
      <c r="K48" s="421" t="s">
        <v>95</v>
      </c>
      <c r="L48" s="424"/>
      <c r="M48" s="44" t="s">
        <v>85</v>
      </c>
    </row>
    <row r="49" spans="1:14">
      <c r="A49" s="425"/>
      <c r="B49" s="426"/>
      <c r="C49" s="426"/>
      <c r="D49" s="426"/>
      <c r="E49" s="426"/>
      <c r="F49" s="426"/>
      <c r="G49" s="426"/>
      <c r="H49" s="61"/>
      <c r="I49" s="55"/>
      <c r="J49" s="61"/>
      <c r="K49" s="428"/>
      <c r="L49" s="429"/>
      <c r="M49" s="62"/>
    </row>
    <row r="50" spans="1:14" ht="15.75" thickBot="1">
      <c r="A50" s="410"/>
      <c r="B50" s="411"/>
      <c r="C50" s="411"/>
      <c r="D50" s="411"/>
      <c r="E50" s="411"/>
      <c r="F50" s="411"/>
      <c r="G50" s="411"/>
      <c r="H50" s="47"/>
      <c r="I50" s="15"/>
      <c r="J50" s="47"/>
      <c r="K50" s="414"/>
      <c r="L50" s="415"/>
      <c r="M50" s="48"/>
    </row>
    <row r="51" spans="1:14" ht="15.75" thickBot="1">
      <c r="A51" s="416" t="s">
        <v>87</v>
      </c>
      <c r="B51" s="417"/>
      <c r="C51" s="417"/>
      <c r="D51" s="417"/>
      <c r="E51" s="417"/>
      <c r="F51" s="417"/>
      <c r="G51" s="417"/>
      <c r="H51" s="417"/>
      <c r="I51" s="417"/>
      <c r="J51" s="417"/>
      <c r="K51" s="417"/>
      <c r="L51" s="418"/>
      <c r="M51" s="63">
        <f>SUM(M49:M50)</f>
        <v>0</v>
      </c>
    </row>
    <row r="52" spans="1:14">
      <c r="A52" s="30"/>
      <c r="B52" s="19"/>
      <c r="C52" s="19"/>
      <c r="D52" s="19"/>
      <c r="E52" s="19"/>
      <c r="F52" s="19"/>
      <c r="G52" s="19"/>
      <c r="H52" s="19"/>
      <c r="I52" s="19"/>
      <c r="J52" s="19"/>
      <c r="K52" s="19"/>
      <c r="L52" s="19"/>
      <c r="M52" s="24"/>
    </row>
    <row r="53" spans="1:14">
      <c r="A53" s="51" t="s">
        <v>96</v>
      </c>
      <c r="B53" s="52"/>
      <c r="C53" s="52"/>
      <c r="D53" s="52"/>
      <c r="E53" s="52"/>
      <c r="F53" s="52"/>
      <c r="G53" s="52"/>
      <c r="H53" s="52"/>
      <c r="I53" s="52"/>
      <c r="J53" s="52"/>
      <c r="K53" s="52"/>
      <c r="L53" s="52"/>
      <c r="M53" s="53"/>
    </row>
    <row r="54" spans="1:14" ht="15.75" thickBot="1">
      <c r="A54" s="30"/>
      <c r="B54" s="19"/>
      <c r="C54" s="19"/>
      <c r="D54" s="19"/>
      <c r="E54" s="19"/>
      <c r="F54" s="19"/>
      <c r="G54" s="19"/>
      <c r="H54" s="19"/>
      <c r="I54" s="19"/>
      <c r="J54" s="19"/>
      <c r="K54" s="19"/>
      <c r="L54" s="19"/>
      <c r="M54" s="24"/>
    </row>
    <row r="55" spans="1:14" ht="26.25">
      <c r="A55" s="453" t="s">
        <v>97</v>
      </c>
      <c r="B55" s="454"/>
      <c r="C55" s="454"/>
      <c r="D55" s="454"/>
      <c r="E55" s="454"/>
      <c r="F55" s="454"/>
      <c r="G55" s="454"/>
      <c r="H55" s="221" t="s">
        <v>98</v>
      </c>
      <c r="I55" s="222" t="s">
        <v>99</v>
      </c>
      <c r="J55" s="222" t="s">
        <v>100</v>
      </c>
      <c r="K55" s="455" t="s">
        <v>84</v>
      </c>
      <c r="L55" s="455"/>
      <c r="M55" s="65" t="s">
        <v>85</v>
      </c>
    </row>
    <row r="56" spans="1:14">
      <c r="A56" s="471" t="s">
        <v>122</v>
      </c>
      <c r="B56" s="472"/>
      <c r="C56" s="472"/>
      <c r="D56" s="472"/>
      <c r="E56" s="472"/>
      <c r="F56" s="472"/>
      <c r="G56" s="472"/>
      <c r="H56" s="1">
        <v>93129.381818181835</v>
      </c>
      <c r="I56" s="2">
        <v>2.2000000000000002</v>
      </c>
      <c r="J56" s="66">
        <f>(I56*H56)</f>
        <v>204884.64000000004</v>
      </c>
      <c r="K56" s="473">
        <v>19.678402527418516</v>
      </c>
      <c r="L56" s="473"/>
      <c r="M56" s="56">
        <f>J56/K56</f>
        <v>10411.65001653605</v>
      </c>
    </row>
    <row r="57" spans="1:14">
      <c r="A57" s="471"/>
      <c r="B57" s="472"/>
      <c r="C57" s="472"/>
      <c r="D57" s="472"/>
      <c r="E57" s="472"/>
      <c r="F57" s="472"/>
      <c r="G57" s="472"/>
      <c r="H57" s="1"/>
      <c r="I57" s="2"/>
      <c r="J57" s="66"/>
      <c r="K57" s="473"/>
      <c r="L57" s="473"/>
      <c r="M57" s="56"/>
    </row>
    <row r="58" spans="1:14" ht="15.75" thickBot="1">
      <c r="A58" s="432"/>
      <c r="B58" s="433"/>
      <c r="C58" s="433"/>
      <c r="D58" s="433"/>
      <c r="E58" s="433"/>
      <c r="F58" s="433"/>
      <c r="G58" s="433"/>
      <c r="H58" s="3"/>
      <c r="I58" s="4"/>
      <c r="J58" s="67"/>
      <c r="K58" s="434"/>
      <c r="L58" s="434"/>
      <c r="M58" s="68"/>
    </row>
    <row r="59" spans="1:14" ht="15.75" thickBot="1">
      <c r="A59" s="435" t="s">
        <v>87</v>
      </c>
      <c r="B59" s="436"/>
      <c r="C59" s="436"/>
      <c r="D59" s="436"/>
      <c r="E59" s="436"/>
      <c r="F59" s="436"/>
      <c r="G59" s="436"/>
      <c r="H59" s="436"/>
      <c r="I59" s="436"/>
      <c r="J59" s="436"/>
      <c r="K59" s="436"/>
      <c r="L59" s="437"/>
      <c r="M59" s="69">
        <f>SUM(M56:M58)</f>
        <v>10411.65001653605</v>
      </c>
    </row>
    <row r="60" spans="1:14" ht="15.75" thickBot="1">
      <c r="A60" s="30"/>
      <c r="B60" s="19"/>
      <c r="C60" s="19"/>
      <c r="D60" s="19"/>
      <c r="E60" s="19"/>
      <c r="F60" s="19"/>
      <c r="G60" s="19"/>
      <c r="H60" s="19"/>
      <c r="I60" s="19"/>
      <c r="J60" s="19"/>
      <c r="K60" s="19"/>
      <c r="L60" s="19"/>
      <c r="M60" s="24"/>
    </row>
    <row r="61" spans="1:14" ht="15.75" thickBot="1">
      <c r="A61" s="416" t="s">
        <v>101</v>
      </c>
      <c r="B61" s="417"/>
      <c r="C61" s="417"/>
      <c r="D61" s="417"/>
      <c r="E61" s="417"/>
      <c r="F61" s="417"/>
      <c r="G61" s="417"/>
      <c r="H61" s="417"/>
      <c r="I61" s="417"/>
      <c r="J61" s="417"/>
      <c r="K61" s="417"/>
      <c r="L61" s="418"/>
      <c r="M61" s="70">
        <f>ROUND(M59+M51+M44+M34,0)</f>
        <v>13915</v>
      </c>
      <c r="N61" s="155"/>
    </row>
    <row r="62" spans="1:14">
      <c r="A62" s="30"/>
      <c r="B62" s="19"/>
      <c r="C62" s="19"/>
      <c r="D62" s="19"/>
      <c r="E62" s="19"/>
      <c r="F62" s="19"/>
      <c r="G62" s="19"/>
      <c r="H62" s="19"/>
      <c r="I62" s="19"/>
      <c r="J62" s="19"/>
      <c r="K62" s="19"/>
      <c r="L62" s="19"/>
      <c r="M62" s="24"/>
    </row>
    <row r="63" spans="1:14">
      <c r="A63" s="51" t="s">
        <v>102</v>
      </c>
      <c r="B63" s="52"/>
      <c r="C63" s="52"/>
      <c r="D63" s="52"/>
      <c r="E63" s="52"/>
      <c r="F63" s="52"/>
      <c r="G63" s="52"/>
      <c r="H63" s="52"/>
      <c r="I63" s="52"/>
      <c r="J63" s="52"/>
      <c r="K63" s="52"/>
      <c r="L63" s="52"/>
      <c r="M63" s="53"/>
    </row>
    <row r="64" spans="1:14" ht="15.75" thickBot="1">
      <c r="A64" s="30"/>
      <c r="B64" s="19"/>
      <c r="C64" s="19"/>
      <c r="D64" s="19"/>
      <c r="E64" s="19"/>
      <c r="F64" s="19"/>
      <c r="G64" s="19"/>
      <c r="H64" s="19"/>
      <c r="I64" s="19"/>
      <c r="J64" s="19"/>
      <c r="K64" s="19"/>
      <c r="L64" s="19"/>
      <c r="M64" s="24"/>
    </row>
    <row r="65" spans="1:13" ht="15.75" thickBot="1">
      <c r="A65" s="438" t="s">
        <v>103</v>
      </c>
      <c r="B65" s="439"/>
      <c r="C65" s="439"/>
      <c r="D65" s="439"/>
      <c r="E65" s="439"/>
      <c r="F65" s="439"/>
      <c r="G65" s="439"/>
      <c r="H65" s="219"/>
      <c r="I65" s="220"/>
      <c r="J65" s="81" t="s">
        <v>104</v>
      </c>
      <c r="K65" s="440" t="s">
        <v>105</v>
      </c>
      <c r="L65" s="441"/>
      <c r="M65" s="82"/>
    </row>
    <row r="66" spans="1:13">
      <c r="A66" s="442" t="s">
        <v>106</v>
      </c>
      <c r="B66" s="443"/>
      <c r="C66" s="443"/>
      <c r="D66" s="443"/>
      <c r="E66" s="443"/>
      <c r="F66" s="443"/>
      <c r="G66" s="443"/>
      <c r="H66" s="83"/>
      <c r="I66" s="84"/>
      <c r="J66" s="85">
        <v>0.19</v>
      </c>
      <c r="K66" s="444">
        <f>M61*J66</f>
        <v>2643.85</v>
      </c>
      <c r="L66" s="444"/>
      <c r="M66" s="86"/>
    </row>
    <row r="67" spans="1:13">
      <c r="A67" s="447" t="s">
        <v>107</v>
      </c>
      <c r="B67" s="448"/>
      <c r="C67" s="448"/>
      <c r="D67" s="448"/>
      <c r="E67" s="448"/>
      <c r="F67" s="448"/>
      <c r="G67" s="449"/>
      <c r="H67" s="77"/>
      <c r="I67" s="78"/>
      <c r="J67" s="5">
        <v>0.01</v>
      </c>
      <c r="K67" s="445">
        <f>M61*J67</f>
        <v>139.15</v>
      </c>
      <c r="L67" s="445"/>
      <c r="M67" s="6"/>
    </row>
    <row r="68" spans="1:13">
      <c r="A68" s="447" t="s">
        <v>108</v>
      </c>
      <c r="B68" s="448"/>
      <c r="C68" s="448"/>
      <c r="D68" s="448"/>
      <c r="E68" s="448"/>
      <c r="F68" s="448"/>
      <c r="G68" s="449"/>
      <c r="H68" s="77"/>
      <c r="I68" s="78"/>
      <c r="J68" s="5">
        <v>0.05</v>
      </c>
      <c r="K68" s="445">
        <f>M61*J68</f>
        <v>695.75</v>
      </c>
      <c r="L68" s="445"/>
      <c r="M68" s="6"/>
    </row>
    <row r="69" spans="1:13" ht="15.75" thickBot="1">
      <c r="A69" s="450" t="s">
        <v>117</v>
      </c>
      <c r="B69" s="451"/>
      <c r="C69" s="451"/>
      <c r="D69" s="451"/>
      <c r="E69" s="451"/>
      <c r="F69" s="451"/>
      <c r="G69" s="452"/>
      <c r="H69" s="87"/>
      <c r="I69" s="88"/>
      <c r="J69" s="89">
        <v>0.19</v>
      </c>
      <c r="K69" s="446">
        <f>K68*J69</f>
        <v>132.1925</v>
      </c>
      <c r="L69" s="446"/>
      <c r="M69" s="90"/>
    </row>
    <row r="70" spans="1:13" ht="15.75" thickBot="1">
      <c r="A70" s="435" t="s">
        <v>87</v>
      </c>
      <c r="B70" s="436"/>
      <c r="C70" s="436"/>
      <c r="D70" s="436"/>
      <c r="E70" s="436"/>
      <c r="F70" s="436"/>
      <c r="G70" s="436"/>
      <c r="H70" s="436"/>
      <c r="I70" s="436"/>
      <c r="J70" s="436"/>
      <c r="K70" s="436"/>
      <c r="L70" s="437"/>
      <c r="M70" s="76">
        <f>SUM(K66:L69)</f>
        <v>3610.9425000000001</v>
      </c>
    </row>
    <row r="71" spans="1:13" ht="15.75" thickBot="1">
      <c r="A71" s="30"/>
      <c r="B71" s="19"/>
      <c r="C71" s="19"/>
      <c r="D71" s="19"/>
      <c r="E71" s="19"/>
      <c r="F71" s="19"/>
      <c r="G71" s="19"/>
      <c r="H71" s="19"/>
      <c r="I71" s="19"/>
      <c r="J71" s="19"/>
      <c r="K71" s="19"/>
      <c r="L71" s="19"/>
      <c r="M71" s="24"/>
    </row>
    <row r="72" spans="1:13" ht="15.75" thickBot="1">
      <c r="A72" s="416" t="s">
        <v>109</v>
      </c>
      <c r="B72" s="417"/>
      <c r="C72" s="417"/>
      <c r="D72" s="417"/>
      <c r="E72" s="417"/>
      <c r="F72" s="417"/>
      <c r="G72" s="417"/>
      <c r="H72" s="417"/>
      <c r="I72" s="417"/>
      <c r="J72" s="417"/>
      <c r="K72" s="417"/>
      <c r="L72" s="418"/>
      <c r="M72" s="71">
        <f>ROUND(M61+M70,0)</f>
        <v>17526</v>
      </c>
    </row>
  </sheetData>
  <mergeCells count="79">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A32:E32"/>
    <mergeCell ref="F32:G32"/>
    <mergeCell ref="H32:I32"/>
    <mergeCell ref="K32:L32"/>
    <mergeCell ref="A33:E33"/>
    <mergeCell ref="F33:G33"/>
    <mergeCell ref="H33:I33"/>
    <mergeCell ref="K33:L33"/>
    <mergeCell ref="A34:L34"/>
    <mergeCell ref="A38:H38"/>
    <mergeCell ref="K38:L38"/>
    <mergeCell ref="A39:H39"/>
    <mergeCell ref="K39:L39"/>
    <mergeCell ref="A41:H41"/>
    <mergeCell ref="K41:L41"/>
    <mergeCell ref="A42:H42"/>
    <mergeCell ref="K42:L42"/>
    <mergeCell ref="A43:H43"/>
    <mergeCell ref="K43:L43"/>
    <mergeCell ref="A57:G57"/>
    <mergeCell ref="K57:L57"/>
    <mergeCell ref="A44:L44"/>
    <mergeCell ref="A48:G48"/>
    <mergeCell ref="K48:L48"/>
    <mergeCell ref="A49:G49"/>
    <mergeCell ref="K49:L49"/>
    <mergeCell ref="A50:G50"/>
    <mergeCell ref="K50:L50"/>
    <mergeCell ref="A51:L51"/>
    <mergeCell ref="A55:G55"/>
    <mergeCell ref="K55:L55"/>
    <mergeCell ref="A56:G56"/>
    <mergeCell ref="K56:L56"/>
    <mergeCell ref="A58:G58"/>
    <mergeCell ref="K58:L58"/>
    <mergeCell ref="A59:L59"/>
    <mergeCell ref="A61:L61"/>
    <mergeCell ref="A65:G65"/>
    <mergeCell ref="K65:L65"/>
    <mergeCell ref="A69:G69"/>
    <mergeCell ref="K69:L69"/>
    <mergeCell ref="A70:L70"/>
    <mergeCell ref="A72:L72"/>
    <mergeCell ref="A66:G66"/>
    <mergeCell ref="K66:L66"/>
    <mergeCell ref="A67:G67"/>
    <mergeCell ref="K67:L67"/>
    <mergeCell ref="A68:G68"/>
    <mergeCell ref="K68:L68"/>
  </mergeCells>
  <pageMargins left="0.7" right="0.7" top="0.75" bottom="0.75" header="0.3" footer="0.3"/>
  <pageSetup scale="57"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topLeftCell="A37" zoomScale="80" zoomScaleNormal="100" zoomScaleSheetLayoutView="80" workbookViewId="0">
      <selection activeCell="M58" sqref="M58"/>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71"/>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72" t="s">
        <v>71</v>
      </c>
      <c r="H12" s="394"/>
      <c r="I12" s="394"/>
      <c r="J12" s="23"/>
      <c r="K12" s="23"/>
      <c r="L12" s="23"/>
      <c r="M12" s="24"/>
    </row>
    <row r="13" spans="1:13">
      <c r="A13" s="25" t="s">
        <v>72</v>
      </c>
      <c r="B13" s="26"/>
      <c r="C13" s="395" t="s">
        <v>136</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273"/>
      <c r="D15" s="273"/>
      <c r="E15" s="273"/>
      <c r="F15" s="273"/>
      <c r="G15" s="273"/>
      <c r="H15" s="273"/>
      <c r="I15" s="273"/>
      <c r="J15" s="273"/>
      <c r="K15" s="273"/>
      <c r="L15" s="273"/>
      <c r="M15" s="274"/>
    </row>
    <row r="16" spans="1:13">
      <c r="A16" s="25" t="s">
        <v>73</v>
      </c>
      <c r="B16" s="26"/>
      <c r="C16" s="379"/>
      <c r="D16" s="379"/>
      <c r="E16" s="379"/>
      <c r="F16" s="379"/>
      <c r="G16" s="379"/>
      <c r="H16" s="379"/>
      <c r="I16" s="379"/>
      <c r="J16" s="379"/>
      <c r="K16" s="379"/>
      <c r="L16" s="379"/>
      <c r="M16" s="380"/>
    </row>
    <row r="17" spans="1:13">
      <c r="A17" s="25"/>
      <c r="B17" s="26"/>
      <c r="C17" s="272"/>
      <c r="D17" s="272"/>
      <c r="E17" s="272"/>
      <c r="F17" s="272"/>
      <c r="G17" s="272"/>
      <c r="H17" s="272"/>
      <c r="I17" s="272"/>
      <c r="J17" s="272"/>
      <c r="K17" s="272"/>
      <c r="L17" s="272"/>
      <c r="M17" s="13"/>
    </row>
    <row r="18" spans="1:13">
      <c r="A18" s="25" t="s">
        <v>74</v>
      </c>
      <c r="B18" s="26"/>
      <c r="C18" s="379"/>
      <c r="D18" s="379"/>
      <c r="E18" s="379"/>
      <c r="F18" s="379"/>
      <c r="G18" s="379"/>
      <c r="H18" s="379"/>
      <c r="I18" s="379"/>
      <c r="J18" s="379"/>
      <c r="K18" s="379"/>
      <c r="L18" s="379"/>
      <c r="M18" s="380"/>
    </row>
    <row r="19" spans="1:13">
      <c r="A19" s="25"/>
      <c r="B19" s="26"/>
      <c r="C19" s="272"/>
      <c r="D19" s="272"/>
      <c r="E19" s="272"/>
      <c r="F19" s="272"/>
      <c r="G19" s="272"/>
      <c r="H19" s="272"/>
      <c r="I19" s="272"/>
      <c r="J19" s="272"/>
      <c r="K19" s="272"/>
      <c r="L19" s="272"/>
      <c r="M19" s="13"/>
    </row>
    <row r="20" spans="1:13" ht="31.5" customHeight="1">
      <c r="A20" s="464" t="s">
        <v>113</v>
      </c>
      <c r="B20" s="465"/>
      <c r="C20" s="379"/>
      <c r="D20" s="379"/>
      <c r="E20" s="379"/>
      <c r="F20" s="379"/>
      <c r="G20" s="379"/>
      <c r="H20" s="379"/>
      <c r="I20" s="379"/>
      <c r="J20" s="379"/>
      <c r="K20" s="379"/>
      <c r="L20" s="379"/>
      <c r="M20" s="380"/>
    </row>
    <row r="21" spans="1:13">
      <c r="A21" s="400"/>
      <c r="B21" s="401"/>
      <c r="C21" s="272"/>
      <c r="D21" s="272"/>
      <c r="E21" s="272"/>
      <c r="F21" s="272"/>
      <c r="G21" s="272"/>
      <c r="H21" s="272"/>
      <c r="I21" s="272"/>
      <c r="J21" s="272"/>
      <c r="K21" s="272"/>
      <c r="L21" s="272"/>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264" t="s">
        <v>78</v>
      </c>
      <c r="K25" s="408" t="s">
        <v>79</v>
      </c>
      <c r="L25" s="409"/>
      <c r="M25" s="31" t="s">
        <v>80</v>
      </c>
    </row>
    <row r="26" spans="1:13" ht="15.75" thickBot="1">
      <c r="A26" s="33"/>
      <c r="B26" s="391" t="s">
        <v>354</v>
      </c>
      <c r="C26" s="392"/>
      <c r="D26" s="392"/>
      <c r="E26" s="392"/>
      <c r="F26" s="392"/>
      <c r="G26" s="392"/>
      <c r="H26" s="392"/>
      <c r="I26" s="393"/>
      <c r="J26" s="263">
        <v>1</v>
      </c>
      <c r="K26" s="391" t="s">
        <v>115</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269" t="s">
        <v>83</v>
      </c>
      <c r="K30" s="421" t="s">
        <v>84</v>
      </c>
      <c r="L30" s="424"/>
      <c r="M30" s="44" t="s">
        <v>85</v>
      </c>
    </row>
    <row r="31" spans="1:13">
      <c r="A31" s="425" t="s">
        <v>134</v>
      </c>
      <c r="B31" s="426"/>
      <c r="C31" s="426"/>
      <c r="D31" s="426"/>
      <c r="E31" s="427"/>
      <c r="F31" s="428" t="s">
        <v>123</v>
      </c>
      <c r="G31" s="429"/>
      <c r="H31" s="430" t="s">
        <v>86</v>
      </c>
      <c r="I31" s="427"/>
      <c r="J31" s="72">
        <v>70067</v>
      </c>
      <c r="K31" s="468">
        <v>60</v>
      </c>
      <c r="L31" s="469"/>
      <c r="M31" s="46">
        <f>J31/K31</f>
        <v>1167.7833333333333</v>
      </c>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1167.7833333333333</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265" t="s">
        <v>79</v>
      </c>
      <c r="J37" s="269" t="s">
        <v>80</v>
      </c>
      <c r="K37" s="421" t="s">
        <v>89</v>
      </c>
      <c r="L37" s="424"/>
      <c r="M37" s="44" t="s">
        <v>85</v>
      </c>
    </row>
    <row r="38" spans="1:13">
      <c r="A38" s="425"/>
      <c r="B38" s="426"/>
      <c r="C38" s="426"/>
      <c r="D38" s="426"/>
      <c r="E38" s="426"/>
      <c r="F38" s="426"/>
      <c r="G38" s="426"/>
      <c r="H38" s="427"/>
      <c r="I38" s="73"/>
      <c r="J38" s="45"/>
      <c r="K38" s="456"/>
      <c r="L38" s="457"/>
      <c r="M38" s="56"/>
    </row>
    <row r="39" spans="1:13">
      <c r="A39" s="425"/>
      <c r="B39" s="426"/>
      <c r="C39" s="426"/>
      <c r="D39" s="426"/>
      <c r="E39" s="426"/>
      <c r="F39" s="426"/>
      <c r="G39" s="426"/>
      <c r="H39" s="427"/>
      <c r="I39" s="73"/>
      <c r="J39" s="45"/>
      <c r="K39" s="456"/>
      <c r="L39" s="457"/>
      <c r="M39" s="56"/>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ht="15.75" thickBot="1">
      <c r="A42" s="410"/>
      <c r="B42" s="411"/>
      <c r="C42" s="411"/>
      <c r="D42" s="411"/>
      <c r="E42" s="411"/>
      <c r="F42" s="411"/>
      <c r="G42" s="411"/>
      <c r="H42" s="412"/>
      <c r="I42" s="74"/>
      <c r="J42" s="57"/>
      <c r="K42" s="466"/>
      <c r="L42" s="467"/>
      <c r="M42" s="75"/>
    </row>
    <row r="43" spans="1:13" ht="15.75" thickBot="1">
      <c r="A43" s="416" t="s">
        <v>87</v>
      </c>
      <c r="B43" s="417"/>
      <c r="C43" s="417"/>
      <c r="D43" s="417"/>
      <c r="E43" s="417"/>
      <c r="F43" s="417"/>
      <c r="G43" s="417"/>
      <c r="H43" s="417"/>
      <c r="I43" s="417"/>
      <c r="J43" s="417"/>
      <c r="K43" s="417"/>
      <c r="L43" s="418"/>
      <c r="M43" s="58">
        <f>SUM(M38:M42)</f>
        <v>0</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269" t="s">
        <v>92</v>
      </c>
      <c r="I47" s="266" t="s">
        <v>93</v>
      </c>
      <c r="J47" s="60" t="s">
        <v>94</v>
      </c>
      <c r="K47" s="421" t="s">
        <v>95</v>
      </c>
      <c r="L47" s="424"/>
      <c r="M47" s="44" t="s">
        <v>85</v>
      </c>
    </row>
    <row r="48" spans="1:13">
      <c r="A48" s="425"/>
      <c r="B48" s="426"/>
      <c r="C48" s="426"/>
      <c r="D48" s="426"/>
      <c r="E48" s="426"/>
      <c r="F48" s="426"/>
      <c r="G48" s="426"/>
      <c r="H48" s="61"/>
      <c r="I48" s="55"/>
      <c r="J48" s="61"/>
      <c r="K48" s="428"/>
      <c r="L48" s="429"/>
      <c r="M48" s="62"/>
    </row>
    <row r="49" spans="1:15" ht="15.75" thickBot="1">
      <c r="A49" s="410"/>
      <c r="B49" s="411"/>
      <c r="C49" s="411"/>
      <c r="D49" s="411"/>
      <c r="E49" s="411"/>
      <c r="F49" s="411"/>
      <c r="G49" s="411"/>
      <c r="H49" s="47"/>
      <c r="I49" s="15"/>
      <c r="J49" s="47"/>
      <c r="K49" s="414"/>
      <c r="L49" s="415"/>
      <c r="M49" s="48"/>
    </row>
    <row r="50" spans="1:15" ht="15.75" thickBot="1">
      <c r="A50" s="416" t="s">
        <v>87</v>
      </c>
      <c r="B50" s="417"/>
      <c r="C50" s="417"/>
      <c r="D50" s="417"/>
      <c r="E50" s="417"/>
      <c r="F50" s="417"/>
      <c r="G50" s="417"/>
      <c r="H50" s="417"/>
      <c r="I50" s="417"/>
      <c r="J50" s="417"/>
      <c r="K50" s="417"/>
      <c r="L50" s="418"/>
      <c r="M50" s="63">
        <f>SUM(M48:M49)</f>
        <v>0</v>
      </c>
    </row>
    <row r="51" spans="1:15">
      <c r="A51" s="30"/>
      <c r="B51" s="19"/>
      <c r="C51" s="19"/>
      <c r="D51" s="19"/>
      <c r="E51" s="19"/>
      <c r="F51" s="19"/>
      <c r="G51" s="19"/>
      <c r="H51" s="19"/>
      <c r="I51" s="19"/>
      <c r="J51" s="19"/>
      <c r="K51" s="19"/>
      <c r="L51" s="19"/>
      <c r="M51" s="24"/>
    </row>
    <row r="52" spans="1:15">
      <c r="A52" s="51" t="s">
        <v>96</v>
      </c>
      <c r="B52" s="52"/>
      <c r="C52" s="52"/>
      <c r="D52" s="52"/>
      <c r="E52" s="52"/>
      <c r="F52" s="52"/>
      <c r="G52" s="52"/>
      <c r="H52" s="52"/>
      <c r="I52" s="52"/>
      <c r="J52" s="52"/>
      <c r="K52" s="52"/>
      <c r="L52" s="52"/>
      <c r="M52" s="53"/>
    </row>
    <row r="53" spans="1:15" ht="15.75" thickBot="1">
      <c r="A53" s="30"/>
      <c r="B53" s="19"/>
      <c r="C53" s="19"/>
      <c r="D53" s="19"/>
      <c r="E53" s="19"/>
      <c r="F53" s="19"/>
      <c r="G53" s="19"/>
      <c r="H53" s="19"/>
      <c r="I53" s="19"/>
      <c r="J53" s="19"/>
      <c r="K53" s="19"/>
      <c r="L53" s="19"/>
      <c r="M53" s="24"/>
    </row>
    <row r="54" spans="1:15" ht="26.25">
      <c r="A54" s="453" t="s">
        <v>97</v>
      </c>
      <c r="B54" s="454"/>
      <c r="C54" s="454"/>
      <c r="D54" s="454"/>
      <c r="E54" s="454"/>
      <c r="F54" s="454"/>
      <c r="G54" s="454"/>
      <c r="H54" s="269" t="s">
        <v>98</v>
      </c>
      <c r="I54" s="270" t="s">
        <v>99</v>
      </c>
      <c r="J54" s="270" t="s">
        <v>100</v>
      </c>
      <c r="K54" s="455" t="s">
        <v>84</v>
      </c>
      <c r="L54" s="455"/>
      <c r="M54" s="65" t="s">
        <v>85</v>
      </c>
    </row>
    <row r="55" spans="1:15" ht="15.75" thickBot="1">
      <c r="A55" s="432" t="s">
        <v>122</v>
      </c>
      <c r="B55" s="433"/>
      <c r="C55" s="433"/>
      <c r="D55" s="433"/>
      <c r="E55" s="433"/>
      <c r="F55" s="433"/>
      <c r="G55" s="433"/>
      <c r="H55" s="3">
        <v>85839.318181818162</v>
      </c>
      <c r="I55" s="4">
        <v>2.2000000000000002</v>
      </c>
      <c r="J55" s="67">
        <f>(I55*H55)</f>
        <v>188846.49999999997</v>
      </c>
      <c r="K55" s="434">
        <v>60</v>
      </c>
      <c r="L55" s="434"/>
      <c r="M55" s="68">
        <f>J55/K55</f>
        <v>3147.4416666666662</v>
      </c>
    </row>
    <row r="56" spans="1:15" ht="15.75" thickBot="1">
      <c r="A56" s="435" t="s">
        <v>87</v>
      </c>
      <c r="B56" s="436"/>
      <c r="C56" s="436"/>
      <c r="D56" s="436"/>
      <c r="E56" s="436"/>
      <c r="F56" s="436"/>
      <c r="G56" s="436"/>
      <c r="H56" s="436"/>
      <c r="I56" s="436"/>
      <c r="J56" s="436"/>
      <c r="K56" s="436"/>
      <c r="L56" s="437"/>
      <c r="M56" s="69">
        <f>SUM(M55:M55)</f>
        <v>3147.4416666666662</v>
      </c>
      <c r="O56" s="155"/>
    </row>
    <row r="57" spans="1:15" ht="15.75" thickBot="1">
      <c r="A57" s="30"/>
      <c r="B57" s="19"/>
      <c r="C57" s="19"/>
      <c r="D57" s="19"/>
      <c r="E57" s="19"/>
      <c r="F57" s="19"/>
      <c r="G57" s="19"/>
      <c r="H57" s="19"/>
      <c r="I57" s="19"/>
      <c r="J57" s="19"/>
      <c r="K57" s="19"/>
      <c r="L57" s="19"/>
      <c r="M57" s="24"/>
    </row>
    <row r="58" spans="1:15" ht="15.75" thickBot="1">
      <c r="A58" s="416" t="s">
        <v>101</v>
      </c>
      <c r="B58" s="417"/>
      <c r="C58" s="417"/>
      <c r="D58" s="417"/>
      <c r="E58" s="417"/>
      <c r="F58" s="417"/>
      <c r="G58" s="417"/>
      <c r="H58" s="417"/>
      <c r="I58" s="417"/>
      <c r="J58" s="417"/>
      <c r="K58" s="417"/>
      <c r="L58" s="418"/>
      <c r="M58" s="70">
        <f>ROUND(M56+M50+M43+M33,0)</f>
        <v>4315</v>
      </c>
      <c r="N58" s="155"/>
    </row>
    <row r="59" spans="1:15">
      <c r="A59" s="30"/>
      <c r="B59" s="19"/>
      <c r="C59" s="19"/>
      <c r="D59" s="19"/>
      <c r="E59" s="19"/>
      <c r="F59" s="19"/>
      <c r="G59" s="19"/>
      <c r="H59" s="19"/>
      <c r="I59" s="19"/>
      <c r="J59" s="19"/>
      <c r="K59" s="19"/>
      <c r="L59" s="19"/>
      <c r="M59" s="24"/>
    </row>
    <row r="60" spans="1:15">
      <c r="A60" s="51" t="s">
        <v>102</v>
      </c>
      <c r="B60" s="52"/>
      <c r="C60" s="52"/>
      <c r="D60" s="52"/>
      <c r="E60" s="52"/>
      <c r="F60" s="52"/>
      <c r="G60" s="52"/>
      <c r="H60" s="52"/>
      <c r="I60" s="52"/>
      <c r="J60" s="52"/>
      <c r="K60" s="52"/>
      <c r="L60" s="52"/>
      <c r="M60" s="53"/>
    </row>
    <row r="61" spans="1:15" ht="15.75" thickBot="1">
      <c r="A61" s="30"/>
      <c r="B61" s="19"/>
      <c r="C61" s="19"/>
      <c r="D61" s="19"/>
      <c r="E61" s="19"/>
      <c r="F61" s="19"/>
      <c r="G61" s="19"/>
      <c r="H61" s="19"/>
      <c r="I61" s="19"/>
      <c r="J61" s="19"/>
      <c r="K61" s="19"/>
      <c r="L61" s="19"/>
      <c r="M61" s="24"/>
    </row>
    <row r="62" spans="1:15" ht="15.75" thickBot="1">
      <c r="A62" s="438" t="s">
        <v>103</v>
      </c>
      <c r="B62" s="439"/>
      <c r="C62" s="439"/>
      <c r="D62" s="439"/>
      <c r="E62" s="439"/>
      <c r="F62" s="439"/>
      <c r="G62" s="439"/>
      <c r="H62" s="267"/>
      <c r="I62" s="268"/>
      <c r="J62" s="81" t="s">
        <v>104</v>
      </c>
      <c r="K62" s="440" t="s">
        <v>105</v>
      </c>
      <c r="L62" s="441"/>
      <c r="M62" s="82"/>
    </row>
    <row r="63" spans="1:15">
      <c r="A63" s="442" t="s">
        <v>106</v>
      </c>
      <c r="B63" s="443"/>
      <c r="C63" s="443"/>
      <c r="D63" s="443"/>
      <c r="E63" s="443"/>
      <c r="F63" s="443"/>
      <c r="G63" s="443"/>
      <c r="H63" s="83"/>
      <c r="I63" s="84"/>
      <c r="J63" s="85">
        <v>0.19</v>
      </c>
      <c r="K63" s="444">
        <f>M58*J63</f>
        <v>819.85</v>
      </c>
      <c r="L63" s="444"/>
      <c r="M63" s="86"/>
    </row>
    <row r="64" spans="1:15">
      <c r="A64" s="447" t="s">
        <v>107</v>
      </c>
      <c r="B64" s="448"/>
      <c r="C64" s="448"/>
      <c r="D64" s="448"/>
      <c r="E64" s="448"/>
      <c r="F64" s="448"/>
      <c r="G64" s="449"/>
      <c r="H64" s="77"/>
      <c r="I64" s="78"/>
      <c r="J64" s="5">
        <v>0.01</v>
      </c>
      <c r="K64" s="445">
        <f>M58*J64</f>
        <v>43.15</v>
      </c>
      <c r="L64" s="445"/>
      <c r="M64" s="6"/>
    </row>
    <row r="65" spans="1:13">
      <c r="A65" s="447" t="s">
        <v>108</v>
      </c>
      <c r="B65" s="448"/>
      <c r="C65" s="448"/>
      <c r="D65" s="448"/>
      <c r="E65" s="448"/>
      <c r="F65" s="448"/>
      <c r="G65" s="449"/>
      <c r="H65" s="77"/>
      <c r="I65" s="78"/>
      <c r="J65" s="5">
        <v>0.05</v>
      </c>
      <c r="K65" s="445">
        <f>M58*J65</f>
        <v>215.75</v>
      </c>
      <c r="L65" s="445"/>
      <c r="M65" s="6"/>
    </row>
    <row r="66" spans="1:13" ht="15.75" thickBot="1">
      <c r="A66" s="450" t="s">
        <v>117</v>
      </c>
      <c r="B66" s="451"/>
      <c r="C66" s="451"/>
      <c r="D66" s="451"/>
      <c r="E66" s="451"/>
      <c r="F66" s="451"/>
      <c r="G66" s="452"/>
      <c r="H66" s="87"/>
      <c r="I66" s="88"/>
      <c r="J66" s="89">
        <v>0.19</v>
      </c>
      <c r="K66" s="446">
        <f>K65*J66</f>
        <v>40.9925</v>
      </c>
      <c r="L66" s="446"/>
      <c r="M66" s="90"/>
    </row>
    <row r="67" spans="1:13" ht="15.75" thickBot="1">
      <c r="A67" s="435" t="s">
        <v>87</v>
      </c>
      <c r="B67" s="436"/>
      <c r="C67" s="436"/>
      <c r="D67" s="436"/>
      <c r="E67" s="436"/>
      <c r="F67" s="436"/>
      <c r="G67" s="436"/>
      <c r="H67" s="436"/>
      <c r="I67" s="436"/>
      <c r="J67" s="436"/>
      <c r="K67" s="436"/>
      <c r="L67" s="437"/>
      <c r="M67" s="76">
        <f>SUM(K63:L66)</f>
        <v>1119.7425000000001</v>
      </c>
    </row>
    <row r="68" spans="1:13" ht="15.75" thickBot="1">
      <c r="A68" s="30"/>
      <c r="B68" s="19"/>
      <c r="C68" s="19"/>
      <c r="D68" s="19"/>
      <c r="E68" s="19"/>
      <c r="F68" s="19"/>
      <c r="G68" s="19"/>
      <c r="H68" s="19"/>
      <c r="I68" s="19"/>
      <c r="J68" s="19"/>
      <c r="K68" s="19"/>
      <c r="L68" s="19"/>
      <c r="M68" s="24"/>
    </row>
    <row r="69" spans="1:13" ht="15.75" thickBot="1">
      <c r="A69" s="416" t="s">
        <v>109</v>
      </c>
      <c r="B69" s="417"/>
      <c r="C69" s="417"/>
      <c r="D69" s="417"/>
      <c r="E69" s="417"/>
      <c r="F69" s="417"/>
      <c r="G69" s="417"/>
      <c r="H69" s="417"/>
      <c r="I69" s="417"/>
      <c r="J69" s="417"/>
      <c r="K69" s="417"/>
      <c r="L69" s="418"/>
      <c r="M69" s="71">
        <f>ROUND(M58+M67,0)</f>
        <v>5435</v>
      </c>
    </row>
  </sheetData>
  <mergeCells count="71">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L56"/>
    <mergeCell ref="A58:L58"/>
    <mergeCell ref="A62:G62"/>
    <mergeCell ref="K62:L62"/>
    <mergeCell ref="A66:G66"/>
    <mergeCell ref="K66:L66"/>
    <mergeCell ref="A67:L67"/>
    <mergeCell ref="A69:L69"/>
    <mergeCell ref="A63:G63"/>
    <mergeCell ref="K63:L63"/>
    <mergeCell ref="A64:G64"/>
    <mergeCell ref="K64:L64"/>
    <mergeCell ref="A65:G65"/>
    <mergeCell ref="K65:L65"/>
  </mergeCells>
  <pageMargins left="0.7" right="0.7" top="0.75" bottom="0.75" header="0.3" footer="0.3"/>
  <pageSetup scale="57"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view="pageBreakPreview" topLeftCell="A49" zoomScale="80" zoomScaleNormal="100" zoomScaleSheetLayoutView="80" workbookViewId="0">
      <selection activeCell="M65" sqref="M65"/>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491" t="s">
        <v>67</v>
      </c>
      <c r="E1" s="491"/>
      <c r="F1" s="491"/>
      <c r="G1" s="491"/>
      <c r="H1" s="491"/>
      <c r="I1" s="491"/>
      <c r="J1" s="491"/>
      <c r="K1" s="493"/>
      <c r="L1" s="493"/>
      <c r="M1" s="494"/>
    </row>
    <row r="2" spans="1:13">
      <c r="A2" s="460"/>
      <c r="B2" s="389"/>
      <c r="C2" s="389"/>
      <c r="D2" s="492"/>
      <c r="E2" s="492"/>
      <c r="F2" s="492"/>
      <c r="G2" s="492"/>
      <c r="H2" s="492"/>
      <c r="I2" s="492"/>
      <c r="J2" s="492"/>
      <c r="K2" s="495"/>
      <c r="L2" s="495"/>
      <c r="M2" s="496"/>
    </row>
    <row r="3" spans="1:13">
      <c r="A3" s="460"/>
      <c r="B3" s="389"/>
      <c r="C3" s="389"/>
      <c r="D3" s="492"/>
      <c r="E3" s="492"/>
      <c r="F3" s="492"/>
      <c r="G3" s="492"/>
      <c r="H3" s="492"/>
      <c r="I3" s="492"/>
      <c r="J3" s="492"/>
      <c r="K3" s="495"/>
      <c r="L3" s="495"/>
      <c r="M3" s="496"/>
    </row>
    <row r="4" spans="1:13" ht="15" customHeight="1">
      <c r="A4" s="460"/>
      <c r="B4" s="389"/>
      <c r="C4" s="389"/>
      <c r="D4" s="389" t="s">
        <v>112</v>
      </c>
      <c r="E4" s="389"/>
      <c r="F4" s="389"/>
      <c r="G4" s="389"/>
      <c r="H4" s="389"/>
      <c r="I4" s="389"/>
      <c r="J4" s="389"/>
      <c r="K4" s="495"/>
      <c r="L4" s="495"/>
      <c r="M4" s="496"/>
    </row>
    <row r="5" spans="1:13">
      <c r="A5" s="460"/>
      <c r="B5" s="389"/>
      <c r="C5" s="389"/>
      <c r="D5" s="389"/>
      <c r="E5" s="389"/>
      <c r="F5" s="389"/>
      <c r="G5" s="389"/>
      <c r="H5" s="389"/>
      <c r="I5" s="389"/>
      <c r="J5" s="389"/>
      <c r="K5" s="495"/>
      <c r="L5" s="495"/>
      <c r="M5" s="496"/>
    </row>
    <row r="6" spans="1:13">
      <c r="A6" s="460"/>
      <c r="B6" s="389"/>
      <c r="C6" s="389"/>
      <c r="D6" s="389"/>
      <c r="E6" s="389"/>
      <c r="F6" s="389"/>
      <c r="G6" s="389"/>
      <c r="H6" s="389"/>
      <c r="I6" s="389"/>
      <c r="J6" s="389"/>
      <c r="K6" s="495"/>
      <c r="L6" s="495"/>
      <c r="M6" s="496"/>
    </row>
    <row r="7" spans="1:13" ht="15.75" thickBot="1">
      <c r="A7" s="461"/>
      <c r="B7" s="390"/>
      <c r="C7" s="390"/>
      <c r="D7" s="390"/>
      <c r="E7" s="390"/>
      <c r="F7" s="390"/>
      <c r="G7" s="390"/>
      <c r="H7" s="390"/>
      <c r="I7" s="390"/>
      <c r="J7" s="390"/>
      <c r="K7" s="497"/>
      <c r="L7" s="497"/>
      <c r="M7" s="498"/>
    </row>
    <row r="8" spans="1:13">
      <c r="A8" s="108"/>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09"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9">
      <c r="A17" s="25"/>
      <c r="B17" s="26"/>
      <c r="C17" s="109"/>
      <c r="D17" s="109"/>
      <c r="E17" s="109"/>
      <c r="F17" s="109"/>
      <c r="G17" s="109"/>
      <c r="H17" s="109"/>
      <c r="I17" s="109"/>
      <c r="J17" s="109"/>
      <c r="K17" s="109"/>
      <c r="L17" s="109"/>
      <c r="M17" s="13"/>
    </row>
    <row r="18" spans="1:19">
      <c r="A18" s="25" t="s">
        <v>74</v>
      </c>
      <c r="B18" s="26"/>
      <c r="C18" s="379"/>
      <c r="D18" s="379"/>
      <c r="E18" s="379"/>
      <c r="F18" s="379"/>
      <c r="G18" s="379"/>
      <c r="H18" s="379"/>
      <c r="I18" s="379"/>
      <c r="J18" s="379"/>
      <c r="K18" s="379"/>
      <c r="L18" s="379"/>
      <c r="M18" s="380"/>
    </row>
    <row r="19" spans="1:19">
      <c r="A19" s="25"/>
      <c r="B19" s="26"/>
      <c r="C19" s="109"/>
      <c r="D19" s="109"/>
      <c r="E19" s="109"/>
      <c r="F19" s="109"/>
      <c r="G19" s="109"/>
      <c r="H19" s="109"/>
      <c r="I19" s="109"/>
      <c r="J19" s="109"/>
      <c r="K19" s="109"/>
      <c r="L19" s="109"/>
      <c r="M19" s="13"/>
    </row>
    <row r="20" spans="1:19" ht="31.5" customHeight="1">
      <c r="A20" s="464" t="s">
        <v>113</v>
      </c>
      <c r="B20" s="465"/>
      <c r="C20" s="379"/>
      <c r="D20" s="379"/>
      <c r="E20" s="379"/>
      <c r="F20" s="379"/>
      <c r="G20" s="379"/>
      <c r="H20" s="379"/>
      <c r="I20" s="379"/>
      <c r="J20" s="379"/>
      <c r="K20" s="379"/>
      <c r="L20" s="379"/>
      <c r="M20" s="380"/>
    </row>
    <row r="21" spans="1:19">
      <c r="A21" s="400"/>
      <c r="B21" s="401"/>
      <c r="C21" s="109"/>
      <c r="D21" s="109"/>
      <c r="E21" s="109"/>
      <c r="F21" s="109"/>
      <c r="G21" s="109"/>
      <c r="H21" s="109"/>
      <c r="I21" s="109"/>
      <c r="J21" s="109"/>
      <c r="K21" s="109"/>
      <c r="L21" s="109"/>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103" t="s">
        <v>78</v>
      </c>
      <c r="K25" s="408" t="s">
        <v>79</v>
      </c>
      <c r="L25" s="409"/>
      <c r="M25" s="31" t="s">
        <v>80</v>
      </c>
    </row>
    <row r="26" spans="1:19" ht="15.75" thickBot="1">
      <c r="A26" s="33"/>
      <c r="B26" s="391" t="s">
        <v>131</v>
      </c>
      <c r="C26" s="392"/>
      <c r="D26" s="392"/>
      <c r="E26" s="392"/>
      <c r="F26" s="392"/>
      <c r="G26" s="392"/>
      <c r="H26" s="392"/>
      <c r="I26" s="393"/>
      <c r="J26" s="100">
        <v>1</v>
      </c>
      <c r="K26" s="391" t="str">
        <f>'[1]NUEVO DISEÑO'!C70</f>
        <v>M2</v>
      </c>
      <c r="L26" s="393"/>
      <c r="M26" s="35"/>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110" t="s">
        <v>83</v>
      </c>
      <c r="K30" s="421" t="s">
        <v>84</v>
      </c>
      <c r="L30" s="424"/>
      <c r="M30" s="44" t="s">
        <v>85</v>
      </c>
    </row>
    <row r="31" spans="1:19" ht="15.75" thickBot="1">
      <c r="A31" s="425"/>
      <c r="B31" s="426"/>
      <c r="C31" s="426"/>
      <c r="D31" s="426"/>
      <c r="E31" s="427"/>
      <c r="F31" s="428"/>
      <c r="G31" s="429"/>
      <c r="H31" s="430"/>
      <c r="I31" s="427"/>
      <c r="J31" s="72"/>
      <c r="K31" s="428"/>
      <c r="L31" s="429"/>
      <c r="M31" s="46"/>
      <c r="N31" s="489"/>
      <c r="O31" s="490"/>
      <c r="P31" s="95"/>
      <c r="Q31" s="96"/>
      <c r="R31" s="97"/>
      <c r="S31" s="98"/>
    </row>
    <row r="32" spans="1:19">
      <c r="A32" s="425"/>
      <c r="B32" s="426"/>
      <c r="C32" s="426"/>
      <c r="D32" s="426"/>
      <c r="E32" s="427"/>
      <c r="F32" s="428"/>
      <c r="G32" s="429"/>
      <c r="H32" s="430"/>
      <c r="I32" s="427"/>
      <c r="J32" s="72"/>
      <c r="K32" s="428"/>
      <c r="L32" s="429"/>
      <c r="M32" s="46"/>
    </row>
    <row r="33" spans="1:16" ht="15.75" thickBot="1">
      <c r="A33" s="410"/>
      <c r="B33" s="411"/>
      <c r="C33" s="411"/>
      <c r="D33" s="411"/>
      <c r="E33" s="412"/>
      <c r="F33" s="414"/>
      <c r="G33" s="415"/>
      <c r="H33" s="413"/>
      <c r="I33" s="412"/>
      <c r="J33" s="91"/>
      <c r="K33" s="414"/>
      <c r="L33" s="415"/>
      <c r="M33" s="46"/>
    </row>
    <row r="34" spans="1:16" ht="15.75" thickBot="1">
      <c r="A34" s="416" t="s">
        <v>87</v>
      </c>
      <c r="B34" s="417"/>
      <c r="C34" s="417"/>
      <c r="D34" s="417"/>
      <c r="E34" s="417"/>
      <c r="F34" s="417"/>
      <c r="G34" s="417"/>
      <c r="H34" s="417"/>
      <c r="I34" s="417"/>
      <c r="J34" s="417"/>
      <c r="K34" s="417"/>
      <c r="L34" s="418"/>
      <c r="M34" s="49">
        <f>SUM(M31:M33)</f>
        <v>0</v>
      </c>
    </row>
    <row r="35" spans="1:16">
      <c r="A35" s="50"/>
      <c r="B35" s="19"/>
      <c r="C35" s="19"/>
      <c r="D35" s="19"/>
      <c r="E35" s="19"/>
      <c r="F35" s="19"/>
      <c r="G35" s="19"/>
      <c r="H35" s="19"/>
      <c r="I35" s="19"/>
      <c r="J35" s="19"/>
      <c r="K35" s="19"/>
      <c r="L35" s="19"/>
      <c r="M35" s="24"/>
    </row>
    <row r="36" spans="1:16">
      <c r="A36" s="51" t="s">
        <v>88</v>
      </c>
      <c r="B36" s="52"/>
      <c r="C36" s="52"/>
      <c r="D36" s="52"/>
      <c r="E36" s="52"/>
      <c r="F36" s="52"/>
      <c r="G36" s="52"/>
      <c r="H36" s="52"/>
      <c r="I36" s="52"/>
      <c r="J36" s="52"/>
      <c r="K36" s="52"/>
      <c r="L36" s="52"/>
      <c r="M36" s="53"/>
    </row>
    <row r="37" spans="1:16" ht="15.75" thickBot="1">
      <c r="A37" s="14"/>
      <c r="B37" s="15"/>
      <c r="C37" s="15"/>
      <c r="D37" s="15"/>
      <c r="E37" s="15"/>
      <c r="F37" s="15"/>
      <c r="G37" s="15"/>
      <c r="H37" s="15"/>
      <c r="I37" s="19"/>
      <c r="J37" s="19"/>
      <c r="K37" s="19"/>
      <c r="L37" s="19"/>
      <c r="M37" s="24"/>
    </row>
    <row r="38" spans="1:16">
      <c r="A38" s="408" t="s">
        <v>77</v>
      </c>
      <c r="B38" s="431"/>
      <c r="C38" s="431"/>
      <c r="D38" s="431"/>
      <c r="E38" s="431"/>
      <c r="F38" s="431"/>
      <c r="G38" s="431"/>
      <c r="H38" s="424"/>
      <c r="I38" s="105" t="s">
        <v>79</v>
      </c>
      <c r="J38" s="110" t="s">
        <v>80</v>
      </c>
      <c r="K38" s="421" t="s">
        <v>89</v>
      </c>
      <c r="L38" s="424"/>
      <c r="M38" s="44" t="s">
        <v>85</v>
      </c>
    </row>
    <row r="39" spans="1:16" ht="15" customHeight="1">
      <c r="A39" s="484" t="s">
        <v>129</v>
      </c>
      <c r="B39" s="485"/>
      <c r="C39" s="485"/>
      <c r="D39" s="485"/>
      <c r="E39" s="485"/>
      <c r="F39" s="485"/>
      <c r="G39" s="485"/>
      <c r="H39" s="486"/>
      <c r="I39" s="73" t="s">
        <v>127</v>
      </c>
      <c r="J39" s="92">
        <v>10</v>
      </c>
      <c r="K39" s="487">
        <v>58</v>
      </c>
      <c r="L39" s="488"/>
      <c r="M39" s="56">
        <f>K39*J39</f>
        <v>580</v>
      </c>
      <c r="O39" s="94"/>
    </row>
    <row r="40" spans="1:16" ht="15" customHeight="1">
      <c r="A40" s="484" t="s">
        <v>130</v>
      </c>
      <c r="B40" s="485"/>
      <c r="C40" s="485"/>
      <c r="D40" s="485"/>
      <c r="E40" s="485"/>
      <c r="F40" s="485"/>
      <c r="G40" s="485"/>
      <c r="H40" s="486"/>
      <c r="I40" s="99" t="s">
        <v>10</v>
      </c>
      <c r="J40" s="93">
        <v>0.05</v>
      </c>
      <c r="K40" s="487">
        <v>49807</v>
      </c>
      <c r="L40" s="488"/>
      <c r="M40" s="56">
        <f>K40*J40</f>
        <v>2490.3500000000004</v>
      </c>
      <c r="P40" s="94"/>
    </row>
    <row r="41" spans="1:16" ht="15" customHeight="1">
      <c r="A41" s="484" t="s">
        <v>128</v>
      </c>
      <c r="B41" s="485"/>
      <c r="C41" s="485"/>
      <c r="D41" s="485"/>
      <c r="E41" s="485"/>
      <c r="F41" s="485"/>
      <c r="G41" s="485"/>
      <c r="H41" s="486"/>
      <c r="I41" s="73" t="s">
        <v>25</v>
      </c>
      <c r="J41" s="93">
        <v>19</v>
      </c>
      <c r="K41" s="487">
        <v>690</v>
      </c>
      <c r="L41" s="488"/>
      <c r="M41" s="56">
        <f>K41*J41</f>
        <v>13110</v>
      </c>
    </row>
    <row r="42" spans="1:16">
      <c r="A42" s="425" t="s">
        <v>132</v>
      </c>
      <c r="B42" s="426"/>
      <c r="C42" s="426"/>
      <c r="D42" s="426"/>
      <c r="E42" s="426"/>
      <c r="F42" s="426"/>
      <c r="G42" s="426"/>
      <c r="H42" s="427"/>
      <c r="I42" s="73" t="s">
        <v>25</v>
      </c>
      <c r="J42" s="112">
        <v>3.5</v>
      </c>
      <c r="K42" s="456">
        <v>2445</v>
      </c>
      <c r="L42" s="457"/>
      <c r="M42" s="56">
        <f>K42*J42</f>
        <v>8557.5</v>
      </c>
    </row>
    <row r="43" spans="1:16">
      <c r="A43" s="425"/>
      <c r="B43" s="426"/>
      <c r="C43" s="426"/>
      <c r="D43" s="426"/>
      <c r="E43" s="426"/>
      <c r="F43" s="426"/>
      <c r="G43" s="426"/>
      <c r="H43" s="427"/>
      <c r="I43" s="73"/>
      <c r="J43" s="112"/>
      <c r="K43" s="456"/>
      <c r="L43" s="457"/>
      <c r="M43" s="56"/>
    </row>
    <row r="44" spans="1:16">
      <c r="A44" s="425"/>
      <c r="B44" s="426"/>
      <c r="C44" s="426"/>
      <c r="D44" s="426"/>
      <c r="E44" s="426"/>
      <c r="F44" s="426"/>
      <c r="G44" s="426"/>
      <c r="H44" s="427"/>
      <c r="I44" s="73"/>
      <c r="J44" s="45"/>
      <c r="K44" s="456"/>
      <c r="L44" s="457"/>
      <c r="M44" s="56"/>
    </row>
    <row r="45" spans="1:16">
      <c r="A45" s="425"/>
      <c r="B45" s="426"/>
      <c r="C45" s="426"/>
      <c r="D45" s="426"/>
      <c r="E45" s="426"/>
      <c r="F45" s="426"/>
      <c r="G45" s="426"/>
      <c r="H45" s="427"/>
      <c r="I45" s="73"/>
      <c r="J45" s="45"/>
      <c r="K45" s="456"/>
      <c r="L45" s="457"/>
      <c r="M45" s="56"/>
    </row>
    <row r="46" spans="1:16">
      <c r="A46" s="425"/>
      <c r="B46" s="426"/>
      <c r="C46" s="426"/>
      <c r="D46" s="426"/>
      <c r="E46" s="426"/>
      <c r="F46" s="426"/>
      <c r="G46" s="426"/>
      <c r="H46" s="427"/>
      <c r="I46" s="73"/>
      <c r="J46" s="45"/>
      <c r="K46" s="456"/>
      <c r="L46" s="457"/>
      <c r="M46" s="56"/>
    </row>
    <row r="47" spans="1:16" ht="15.75" thickBot="1">
      <c r="A47" s="410"/>
      <c r="B47" s="411"/>
      <c r="C47" s="411"/>
      <c r="D47" s="411"/>
      <c r="E47" s="411"/>
      <c r="F47" s="411"/>
      <c r="G47" s="411"/>
      <c r="H47" s="412"/>
      <c r="I47" s="74"/>
      <c r="J47" s="57"/>
      <c r="K47" s="466"/>
      <c r="L47" s="467"/>
      <c r="M47" s="75"/>
    </row>
    <row r="48" spans="1:16" ht="15.75" thickBot="1">
      <c r="A48" s="416" t="s">
        <v>87</v>
      </c>
      <c r="B48" s="417"/>
      <c r="C48" s="417"/>
      <c r="D48" s="417"/>
      <c r="E48" s="417"/>
      <c r="F48" s="417"/>
      <c r="G48" s="417"/>
      <c r="H48" s="417"/>
      <c r="I48" s="417"/>
      <c r="J48" s="417"/>
      <c r="K48" s="417"/>
      <c r="L48" s="418"/>
      <c r="M48" s="58">
        <f>SUM(M39:M47)</f>
        <v>24737.85</v>
      </c>
    </row>
    <row r="49" spans="1:13">
      <c r="A49" s="30"/>
      <c r="B49" s="19"/>
      <c r="C49" s="19"/>
      <c r="D49" s="19"/>
      <c r="E49" s="19"/>
      <c r="F49" s="19"/>
      <c r="G49" s="19"/>
      <c r="H49" s="19"/>
      <c r="I49" s="19"/>
      <c r="J49" s="19"/>
      <c r="K49" s="19"/>
      <c r="L49" s="19"/>
      <c r="M49" s="24"/>
    </row>
    <row r="50" spans="1:13">
      <c r="A50" s="51" t="s">
        <v>90</v>
      </c>
      <c r="B50" s="52"/>
      <c r="C50" s="52"/>
      <c r="D50" s="52"/>
      <c r="E50" s="52"/>
      <c r="F50" s="52"/>
      <c r="G50" s="52"/>
      <c r="H50" s="52"/>
      <c r="I50" s="52"/>
      <c r="J50" s="52"/>
      <c r="K50" s="52"/>
      <c r="L50" s="52"/>
      <c r="M50" s="53"/>
    </row>
    <row r="51" spans="1:13" ht="15.75" thickBot="1">
      <c r="A51" s="30"/>
      <c r="B51" s="19"/>
      <c r="C51" s="19"/>
      <c r="D51" s="19"/>
      <c r="E51" s="19"/>
      <c r="F51" s="19"/>
      <c r="G51" s="19"/>
      <c r="H51" s="19"/>
      <c r="I51" s="19"/>
      <c r="J51" s="19"/>
      <c r="K51" s="19"/>
      <c r="L51" s="19"/>
      <c r="M51" s="24"/>
    </row>
    <row r="52" spans="1:13">
      <c r="A52" s="408" t="s">
        <v>91</v>
      </c>
      <c r="B52" s="431"/>
      <c r="C52" s="431"/>
      <c r="D52" s="431"/>
      <c r="E52" s="431"/>
      <c r="F52" s="431"/>
      <c r="G52" s="431"/>
      <c r="H52" s="110" t="s">
        <v>92</v>
      </c>
      <c r="I52" s="104" t="s">
        <v>93</v>
      </c>
      <c r="J52" s="60" t="s">
        <v>94</v>
      </c>
      <c r="K52" s="421" t="s">
        <v>95</v>
      </c>
      <c r="L52" s="424"/>
      <c r="M52" s="44" t="s">
        <v>85</v>
      </c>
    </row>
    <row r="53" spans="1:13">
      <c r="A53" s="425"/>
      <c r="B53" s="426"/>
      <c r="C53" s="426"/>
      <c r="D53" s="426"/>
      <c r="E53" s="426"/>
      <c r="F53" s="426"/>
      <c r="G53" s="426"/>
      <c r="H53" s="61"/>
      <c r="I53" s="55"/>
      <c r="J53" s="61"/>
      <c r="K53" s="428"/>
      <c r="L53" s="429"/>
    </row>
    <row r="54" spans="1:13" ht="15.75" thickBot="1">
      <c r="A54" s="410"/>
      <c r="B54" s="411"/>
      <c r="C54" s="411"/>
      <c r="D54" s="411"/>
      <c r="E54" s="411"/>
      <c r="F54" s="411"/>
      <c r="G54" s="411"/>
      <c r="H54" s="47"/>
      <c r="I54" s="15"/>
      <c r="J54" s="47"/>
      <c r="K54" s="414"/>
      <c r="L54" s="415"/>
      <c r="M54" s="62"/>
    </row>
    <row r="55" spans="1:13" ht="15.75" thickBot="1">
      <c r="A55" s="416" t="s">
        <v>87</v>
      </c>
      <c r="B55" s="417"/>
      <c r="C55" s="417"/>
      <c r="D55" s="417"/>
      <c r="E55" s="417"/>
      <c r="F55" s="417"/>
      <c r="G55" s="417"/>
      <c r="H55" s="417"/>
      <c r="I55" s="417"/>
      <c r="J55" s="417"/>
      <c r="K55" s="417"/>
      <c r="L55" s="418"/>
      <c r="M55" s="63">
        <f>SUM(M54:M54)</f>
        <v>0</v>
      </c>
    </row>
    <row r="56" spans="1:13">
      <c r="A56" s="30"/>
      <c r="B56" s="19"/>
      <c r="C56" s="19"/>
      <c r="D56" s="19"/>
      <c r="E56" s="19"/>
      <c r="F56" s="19"/>
      <c r="G56" s="19"/>
      <c r="H56" s="19"/>
      <c r="I56" s="19"/>
      <c r="J56" s="19"/>
      <c r="K56" s="19"/>
      <c r="L56" s="19"/>
      <c r="M56" s="24"/>
    </row>
    <row r="57" spans="1:13">
      <c r="A57" s="51" t="s">
        <v>96</v>
      </c>
      <c r="B57" s="52"/>
      <c r="C57" s="52"/>
      <c r="D57" s="52"/>
      <c r="E57" s="52"/>
      <c r="F57" s="52"/>
      <c r="G57" s="52"/>
      <c r="H57" s="52"/>
      <c r="I57" s="52"/>
      <c r="J57" s="52"/>
      <c r="K57" s="52"/>
      <c r="L57" s="52"/>
      <c r="M57" s="53"/>
    </row>
    <row r="58" spans="1:13" ht="15.75" thickBot="1">
      <c r="A58" s="30"/>
      <c r="B58" s="19"/>
      <c r="C58" s="19"/>
      <c r="D58" s="19"/>
      <c r="E58" s="19"/>
      <c r="F58" s="19"/>
      <c r="G58" s="19"/>
      <c r="H58" s="19"/>
      <c r="I58" s="19"/>
      <c r="J58" s="19"/>
      <c r="K58" s="19"/>
      <c r="L58" s="19"/>
      <c r="M58" s="24"/>
    </row>
    <row r="59" spans="1:13" ht="26.25">
      <c r="A59" s="453" t="s">
        <v>97</v>
      </c>
      <c r="B59" s="454"/>
      <c r="C59" s="454"/>
      <c r="D59" s="454"/>
      <c r="E59" s="454"/>
      <c r="F59" s="454"/>
      <c r="G59" s="454"/>
      <c r="H59" s="110" t="s">
        <v>98</v>
      </c>
      <c r="I59" s="111" t="s">
        <v>99</v>
      </c>
      <c r="J59" s="111" t="s">
        <v>100</v>
      </c>
      <c r="K59" s="455" t="s">
        <v>84</v>
      </c>
      <c r="L59" s="455"/>
      <c r="M59" s="65" t="s">
        <v>85</v>
      </c>
    </row>
    <row r="60" spans="1:13">
      <c r="A60" s="471" t="s">
        <v>126</v>
      </c>
      <c r="B60" s="472"/>
      <c r="C60" s="472"/>
      <c r="D60" s="472"/>
      <c r="E60" s="472"/>
      <c r="F60" s="472"/>
      <c r="G60" s="472"/>
      <c r="H60" s="1">
        <v>113019.64772727274</v>
      </c>
      <c r="I60" s="2">
        <v>2.2000000000000002</v>
      </c>
      <c r="J60" s="66">
        <f>(I60*H60)</f>
        <v>248643.22500000003</v>
      </c>
      <c r="K60" s="483">
        <v>11.5</v>
      </c>
      <c r="L60" s="483"/>
      <c r="M60" s="56">
        <f>J60/K60</f>
        <v>21621.15</v>
      </c>
    </row>
    <row r="61" spans="1:13">
      <c r="A61" s="471"/>
      <c r="B61" s="472"/>
      <c r="C61" s="472"/>
      <c r="D61" s="472"/>
      <c r="E61" s="472"/>
      <c r="F61" s="472"/>
      <c r="G61" s="472"/>
      <c r="H61" s="1"/>
      <c r="I61" s="2"/>
      <c r="J61" s="66"/>
      <c r="K61" s="473"/>
      <c r="L61" s="473"/>
      <c r="M61" s="56"/>
    </row>
    <row r="62" spans="1:13" ht="15.75" thickBot="1">
      <c r="A62" s="432"/>
      <c r="B62" s="433"/>
      <c r="C62" s="433"/>
      <c r="D62" s="433"/>
      <c r="E62" s="433"/>
      <c r="F62" s="433"/>
      <c r="G62" s="433"/>
      <c r="H62" s="3"/>
      <c r="I62" s="4"/>
      <c r="J62" s="67"/>
      <c r="K62" s="434"/>
      <c r="L62" s="434"/>
      <c r="M62" s="68"/>
    </row>
    <row r="63" spans="1:13" ht="15.75" thickBot="1">
      <c r="A63" s="435" t="s">
        <v>87</v>
      </c>
      <c r="B63" s="436"/>
      <c r="C63" s="436"/>
      <c r="D63" s="436"/>
      <c r="E63" s="436"/>
      <c r="F63" s="436"/>
      <c r="G63" s="436"/>
      <c r="H63" s="436"/>
      <c r="I63" s="436"/>
      <c r="J63" s="436"/>
      <c r="K63" s="436"/>
      <c r="L63" s="437"/>
      <c r="M63" s="69">
        <f>SUM(M60:M62)</f>
        <v>21621.15</v>
      </c>
    </row>
    <row r="64" spans="1:13" ht="15.75" thickBot="1">
      <c r="A64" s="30"/>
      <c r="B64" s="19"/>
      <c r="C64" s="19"/>
      <c r="D64" s="19"/>
      <c r="E64" s="19"/>
      <c r="F64" s="19"/>
      <c r="G64" s="19"/>
      <c r="H64" s="19"/>
      <c r="I64" s="19"/>
      <c r="J64" s="19"/>
      <c r="K64" s="19"/>
      <c r="L64" s="19"/>
      <c r="M64" s="24"/>
    </row>
    <row r="65" spans="1:14" ht="15.75" thickBot="1">
      <c r="A65" s="416" t="s">
        <v>101</v>
      </c>
      <c r="B65" s="417"/>
      <c r="C65" s="417"/>
      <c r="D65" s="417"/>
      <c r="E65" s="417"/>
      <c r="F65" s="417"/>
      <c r="G65" s="417"/>
      <c r="H65" s="417"/>
      <c r="I65" s="417"/>
      <c r="J65" s="417"/>
      <c r="K65" s="417"/>
      <c r="L65" s="418"/>
      <c r="M65" s="70">
        <f>M63+M55+M48+M34</f>
        <v>46359</v>
      </c>
      <c r="N65" s="155"/>
    </row>
    <row r="66" spans="1:14">
      <c r="A66" s="30"/>
      <c r="B66" s="19"/>
      <c r="C66" s="19"/>
      <c r="D66" s="19"/>
      <c r="E66" s="19"/>
      <c r="F66" s="19"/>
      <c r="G66" s="19"/>
      <c r="H66" s="19"/>
      <c r="I66" s="19"/>
      <c r="J66" s="19"/>
      <c r="K66" s="19"/>
      <c r="L66" s="19"/>
      <c r="M66" s="24"/>
    </row>
    <row r="67" spans="1:14">
      <c r="A67" s="51" t="s">
        <v>102</v>
      </c>
      <c r="B67" s="52"/>
      <c r="C67" s="52"/>
      <c r="D67" s="52"/>
      <c r="E67" s="52"/>
      <c r="F67" s="52"/>
      <c r="G67" s="52"/>
      <c r="H67" s="52"/>
      <c r="I67" s="52"/>
      <c r="J67" s="52"/>
      <c r="K67" s="52"/>
      <c r="L67" s="52"/>
      <c r="M67" s="53"/>
    </row>
    <row r="68" spans="1:14" ht="15.75" thickBot="1">
      <c r="A68" s="30"/>
      <c r="B68" s="19"/>
      <c r="C68" s="19"/>
      <c r="D68" s="19"/>
      <c r="E68" s="19"/>
      <c r="F68" s="19"/>
      <c r="G68" s="19"/>
      <c r="H68" s="19"/>
      <c r="I68" s="19"/>
      <c r="J68" s="19"/>
      <c r="K68" s="19"/>
      <c r="L68" s="19"/>
      <c r="M68" s="24"/>
    </row>
    <row r="69" spans="1:14" ht="15.75" thickBot="1">
      <c r="A69" s="438" t="s">
        <v>103</v>
      </c>
      <c r="B69" s="439"/>
      <c r="C69" s="439"/>
      <c r="D69" s="439"/>
      <c r="E69" s="439"/>
      <c r="F69" s="439"/>
      <c r="G69" s="439"/>
      <c r="H69" s="106"/>
      <c r="I69" s="107"/>
      <c r="J69" s="81" t="s">
        <v>104</v>
      </c>
      <c r="K69" s="440" t="s">
        <v>105</v>
      </c>
      <c r="L69" s="441"/>
      <c r="M69" s="82"/>
    </row>
    <row r="70" spans="1:14">
      <c r="A70" s="442" t="s">
        <v>106</v>
      </c>
      <c r="B70" s="443"/>
      <c r="C70" s="443"/>
      <c r="D70" s="443"/>
      <c r="E70" s="443"/>
      <c r="F70" s="443"/>
      <c r="G70" s="443"/>
      <c r="H70" s="83"/>
      <c r="I70" s="84"/>
      <c r="J70" s="85">
        <v>0.19</v>
      </c>
      <c r="K70" s="444">
        <f>M65*J70</f>
        <v>8808.2100000000009</v>
      </c>
      <c r="L70" s="444"/>
      <c r="M70" s="86"/>
    </row>
    <row r="71" spans="1:14">
      <c r="A71" s="447" t="s">
        <v>107</v>
      </c>
      <c r="B71" s="448"/>
      <c r="C71" s="448"/>
      <c r="D71" s="448"/>
      <c r="E71" s="448"/>
      <c r="F71" s="448"/>
      <c r="G71" s="449"/>
      <c r="H71" s="77"/>
      <c r="I71" s="78"/>
      <c r="J71" s="5">
        <v>0.01</v>
      </c>
      <c r="K71" s="445">
        <f>M65*J71</f>
        <v>463.59000000000003</v>
      </c>
      <c r="L71" s="445"/>
      <c r="M71" s="6"/>
    </row>
    <row r="72" spans="1:14">
      <c r="A72" s="447" t="s">
        <v>108</v>
      </c>
      <c r="B72" s="448"/>
      <c r="C72" s="448"/>
      <c r="D72" s="448"/>
      <c r="E72" s="448"/>
      <c r="F72" s="448"/>
      <c r="G72" s="449"/>
      <c r="H72" s="77"/>
      <c r="I72" s="78"/>
      <c r="J72" s="5">
        <v>0.05</v>
      </c>
      <c r="K72" s="445">
        <f>M65*J72</f>
        <v>2317.9500000000003</v>
      </c>
      <c r="L72" s="445"/>
      <c r="M72" s="6"/>
    </row>
    <row r="73" spans="1:14" ht="15.75" thickBot="1">
      <c r="A73" s="450" t="s">
        <v>117</v>
      </c>
      <c r="B73" s="451"/>
      <c r="C73" s="451"/>
      <c r="D73" s="451"/>
      <c r="E73" s="451"/>
      <c r="F73" s="451"/>
      <c r="G73" s="452"/>
      <c r="H73" s="87"/>
      <c r="I73" s="88"/>
      <c r="J73" s="89">
        <v>0.19</v>
      </c>
      <c r="K73" s="446">
        <f>K72*J73</f>
        <v>440.41050000000007</v>
      </c>
      <c r="L73" s="446"/>
      <c r="M73" s="90"/>
    </row>
    <row r="74" spans="1:14" ht="15.75" thickBot="1">
      <c r="A74" s="435" t="s">
        <v>87</v>
      </c>
      <c r="B74" s="436"/>
      <c r="C74" s="436"/>
      <c r="D74" s="436"/>
      <c r="E74" s="436"/>
      <c r="F74" s="436"/>
      <c r="G74" s="436"/>
      <c r="H74" s="436"/>
      <c r="I74" s="436"/>
      <c r="J74" s="436"/>
      <c r="K74" s="436"/>
      <c r="L74" s="437"/>
      <c r="M74" s="76">
        <f>SUM(K70:L73)</f>
        <v>12030.160500000002</v>
      </c>
    </row>
    <row r="75" spans="1:14" ht="15.75" thickBot="1">
      <c r="A75" s="30"/>
      <c r="B75" s="19"/>
      <c r="C75" s="19"/>
      <c r="D75" s="19"/>
      <c r="E75" s="19"/>
      <c r="F75" s="19"/>
      <c r="G75" s="19"/>
      <c r="H75" s="19"/>
      <c r="I75" s="19"/>
      <c r="J75" s="19"/>
      <c r="K75" s="19"/>
      <c r="L75" s="19"/>
      <c r="M75" s="24"/>
    </row>
    <row r="76" spans="1:14" ht="15.75" thickBot="1">
      <c r="A76" s="416" t="s">
        <v>109</v>
      </c>
      <c r="B76" s="417"/>
      <c r="C76" s="417"/>
      <c r="D76" s="417"/>
      <c r="E76" s="417"/>
      <c r="F76" s="417"/>
      <c r="G76" s="417"/>
      <c r="H76" s="417"/>
      <c r="I76" s="417"/>
      <c r="J76" s="417"/>
      <c r="K76" s="417"/>
      <c r="L76" s="418"/>
      <c r="M76" s="71">
        <f>ROUND(M65+M74,0)</f>
        <v>58389</v>
      </c>
    </row>
  </sheetData>
  <mergeCells count="8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41:H41"/>
    <mergeCell ref="K41:L41"/>
    <mergeCell ref="A42:H42"/>
    <mergeCell ref="K42:L42"/>
    <mergeCell ref="A43:H43"/>
    <mergeCell ref="K43:L43"/>
    <mergeCell ref="A53:G53"/>
    <mergeCell ref="K53:L53"/>
    <mergeCell ref="A44:H44"/>
    <mergeCell ref="K44:L44"/>
    <mergeCell ref="A45:H45"/>
    <mergeCell ref="K45:L45"/>
    <mergeCell ref="A46:H46"/>
    <mergeCell ref="K46:L46"/>
    <mergeCell ref="A47:H47"/>
    <mergeCell ref="K47:L47"/>
    <mergeCell ref="A48:L48"/>
    <mergeCell ref="A52:G52"/>
    <mergeCell ref="K52:L52"/>
    <mergeCell ref="A65:L65"/>
    <mergeCell ref="A54:G54"/>
    <mergeCell ref="K54:L54"/>
    <mergeCell ref="A55:L55"/>
    <mergeCell ref="A59:G59"/>
    <mergeCell ref="K59:L59"/>
    <mergeCell ref="A60:G60"/>
    <mergeCell ref="K60:L60"/>
    <mergeCell ref="A61:G61"/>
    <mergeCell ref="K61:L61"/>
    <mergeCell ref="A62:G62"/>
    <mergeCell ref="K62:L62"/>
    <mergeCell ref="A63:L63"/>
    <mergeCell ref="A76:L76"/>
    <mergeCell ref="A69:G69"/>
    <mergeCell ref="K69:L69"/>
    <mergeCell ref="A70:G70"/>
    <mergeCell ref="K70:L70"/>
    <mergeCell ref="A71:G71"/>
    <mergeCell ref="K71:L71"/>
    <mergeCell ref="A72:G72"/>
    <mergeCell ref="K72:L72"/>
    <mergeCell ref="A73:G73"/>
    <mergeCell ref="K73:L73"/>
    <mergeCell ref="A74:L74"/>
  </mergeCells>
  <pageMargins left="0.7" right="0.7" top="0.75" bottom="0.75" header="0.3" footer="0.3"/>
  <pageSetup scale="5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M69"/>
  <sheetViews>
    <sheetView view="pageBreakPreview" topLeftCell="A40" zoomScale="80" zoomScaleNormal="100" zoomScaleSheetLayoutView="80" workbookViewId="0">
      <selection activeCell="M58" sqref="M58"/>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7"/>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2" t="s">
        <v>71</v>
      </c>
      <c r="H12" s="394"/>
      <c r="I12" s="394"/>
      <c r="J12" s="23"/>
      <c r="K12" s="23"/>
      <c r="L12" s="23"/>
      <c r="M12" s="24"/>
    </row>
    <row r="13" spans="1:13">
      <c r="A13" s="25" t="s">
        <v>72</v>
      </c>
      <c r="B13" s="26"/>
      <c r="C13" s="395" t="s">
        <v>136</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27"/>
      <c r="D15" s="27"/>
      <c r="E15" s="27"/>
      <c r="F15" s="27"/>
      <c r="G15" s="27"/>
      <c r="H15" s="27"/>
      <c r="I15" s="27"/>
      <c r="J15" s="27"/>
      <c r="K15" s="27"/>
      <c r="L15" s="27"/>
      <c r="M15" s="28"/>
    </row>
    <row r="16" spans="1:13">
      <c r="A16" s="25" t="s">
        <v>73</v>
      </c>
      <c r="B16" s="26"/>
      <c r="C16" s="379"/>
      <c r="D16" s="379"/>
      <c r="E16" s="379"/>
      <c r="F16" s="379"/>
      <c r="G16" s="379"/>
      <c r="H16" s="379"/>
      <c r="I16" s="379"/>
      <c r="J16" s="379"/>
      <c r="K16" s="379"/>
      <c r="L16" s="379"/>
      <c r="M16" s="380"/>
    </row>
    <row r="17" spans="1:13">
      <c r="A17" s="25"/>
      <c r="B17" s="26"/>
      <c r="C17" s="12"/>
      <c r="D17" s="12"/>
      <c r="E17" s="12"/>
      <c r="F17" s="12"/>
      <c r="G17" s="12"/>
      <c r="H17" s="12"/>
      <c r="I17" s="12"/>
      <c r="J17" s="12"/>
      <c r="K17" s="12"/>
      <c r="L17" s="12"/>
      <c r="M17" s="13"/>
    </row>
    <row r="18" spans="1:13">
      <c r="A18" s="25" t="s">
        <v>74</v>
      </c>
      <c r="B18" s="26"/>
      <c r="C18" s="379"/>
      <c r="D18" s="379"/>
      <c r="E18" s="379"/>
      <c r="F18" s="379"/>
      <c r="G18" s="379"/>
      <c r="H18" s="379"/>
      <c r="I18" s="379"/>
      <c r="J18" s="379"/>
      <c r="K18" s="379"/>
      <c r="L18" s="379"/>
      <c r="M18" s="380"/>
    </row>
    <row r="19" spans="1:13">
      <c r="A19" s="25"/>
      <c r="B19" s="26"/>
      <c r="C19" s="12"/>
      <c r="D19" s="12"/>
      <c r="E19" s="12"/>
      <c r="F19" s="12"/>
      <c r="G19" s="12"/>
      <c r="H19" s="12"/>
      <c r="I19" s="12"/>
      <c r="J19" s="12"/>
      <c r="K19" s="12"/>
      <c r="L19" s="12"/>
      <c r="M19" s="13"/>
    </row>
    <row r="20" spans="1:13" ht="31.5" customHeight="1">
      <c r="A20" s="464" t="s">
        <v>113</v>
      </c>
      <c r="B20" s="465"/>
      <c r="C20" s="379"/>
      <c r="D20" s="379"/>
      <c r="E20" s="379"/>
      <c r="F20" s="379"/>
      <c r="G20" s="379"/>
      <c r="H20" s="379"/>
      <c r="I20" s="379"/>
      <c r="J20" s="379"/>
      <c r="K20" s="379"/>
      <c r="L20" s="379"/>
      <c r="M20" s="380"/>
    </row>
    <row r="21" spans="1:13">
      <c r="A21" s="400"/>
      <c r="B21" s="401"/>
      <c r="C21" s="12"/>
      <c r="D21" s="12"/>
      <c r="E21" s="12"/>
      <c r="F21" s="12"/>
      <c r="G21" s="12"/>
      <c r="H21" s="12"/>
      <c r="I21" s="12"/>
      <c r="J21" s="12"/>
      <c r="K21" s="12"/>
      <c r="L21" s="12"/>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32" t="s">
        <v>78</v>
      </c>
      <c r="K25" s="408" t="s">
        <v>79</v>
      </c>
      <c r="L25" s="409"/>
      <c r="M25" s="31" t="s">
        <v>80</v>
      </c>
    </row>
    <row r="26" spans="1:13" ht="15.75" thickBot="1">
      <c r="A26" s="33"/>
      <c r="B26" s="391" t="s">
        <v>137</v>
      </c>
      <c r="C26" s="392"/>
      <c r="D26" s="392"/>
      <c r="E26" s="392"/>
      <c r="F26" s="392"/>
      <c r="G26" s="392"/>
      <c r="H26" s="392"/>
      <c r="I26" s="393"/>
      <c r="J26" s="34">
        <v>1</v>
      </c>
      <c r="K26" s="391" t="str">
        <f>'NUEVO DISEÑO'!C4</f>
        <v>M2</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43" t="s">
        <v>83</v>
      </c>
      <c r="K30" s="421" t="s">
        <v>84</v>
      </c>
      <c r="L30" s="424"/>
      <c r="M30" s="44" t="s">
        <v>85</v>
      </c>
    </row>
    <row r="31" spans="1:13">
      <c r="A31" s="425" t="s">
        <v>134</v>
      </c>
      <c r="B31" s="426"/>
      <c r="C31" s="426"/>
      <c r="D31" s="426"/>
      <c r="E31" s="427"/>
      <c r="F31" s="428" t="s">
        <v>123</v>
      </c>
      <c r="G31" s="429"/>
      <c r="H31" s="430" t="s">
        <v>86</v>
      </c>
      <c r="I31" s="427"/>
      <c r="J31" s="72">
        <v>70067</v>
      </c>
      <c r="K31" s="428">
        <v>40</v>
      </c>
      <c r="L31" s="429"/>
      <c r="M31" s="46">
        <f>J31/K31</f>
        <v>1751.675</v>
      </c>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1751.675</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54" t="s">
        <v>79</v>
      </c>
      <c r="J37" s="43" t="s">
        <v>80</v>
      </c>
      <c r="K37" s="421" t="s">
        <v>89</v>
      </c>
      <c r="L37" s="424"/>
      <c r="M37" s="44" t="s">
        <v>85</v>
      </c>
    </row>
    <row r="38" spans="1:13">
      <c r="A38" s="425"/>
      <c r="B38" s="426"/>
      <c r="C38" s="426"/>
      <c r="D38" s="426"/>
      <c r="E38" s="426"/>
      <c r="F38" s="426"/>
      <c r="G38" s="426"/>
      <c r="H38" s="427"/>
      <c r="I38" s="73"/>
      <c r="J38" s="45"/>
      <c r="K38" s="456"/>
      <c r="L38" s="457"/>
      <c r="M38" s="56"/>
    </row>
    <row r="39" spans="1:13">
      <c r="A39" s="425"/>
      <c r="B39" s="426"/>
      <c r="C39" s="426"/>
      <c r="D39" s="426"/>
      <c r="E39" s="426"/>
      <c r="F39" s="426"/>
      <c r="G39" s="426"/>
      <c r="H39" s="427"/>
      <c r="I39" s="73"/>
      <c r="J39" s="45"/>
      <c r="K39" s="456"/>
      <c r="L39" s="457"/>
      <c r="M39" s="56"/>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ht="15.75" thickBot="1">
      <c r="A42" s="410"/>
      <c r="B42" s="411"/>
      <c r="C42" s="411"/>
      <c r="D42" s="411"/>
      <c r="E42" s="411"/>
      <c r="F42" s="411"/>
      <c r="G42" s="411"/>
      <c r="H42" s="412"/>
      <c r="I42" s="74"/>
      <c r="J42" s="57"/>
      <c r="K42" s="466"/>
      <c r="L42" s="467"/>
      <c r="M42" s="75"/>
    </row>
    <row r="43" spans="1:13" ht="15.75" thickBot="1">
      <c r="A43" s="416" t="s">
        <v>87</v>
      </c>
      <c r="B43" s="417"/>
      <c r="C43" s="417"/>
      <c r="D43" s="417"/>
      <c r="E43" s="417"/>
      <c r="F43" s="417"/>
      <c r="G43" s="417"/>
      <c r="H43" s="417"/>
      <c r="I43" s="417"/>
      <c r="J43" s="417"/>
      <c r="K43" s="417"/>
      <c r="L43" s="418"/>
      <c r="M43" s="58">
        <f>SUM(M38:M42)</f>
        <v>0</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43" t="s">
        <v>92</v>
      </c>
      <c r="I47" s="59" t="s">
        <v>93</v>
      </c>
      <c r="J47" s="60" t="s">
        <v>94</v>
      </c>
      <c r="K47" s="421" t="s">
        <v>95</v>
      </c>
      <c r="L47" s="424"/>
      <c r="M47" s="44" t="s">
        <v>85</v>
      </c>
    </row>
    <row r="48" spans="1:13">
      <c r="A48" s="425"/>
      <c r="B48" s="426"/>
      <c r="C48" s="426"/>
      <c r="D48" s="426"/>
      <c r="E48" s="426"/>
      <c r="F48" s="426"/>
      <c r="G48" s="426"/>
      <c r="H48" s="61"/>
      <c r="I48" s="55"/>
      <c r="J48" s="61"/>
      <c r="K48" s="428"/>
      <c r="L48" s="429"/>
      <c r="M48" s="62"/>
    </row>
    <row r="49" spans="1:13" ht="15.75" thickBot="1">
      <c r="A49" s="410"/>
      <c r="B49" s="411"/>
      <c r="C49" s="411"/>
      <c r="D49" s="411"/>
      <c r="E49" s="411"/>
      <c r="F49" s="411"/>
      <c r="G49" s="411"/>
      <c r="H49" s="47"/>
      <c r="I49" s="15"/>
      <c r="J49" s="47"/>
      <c r="K49" s="414"/>
      <c r="L49" s="415"/>
      <c r="M49" s="48"/>
    </row>
    <row r="50" spans="1:13" ht="15.75" thickBot="1">
      <c r="A50" s="416" t="s">
        <v>87</v>
      </c>
      <c r="B50" s="417"/>
      <c r="C50" s="417"/>
      <c r="D50" s="417"/>
      <c r="E50" s="417"/>
      <c r="F50" s="417"/>
      <c r="G50" s="417"/>
      <c r="H50" s="417"/>
      <c r="I50" s="417"/>
      <c r="J50" s="417"/>
      <c r="K50" s="417"/>
      <c r="L50" s="418"/>
      <c r="M50" s="63">
        <f>SUM(M48:M49)</f>
        <v>0</v>
      </c>
    </row>
    <row r="51" spans="1:13">
      <c r="A51" s="30"/>
      <c r="B51" s="19"/>
      <c r="C51" s="19"/>
      <c r="D51" s="19"/>
      <c r="E51" s="19"/>
      <c r="F51" s="19"/>
      <c r="G51" s="19"/>
      <c r="H51" s="19"/>
      <c r="I51" s="19"/>
      <c r="J51" s="19"/>
      <c r="K51" s="19"/>
      <c r="L51" s="19"/>
      <c r="M51" s="24"/>
    </row>
    <row r="52" spans="1:13">
      <c r="A52" s="51" t="s">
        <v>96</v>
      </c>
      <c r="B52" s="52"/>
      <c r="C52" s="52"/>
      <c r="D52" s="52"/>
      <c r="E52" s="52"/>
      <c r="F52" s="52"/>
      <c r="G52" s="52"/>
      <c r="H52" s="52"/>
      <c r="I52" s="52"/>
      <c r="J52" s="52"/>
      <c r="K52" s="52"/>
      <c r="L52" s="52"/>
      <c r="M52" s="53"/>
    </row>
    <row r="53" spans="1:13" ht="15.75" thickBot="1">
      <c r="A53" s="30"/>
      <c r="B53" s="19"/>
      <c r="C53" s="19"/>
      <c r="D53" s="19"/>
      <c r="E53" s="19"/>
      <c r="F53" s="19"/>
      <c r="G53" s="19"/>
      <c r="H53" s="19"/>
      <c r="I53" s="19"/>
      <c r="J53" s="19"/>
      <c r="K53" s="19"/>
      <c r="L53" s="19"/>
      <c r="M53" s="24"/>
    </row>
    <row r="54" spans="1:13" ht="26.25">
      <c r="A54" s="453" t="s">
        <v>97</v>
      </c>
      <c r="B54" s="454"/>
      <c r="C54" s="454"/>
      <c r="D54" s="454"/>
      <c r="E54" s="454"/>
      <c r="F54" s="454"/>
      <c r="G54" s="454"/>
      <c r="H54" s="43" t="s">
        <v>98</v>
      </c>
      <c r="I54" s="64" t="s">
        <v>99</v>
      </c>
      <c r="J54" s="64" t="s">
        <v>100</v>
      </c>
      <c r="K54" s="455" t="s">
        <v>84</v>
      </c>
      <c r="L54" s="455"/>
      <c r="M54" s="65" t="s">
        <v>85</v>
      </c>
    </row>
    <row r="55" spans="1:13" ht="15.75" thickBot="1">
      <c r="A55" s="432" t="s">
        <v>122</v>
      </c>
      <c r="B55" s="433"/>
      <c r="C55" s="433"/>
      <c r="D55" s="433"/>
      <c r="E55" s="433"/>
      <c r="F55" s="433"/>
      <c r="G55" s="433"/>
      <c r="H55" s="3">
        <v>85839.318181818162</v>
      </c>
      <c r="I55" s="4">
        <v>2.2000000000000002</v>
      </c>
      <c r="J55" s="67">
        <f>(I55*H55)</f>
        <v>188846.49999999997</v>
      </c>
      <c r="K55" s="434">
        <v>20</v>
      </c>
      <c r="L55" s="434"/>
      <c r="M55" s="68">
        <f>J55/K55</f>
        <v>9442.3249999999989</v>
      </c>
    </row>
    <row r="56" spans="1:13" ht="15.75" thickBot="1">
      <c r="A56" s="435" t="s">
        <v>87</v>
      </c>
      <c r="B56" s="436"/>
      <c r="C56" s="436"/>
      <c r="D56" s="436"/>
      <c r="E56" s="436"/>
      <c r="F56" s="436"/>
      <c r="G56" s="436"/>
      <c r="H56" s="436"/>
      <c r="I56" s="436"/>
      <c r="J56" s="436"/>
      <c r="K56" s="436"/>
      <c r="L56" s="437"/>
      <c r="M56" s="69">
        <f>SUM(M55:M55)</f>
        <v>9442.3249999999989</v>
      </c>
    </row>
    <row r="57" spans="1:13" ht="15.75" thickBot="1">
      <c r="A57" s="30"/>
      <c r="B57" s="19"/>
      <c r="C57" s="19"/>
      <c r="D57" s="19"/>
      <c r="E57" s="19"/>
      <c r="F57" s="19"/>
      <c r="G57" s="19"/>
      <c r="H57" s="19"/>
      <c r="I57" s="19"/>
      <c r="J57" s="19"/>
      <c r="K57" s="19"/>
      <c r="L57" s="19"/>
      <c r="M57" s="24"/>
    </row>
    <row r="58" spans="1:13" ht="15.75" thickBot="1">
      <c r="A58" s="416" t="s">
        <v>101</v>
      </c>
      <c r="B58" s="417"/>
      <c r="C58" s="417"/>
      <c r="D58" s="417"/>
      <c r="E58" s="417"/>
      <c r="F58" s="417"/>
      <c r="G58" s="417"/>
      <c r="H58" s="417"/>
      <c r="I58" s="417"/>
      <c r="J58" s="417"/>
      <c r="K58" s="417"/>
      <c r="L58" s="418"/>
      <c r="M58" s="70">
        <f>ROUND(M56+M50+M43+M33,0)</f>
        <v>11194</v>
      </c>
    </row>
    <row r="59" spans="1:13">
      <c r="A59" s="30"/>
      <c r="B59" s="19"/>
      <c r="C59" s="19"/>
      <c r="D59" s="19"/>
      <c r="E59" s="19"/>
      <c r="F59" s="19"/>
      <c r="G59" s="19"/>
      <c r="H59" s="19"/>
      <c r="I59" s="19"/>
      <c r="J59" s="19"/>
      <c r="K59" s="19"/>
      <c r="L59" s="19"/>
      <c r="M59" s="24"/>
    </row>
    <row r="60" spans="1:13">
      <c r="A60" s="51" t="s">
        <v>102</v>
      </c>
      <c r="B60" s="52"/>
      <c r="C60" s="52"/>
      <c r="D60" s="52"/>
      <c r="E60" s="52"/>
      <c r="F60" s="52"/>
      <c r="G60" s="52"/>
      <c r="H60" s="52"/>
      <c r="I60" s="52"/>
      <c r="J60" s="52"/>
      <c r="K60" s="52"/>
      <c r="L60" s="52"/>
      <c r="M60" s="53"/>
    </row>
    <row r="61" spans="1:13" ht="15.75" thickBot="1">
      <c r="A61" s="30"/>
      <c r="B61" s="19"/>
      <c r="C61" s="19"/>
      <c r="D61" s="19"/>
      <c r="E61" s="19"/>
      <c r="F61" s="19"/>
      <c r="G61" s="19"/>
      <c r="H61" s="19"/>
      <c r="I61" s="19"/>
      <c r="J61" s="19"/>
      <c r="K61" s="19"/>
      <c r="L61" s="19"/>
      <c r="M61" s="24"/>
    </row>
    <row r="62" spans="1:13" ht="15.75" thickBot="1">
      <c r="A62" s="438" t="s">
        <v>103</v>
      </c>
      <c r="B62" s="439"/>
      <c r="C62" s="439"/>
      <c r="D62" s="439"/>
      <c r="E62" s="439"/>
      <c r="F62" s="439"/>
      <c r="G62" s="439"/>
      <c r="H62" s="79"/>
      <c r="I62" s="80"/>
      <c r="J62" s="81" t="s">
        <v>104</v>
      </c>
      <c r="K62" s="440" t="s">
        <v>105</v>
      </c>
      <c r="L62" s="441"/>
      <c r="M62" s="82"/>
    </row>
    <row r="63" spans="1:13">
      <c r="A63" s="442" t="s">
        <v>106</v>
      </c>
      <c r="B63" s="443"/>
      <c r="C63" s="443"/>
      <c r="D63" s="443"/>
      <c r="E63" s="443"/>
      <c r="F63" s="443"/>
      <c r="G63" s="443"/>
      <c r="H63" s="83"/>
      <c r="I63" s="84"/>
      <c r="J63" s="85">
        <v>0.19</v>
      </c>
      <c r="K63" s="444">
        <f>M58*J63</f>
        <v>2126.86</v>
      </c>
      <c r="L63" s="444"/>
      <c r="M63" s="86"/>
    </row>
    <row r="64" spans="1:13">
      <c r="A64" s="447" t="s">
        <v>107</v>
      </c>
      <c r="B64" s="448"/>
      <c r="C64" s="448"/>
      <c r="D64" s="448"/>
      <c r="E64" s="448"/>
      <c r="F64" s="448"/>
      <c r="G64" s="449"/>
      <c r="H64" s="77"/>
      <c r="I64" s="78"/>
      <c r="J64" s="5">
        <v>0.01</v>
      </c>
      <c r="K64" s="445">
        <f>M58*J64</f>
        <v>111.94</v>
      </c>
      <c r="L64" s="445"/>
      <c r="M64" s="6"/>
    </row>
    <row r="65" spans="1:13">
      <c r="A65" s="447" t="s">
        <v>108</v>
      </c>
      <c r="B65" s="448"/>
      <c r="C65" s="448"/>
      <c r="D65" s="448"/>
      <c r="E65" s="448"/>
      <c r="F65" s="448"/>
      <c r="G65" s="449"/>
      <c r="H65" s="77"/>
      <c r="I65" s="78"/>
      <c r="J65" s="5">
        <v>0.05</v>
      </c>
      <c r="K65" s="445">
        <f>M58*J65</f>
        <v>559.70000000000005</v>
      </c>
      <c r="L65" s="445"/>
      <c r="M65" s="6"/>
    </row>
    <row r="66" spans="1:13" ht="15.75" thickBot="1">
      <c r="A66" s="450" t="s">
        <v>117</v>
      </c>
      <c r="B66" s="451"/>
      <c r="C66" s="451"/>
      <c r="D66" s="451"/>
      <c r="E66" s="451"/>
      <c r="F66" s="451"/>
      <c r="G66" s="452"/>
      <c r="H66" s="87"/>
      <c r="I66" s="88"/>
      <c r="J66" s="89">
        <v>0.19</v>
      </c>
      <c r="K66" s="446">
        <f>K65*J66</f>
        <v>106.343</v>
      </c>
      <c r="L66" s="446"/>
      <c r="M66" s="90"/>
    </row>
    <row r="67" spans="1:13" ht="15.75" thickBot="1">
      <c r="A67" s="435" t="s">
        <v>87</v>
      </c>
      <c r="B67" s="436"/>
      <c r="C67" s="436"/>
      <c r="D67" s="436"/>
      <c r="E67" s="436"/>
      <c r="F67" s="436"/>
      <c r="G67" s="436"/>
      <c r="H67" s="436"/>
      <c r="I67" s="436"/>
      <c r="J67" s="436"/>
      <c r="K67" s="436"/>
      <c r="L67" s="437"/>
      <c r="M67" s="76">
        <f>SUM(K63:L66)</f>
        <v>2904.8429999999998</v>
      </c>
    </row>
    <row r="68" spans="1:13" ht="15.75" thickBot="1">
      <c r="A68" s="30"/>
      <c r="B68" s="19"/>
      <c r="C68" s="19"/>
      <c r="D68" s="19"/>
      <c r="E68" s="19"/>
      <c r="F68" s="19"/>
      <c r="G68" s="19"/>
      <c r="H68" s="19"/>
      <c r="I68" s="19"/>
      <c r="J68" s="19"/>
      <c r="K68" s="19"/>
      <c r="L68" s="19"/>
      <c r="M68" s="24"/>
    </row>
    <row r="69" spans="1:13" ht="15.75" thickBot="1">
      <c r="A69" s="416" t="s">
        <v>109</v>
      </c>
      <c r="B69" s="417"/>
      <c r="C69" s="417"/>
      <c r="D69" s="417"/>
      <c r="E69" s="417"/>
      <c r="F69" s="417"/>
      <c r="G69" s="417"/>
      <c r="H69" s="417"/>
      <c r="I69" s="417"/>
      <c r="J69" s="417"/>
      <c r="K69" s="417"/>
      <c r="L69" s="418"/>
      <c r="M69" s="71">
        <f>ROUND(M58+M67,0)</f>
        <v>14099</v>
      </c>
    </row>
  </sheetData>
  <mergeCells count="71">
    <mergeCell ref="A54:G54"/>
    <mergeCell ref="K54:L54"/>
    <mergeCell ref="A38:H38"/>
    <mergeCell ref="K38:L38"/>
    <mergeCell ref="A1:C7"/>
    <mergeCell ref="A41:H41"/>
    <mergeCell ref="K41:L41"/>
    <mergeCell ref="A9:B9"/>
    <mergeCell ref="C9:H9"/>
    <mergeCell ref="A20:B20"/>
    <mergeCell ref="A39:H39"/>
    <mergeCell ref="K39:L39"/>
    <mergeCell ref="A40:H40"/>
    <mergeCell ref="K40:L40"/>
    <mergeCell ref="A42:H42"/>
    <mergeCell ref="K42:L42"/>
    <mergeCell ref="A69:L69"/>
    <mergeCell ref="A62:G62"/>
    <mergeCell ref="K62:L62"/>
    <mergeCell ref="A63:G63"/>
    <mergeCell ref="K63:L63"/>
    <mergeCell ref="K64:L64"/>
    <mergeCell ref="K65:L65"/>
    <mergeCell ref="K66:L66"/>
    <mergeCell ref="A64:G64"/>
    <mergeCell ref="A65:G65"/>
    <mergeCell ref="A66:G66"/>
    <mergeCell ref="A55:G55"/>
    <mergeCell ref="K55:L55"/>
    <mergeCell ref="A56:L56"/>
    <mergeCell ref="A58:L58"/>
    <mergeCell ref="A67:L67"/>
    <mergeCell ref="A49:G49"/>
    <mergeCell ref="K49:L49"/>
    <mergeCell ref="A50:L50"/>
    <mergeCell ref="A37:H37"/>
    <mergeCell ref="K37:L37"/>
    <mergeCell ref="A43:L43"/>
    <mergeCell ref="A47:G47"/>
    <mergeCell ref="K47:L47"/>
    <mergeCell ref="A48:G48"/>
    <mergeCell ref="K48:L48"/>
    <mergeCell ref="A30:E30"/>
    <mergeCell ref="F30:G30"/>
    <mergeCell ref="H30:I30"/>
    <mergeCell ref="K30:L30"/>
    <mergeCell ref="A31:E31"/>
    <mergeCell ref="F31:G31"/>
    <mergeCell ref="H31:I31"/>
    <mergeCell ref="K31:L31"/>
    <mergeCell ref="A32:E32"/>
    <mergeCell ref="F32:G32"/>
    <mergeCell ref="H32:I32"/>
    <mergeCell ref="K32:L32"/>
    <mergeCell ref="A33:L33"/>
    <mergeCell ref="K9:M9"/>
    <mergeCell ref="K1:M7"/>
    <mergeCell ref="D1:J3"/>
    <mergeCell ref="D4:J7"/>
    <mergeCell ref="B26:I26"/>
    <mergeCell ref="K26:L26"/>
    <mergeCell ref="C12:F12"/>
    <mergeCell ref="H12:I12"/>
    <mergeCell ref="C13:M14"/>
    <mergeCell ref="C16:M16"/>
    <mergeCell ref="C18:M18"/>
    <mergeCell ref="C20:M20"/>
    <mergeCell ref="A21:B21"/>
    <mergeCell ref="A23:M23"/>
    <mergeCell ref="B25:I25"/>
    <mergeCell ref="K25:L25"/>
  </mergeCells>
  <pageMargins left="0.7" right="0.7" top="0.75" bottom="0.75" header="0.3" footer="0.3"/>
  <pageSetup scale="57"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view="pageBreakPreview" topLeftCell="A43" zoomScale="80" zoomScaleNormal="100" zoomScaleSheetLayoutView="80" workbookViewId="0">
      <selection activeCell="M65" sqref="M65"/>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491" t="s">
        <v>67</v>
      </c>
      <c r="E1" s="491"/>
      <c r="F1" s="491"/>
      <c r="G1" s="491"/>
      <c r="H1" s="491"/>
      <c r="I1" s="491"/>
      <c r="J1" s="491"/>
      <c r="K1" s="493"/>
      <c r="L1" s="493"/>
      <c r="M1" s="494"/>
    </row>
    <row r="2" spans="1:13">
      <c r="A2" s="460"/>
      <c r="B2" s="389"/>
      <c r="C2" s="389"/>
      <c r="D2" s="492"/>
      <c r="E2" s="492"/>
      <c r="F2" s="492"/>
      <c r="G2" s="492"/>
      <c r="H2" s="492"/>
      <c r="I2" s="492"/>
      <c r="J2" s="492"/>
      <c r="K2" s="495"/>
      <c r="L2" s="495"/>
      <c r="M2" s="496"/>
    </row>
    <row r="3" spans="1:13">
      <c r="A3" s="460"/>
      <c r="B3" s="389"/>
      <c r="C3" s="389"/>
      <c r="D3" s="492"/>
      <c r="E3" s="492"/>
      <c r="F3" s="492"/>
      <c r="G3" s="492"/>
      <c r="H3" s="492"/>
      <c r="I3" s="492"/>
      <c r="J3" s="492"/>
      <c r="K3" s="495"/>
      <c r="L3" s="495"/>
      <c r="M3" s="496"/>
    </row>
    <row r="4" spans="1:13" ht="15" customHeight="1">
      <c r="A4" s="460"/>
      <c r="B4" s="389"/>
      <c r="C4" s="389"/>
      <c r="D4" s="389" t="s">
        <v>112</v>
      </c>
      <c r="E4" s="389"/>
      <c r="F4" s="389"/>
      <c r="G4" s="389"/>
      <c r="H4" s="389"/>
      <c r="I4" s="389"/>
      <c r="J4" s="389"/>
      <c r="K4" s="495"/>
      <c r="L4" s="495"/>
      <c r="M4" s="496"/>
    </row>
    <row r="5" spans="1:13">
      <c r="A5" s="460"/>
      <c r="B5" s="389"/>
      <c r="C5" s="389"/>
      <c r="D5" s="389"/>
      <c r="E5" s="389"/>
      <c r="F5" s="389"/>
      <c r="G5" s="389"/>
      <c r="H5" s="389"/>
      <c r="I5" s="389"/>
      <c r="J5" s="389"/>
      <c r="K5" s="495"/>
      <c r="L5" s="495"/>
      <c r="M5" s="496"/>
    </row>
    <row r="6" spans="1:13">
      <c r="A6" s="460"/>
      <c r="B6" s="389"/>
      <c r="C6" s="389"/>
      <c r="D6" s="389"/>
      <c r="E6" s="389"/>
      <c r="F6" s="389"/>
      <c r="G6" s="389"/>
      <c r="H6" s="389"/>
      <c r="I6" s="389"/>
      <c r="J6" s="389"/>
      <c r="K6" s="495"/>
      <c r="L6" s="495"/>
      <c r="M6" s="496"/>
    </row>
    <row r="7" spans="1:13" ht="15.75" thickBot="1">
      <c r="A7" s="461"/>
      <c r="B7" s="390"/>
      <c r="C7" s="390"/>
      <c r="D7" s="390"/>
      <c r="E7" s="390"/>
      <c r="F7" s="390"/>
      <c r="G7" s="390"/>
      <c r="H7" s="390"/>
      <c r="I7" s="390"/>
      <c r="J7" s="390"/>
      <c r="K7" s="497"/>
      <c r="L7" s="497"/>
      <c r="M7" s="498"/>
    </row>
    <row r="8" spans="1:13">
      <c r="A8" s="108"/>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09"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9">
      <c r="A17" s="25"/>
      <c r="B17" s="26"/>
      <c r="C17" s="109"/>
      <c r="D17" s="109"/>
      <c r="E17" s="109"/>
      <c r="F17" s="109"/>
      <c r="G17" s="109"/>
      <c r="H17" s="109"/>
      <c r="I17" s="109"/>
      <c r="J17" s="109"/>
      <c r="K17" s="109"/>
      <c r="L17" s="109"/>
      <c r="M17" s="13"/>
    </row>
    <row r="18" spans="1:19">
      <c r="A18" s="25" t="s">
        <v>74</v>
      </c>
      <c r="B18" s="26"/>
      <c r="C18" s="379"/>
      <c r="D18" s="379"/>
      <c r="E18" s="379"/>
      <c r="F18" s="379"/>
      <c r="G18" s="379"/>
      <c r="H18" s="379"/>
      <c r="I18" s="379"/>
      <c r="J18" s="379"/>
      <c r="K18" s="379"/>
      <c r="L18" s="379"/>
      <c r="M18" s="380"/>
    </row>
    <row r="19" spans="1:19">
      <c r="A19" s="25"/>
      <c r="B19" s="26"/>
      <c r="C19" s="109"/>
      <c r="D19" s="109"/>
      <c r="E19" s="109"/>
      <c r="F19" s="109"/>
      <c r="G19" s="109"/>
      <c r="H19" s="109"/>
      <c r="I19" s="109"/>
      <c r="J19" s="109"/>
      <c r="K19" s="109"/>
      <c r="L19" s="109"/>
      <c r="M19" s="13"/>
    </row>
    <row r="20" spans="1:19" ht="31.5" customHeight="1">
      <c r="A20" s="464" t="s">
        <v>113</v>
      </c>
      <c r="B20" s="465"/>
      <c r="C20" s="379"/>
      <c r="D20" s="379"/>
      <c r="E20" s="379"/>
      <c r="F20" s="379"/>
      <c r="G20" s="379"/>
      <c r="H20" s="379"/>
      <c r="I20" s="379"/>
      <c r="J20" s="379"/>
      <c r="K20" s="379"/>
      <c r="L20" s="379"/>
      <c r="M20" s="380"/>
    </row>
    <row r="21" spans="1:19">
      <c r="A21" s="400"/>
      <c r="B21" s="401"/>
      <c r="C21" s="109"/>
      <c r="D21" s="109"/>
      <c r="E21" s="109"/>
      <c r="F21" s="109"/>
      <c r="G21" s="109"/>
      <c r="H21" s="109"/>
      <c r="I21" s="109"/>
      <c r="J21" s="109"/>
      <c r="K21" s="109"/>
      <c r="L21" s="109"/>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103" t="s">
        <v>78</v>
      </c>
      <c r="K25" s="408" t="s">
        <v>79</v>
      </c>
      <c r="L25" s="409"/>
      <c r="M25" s="31" t="s">
        <v>80</v>
      </c>
    </row>
    <row r="26" spans="1:19" ht="15.75" thickBot="1">
      <c r="A26" s="33"/>
      <c r="B26" s="391" t="s">
        <v>155</v>
      </c>
      <c r="C26" s="392"/>
      <c r="D26" s="392"/>
      <c r="E26" s="392"/>
      <c r="F26" s="392"/>
      <c r="G26" s="392"/>
      <c r="H26" s="392"/>
      <c r="I26" s="393"/>
      <c r="J26" s="100">
        <v>1</v>
      </c>
      <c r="K26" s="391" t="str">
        <f>'[1]NUEVO DISEÑO'!C70</f>
        <v>M2</v>
      </c>
      <c r="L26" s="393"/>
      <c r="M26" s="35"/>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110" t="s">
        <v>83</v>
      </c>
      <c r="K30" s="421" t="s">
        <v>84</v>
      </c>
      <c r="L30" s="424"/>
      <c r="M30" s="44" t="s">
        <v>85</v>
      </c>
    </row>
    <row r="31" spans="1:19" ht="15.75" thickBot="1">
      <c r="A31" s="425"/>
      <c r="B31" s="426"/>
      <c r="C31" s="426"/>
      <c r="D31" s="426"/>
      <c r="E31" s="427"/>
      <c r="F31" s="428"/>
      <c r="G31" s="429"/>
      <c r="H31" s="430"/>
      <c r="I31" s="427"/>
      <c r="J31" s="72"/>
      <c r="K31" s="428"/>
      <c r="L31" s="429"/>
      <c r="M31" s="46"/>
      <c r="N31" s="489"/>
      <c r="O31" s="490"/>
      <c r="P31" s="95"/>
      <c r="Q31" s="96"/>
      <c r="R31" s="97"/>
      <c r="S31" s="98"/>
    </row>
    <row r="32" spans="1:19">
      <c r="A32" s="425"/>
      <c r="B32" s="426"/>
      <c r="C32" s="426"/>
      <c r="D32" s="426"/>
      <c r="E32" s="427"/>
      <c r="F32" s="428"/>
      <c r="G32" s="429"/>
      <c r="H32" s="430"/>
      <c r="I32" s="427"/>
      <c r="J32" s="72"/>
      <c r="K32" s="428"/>
      <c r="L32" s="429"/>
      <c r="M32" s="46"/>
    </row>
    <row r="33" spans="1:16" ht="15.75" thickBot="1">
      <c r="A33" s="410"/>
      <c r="B33" s="411"/>
      <c r="C33" s="411"/>
      <c r="D33" s="411"/>
      <c r="E33" s="412"/>
      <c r="F33" s="414"/>
      <c r="G33" s="415"/>
      <c r="H33" s="413"/>
      <c r="I33" s="412"/>
      <c r="J33" s="91"/>
      <c r="K33" s="414"/>
      <c r="L33" s="415"/>
      <c r="M33" s="46"/>
    </row>
    <row r="34" spans="1:16" ht="15.75" thickBot="1">
      <c r="A34" s="416" t="s">
        <v>87</v>
      </c>
      <c r="B34" s="417"/>
      <c r="C34" s="417"/>
      <c r="D34" s="417"/>
      <c r="E34" s="417"/>
      <c r="F34" s="417"/>
      <c r="G34" s="417"/>
      <c r="H34" s="417"/>
      <c r="I34" s="417"/>
      <c r="J34" s="417"/>
      <c r="K34" s="417"/>
      <c r="L34" s="418"/>
      <c r="M34" s="49">
        <f>SUM(M31:M33)</f>
        <v>0</v>
      </c>
    </row>
    <row r="35" spans="1:16">
      <c r="A35" s="50"/>
      <c r="B35" s="19"/>
      <c r="C35" s="19"/>
      <c r="D35" s="19"/>
      <c r="E35" s="19"/>
      <c r="F35" s="19"/>
      <c r="G35" s="19"/>
      <c r="H35" s="19"/>
      <c r="I35" s="19"/>
      <c r="J35" s="19"/>
      <c r="K35" s="19"/>
      <c r="L35" s="19"/>
      <c r="M35" s="24"/>
    </row>
    <row r="36" spans="1:16">
      <c r="A36" s="51" t="s">
        <v>88</v>
      </c>
      <c r="B36" s="52"/>
      <c r="C36" s="52"/>
      <c r="D36" s="52"/>
      <c r="E36" s="52"/>
      <c r="F36" s="52"/>
      <c r="G36" s="52"/>
      <c r="H36" s="52"/>
      <c r="I36" s="52"/>
      <c r="J36" s="52"/>
      <c r="K36" s="52"/>
      <c r="L36" s="52"/>
      <c r="M36" s="53"/>
    </row>
    <row r="37" spans="1:16" ht="15.75" thickBot="1">
      <c r="A37" s="14"/>
      <c r="B37" s="15"/>
      <c r="C37" s="15"/>
      <c r="D37" s="15"/>
      <c r="E37" s="15"/>
      <c r="F37" s="15"/>
      <c r="G37" s="15"/>
      <c r="H37" s="15"/>
      <c r="I37" s="19"/>
      <c r="J37" s="19"/>
      <c r="K37" s="19"/>
      <c r="L37" s="19"/>
      <c r="M37" s="24"/>
    </row>
    <row r="38" spans="1:16">
      <c r="A38" s="408" t="s">
        <v>77</v>
      </c>
      <c r="B38" s="431"/>
      <c r="C38" s="431"/>
      <c r="D38" s="431"/>
      <c r="E38" s="431"/>
      <c r="F38" s="431"/>
      <c r="G38" s="431"/>
      <c r="H38" s="424"/>
      <c r="I38" s="105" t="s">
        <v>79</v>
      </c>
      <c r="J38" s="110" t="s">
        <v>80</v>
      </c>
      <c r="K38" s="421" t="s">
        <v>89</v>
      </c>
      <c r="L38" s="424"/>
      <c r="M38" s="44" t="s">
        <v>85</v>
      </c>
    </row>
    <row r="39" spans="1:16" ht="15" customHeight="1">
      <c r="A39" s="484" t="s">
        <v>129</v>
      </c>
      <c r="B39" s="485"/>
      <c r="C39" s="485"/>
      <c r="D39" s="485"/>
      <c r="E39" s="485"/>
      <c r="F39" s="485"/>
      <c r="G39" s="485"/>
      <c r="H39" s="486"/>
      <c r="I39" s="73" t="s">
        <v>127</v>
      </c>
      <c r="J39" s="92">
        <v>10</v>
      </c>
      <c r="K39" s="487">
        <v>58</v>
      </c>
      <c r="L39" s="488"/>
      <c r="M39" s="56">
        <f>K39*J39</f>
        <v>580</v>
      </c>
      <c r="O39" s="94"/>
    </row>
    <row r="40" spans="1:16" ht="15" customHeight="1">
      <c r="A40" s="484" t="s">
        <v>130</v>
      </c>
      <c r="B40" s="485"/>
      <c r="C40" s="485"/>
      <c r="D40" s="485"/>
      <c r="E40" s="485"/>
      <c r="F40" s="485"/>
      <c r="G40" s="485"/>
      <c r="H40" s="486"/>
      <c r="I40" s="99" t="s">
        <v>10</v>
      </c>
      <c r="J40" s="93">
        <v>0.1</v>
      </c>
      <c r="K40" s="487">
        <v>49807</v>
      </c>
      <c r="L40" s="488"/>
      <c r="M40" s="56">
        <f>K40*J40</f>
        <v>4980.7000000000007</v>
      </c>
      <c r="P40" s="94"/>
    </row>
    <row r="41" spans="1:16" ht="15" customHeight="1">
      <c r="A41" s="484" t="s">
        <v>128</v>
      </c>
      <c r="B41" s="485"/>
      <c r="C41" s="485"/>
      <c r="D41" s="485"/>
      <c r="E41" s="485"/>
      <c r="F41" s="485"/>
      <c r="G41" s="485"/>
      <c r="H41" s="486"/>
      <c r="I41" s="73" t="s">
        <v>25</v>
      </c>
      <c r="J41" s="93">
        <v>19</v>
      </c>
      <c r="K41" s="487">
        <v>690</v>
      </c>
      <c r="L41" s="488"/>
      <c r="M41" s="56">
        <f>K41*J41</f>
        <v>13110</v>
      </c>
    </row>
    <row r="42" spans="1:16">
      <c r="A42" s="425"/>
      <c r="B42" s="426"/>
      <c r="C42" s="426"/>
      <c r="D42" s="426"/>
      <c r="E42" s="426"/>
      <c r="F42" s="426"/>
      <c r="G42" s="426"/>
      <c r="H42" s="427"/>
      <c r="I42" s="73"/>
      <c r="J42" s="112"/>
      <c r="K42" s="456"/>
      <c r="L42" s="457"/>
      <c r="M42" s="56"/>
    </row>
    <row r="43" spans="1:16">
      <c r="A43" s="425"/>
      <c r="B43" s="426"/>
      <c r="C43" s="426"/>
      <c r="D43" s="426"/>
      <c r="E43" s="426"/>
      <c r="F43" s="426"/>
      <c r="G43" s="426"/>
      <c r="H43" s="427"/>
      <c r="I43" s="73"/>
      <c r="J43" s="112"/>
      <c r="K43" s="456"/>
      <c r="L43" s="457"/>
      <c r="M43" s="56"/>
    </row>
    <row r="44" spans="1:16">
      <c r="A44" s="425"/>
      <c r="B44" s="426"/>
      <c r="C44" s="426"/>
      <c r="D44" s="426"/>
      <c r="E44" s="426"/>
      <c r="F44" s="426"/>
      <c r="G44" s="426"/>
      <c r="H44" s="427"/>
      <c r="I44" s="73"/>
      <c r="J44" s="45"/>
      <c r="K44" s="456"/>
      <c r="L44" s="457"/>
      <c r="M44" s="56"/>
    </row>
    <row r="45" spans="1:16">
      <c r="A45" s="425"/>
      <c r="B45" s="426"/>
      <c r="C45" s="426"/>
      <c r="D45" s="426"/>
      <c r="E45" s="426"/>
      <c r="F45" s="426"/>
      <c r="G45" s="426"/>
      <c r="H45" s="427"/>
      <c r="I45" s="73"/>
      <c r="J45" s="45"/>
      <c r="K45" s="456"/>
      <c r="L45" s="457"/>
      <c r="M45" s="56"/>
    </row>
    <row r="46" spans="1:16">
      <c r="A46" s="425"/>
      <c r="B46" s="426"/>
      <c r="C46" s="426"/>
      <c r="D46" s="426"/>
      <c r="E46" s="426"/>
      <c r="F46" s="426"/>
      <c r="G46" s="426"/>
      <c r="H46" s="427"/>
      <c r="I46" s="73"/>
      <c r="J46" s="45"/>
      <c r="K46" s="456"/>
      <c r="L46" s="457"/>
      <c r="M46" s="56"/>
    </row>
    <row r="47" spans="1:16" ht="15.75" thickBot="1">
      <c r="A47" s="410"/>
      <c r="B47" s="411"/>
      <c r="C47" s="411"/>
      <c r="D47" s="411"/>
      <c r="E47" s="411"/>
      <c r="F47" s="411"/>
      <c r="G47" s="411"/>
      <c r="H47" s="412"/>
      <c r="I47" s="74"/>
      <c r="J47" s="57"/>
      <c r="K47" s="466"/>
      <c r="L47" s="467"/>
      <c r="M47" s="75"/>
    </row>
    <row r="48" spans="1:16" ht="15.75" thickBot="1">
      <c r="A48" s="416" t="s">
        <v>87</v>
      </c>
      <c r="B48" s="417"/>
      <c r="C48" s="417"/>
      <c r="D48" s="417"/>
      <c r="E48" s="417"/>
      <c r="F48" s="417"/>
      <c r="G48" s="417"/>
      <c r="H48" s="417"/>
      <c r="I48" s="417"/>
      <c r="J48" s="417"/>
      <c r="K48" s="417"/>
      <c r="L48" s="418"/>
      <c r="M48" s="58">
        <f>SUM(M39:M47)</f>
        <v>18670.7</v>
      </c>
    </row>
    <row r="49" spans="1:13">
      <c r="A49" s="30"/>
      <c r="B49" s="19"/>
      <c r="C49" s="19"/>
      <c r="D49" s="19"/>
      <c r="E49" s="19"/>
      <c r="F49" s="19"/>
      <c r="G49" s="19"/>
      <c r="H49" s="19"/>
      <c r="I49" s="19"/>
      <c r="J49" s="19"/>
      <c r="K49" s="19"/>
      <c r="L49" s="19"/>
      <c r="M49" s="24"/>
    </row>
    <row r="50" spans="1:13">
      <c r="A50" s="51" t="s">
        <v>90</v>
      </c>
      <c r="B50" s="52"/>
      <c r="C50" s="52"/>
      <c r="D50" s="52"/>
      <c r="E50" s="52"/>
      <c r="F50" s="52"/>
      <c r="G50" s="52"/>
      <c r="H50" s="52"/>
      <c r="I50" s="52"/>
      <c r="J50" s="52"/>
      <c r="K50" s="52"/>
      <c r="L50" s="52"/>
      <c r="M50" s="53"/>
    </row>
    <row r="51" spans="1:13" ht="15.75" thickBot="1">
      <c r="A51" s="30"/>
      <c r="B51" s="19"/>
      <c r="C51" s="19"/>
      <c r="D51" s="19"/>
      <c r="E51" s="19"/>
      <c r="F51" s="19"/>
      <c r="G51" s="19"/>
      <c r="H51" s="19"/>
      <c r="I51" s="19"/>
      <c r="J51" s="19"/>
      <c r="K51" s="19"/>
      <c r="L51" s="19"/>
      <c r="M51" s="24"/>
    </row>
    <row r="52" spans="1:13">
      <c r="A52" s="408" t="s">
        <v>91</v>
      </c>
      <c r="B52" s="431"/>
      <c r="C52" s="431"/>
      <c r="D52" s="431"/>
      <c r="E52" s="431"/>
      <c r="F52" s="431"/>
      <c r="G52" s="431"/>
      <c r="H52" s="110" t="s">
        <v>92</v>
      </c>
      <c r="I52" s="104" t="s">
        <v>93</v>
      </c>
      <c r="J52" s="60" t="s">
        <v>94</v>
      </c>
      <c r="K52" s="421" t="s">
        <v>95</v>
      </c>
      <c r="L52" s="424"/>
      <c r="M52" s="44" t="s">
        <v>85</v>
      </c>
    </row>
    <row r="53" spans="1:13">
      <c r="A53" s="425"/>
      <c r="B53" s="426"/>
      <c r="C53" s="426"/>
      <c r="D53" s="426"/>
      <c r="E53" s="426"/>
      <c r="F53" s="426"/>
      <c r="G53" s="426"/>
      <c r="H53" s="61"/>
      <c r="I53" s="55"/>
      <c r="J53" s="61"/>
      <c r="K53" s="428"/>
      <c r="L53" s="429"/>
    </row>
    <row r="54" spans="1:13" ht="15.75" thickBot="1">
      <c r="A54" s="410"/>
      <c r="B54" s="411"/>
      <c r="C54" s="411"/>
      <c r="D54" s="411"/>
      <c r="E54" s="411"/>
      <c r="F54" s="411"/>
      <c r="G54" s="411"/>
      <c r="H54" s="47"/>
      <c r="I54" s="15"/>
      <c r="J54" s="47"/>
      <c r="K54" s="414"/>
      <c r="L54" s="415"/>
      <c r="M54" s="62"/>
    </row>
    <row r="55" spans="1:13" ht="15.75" thickBot="1">
      <c r="A55" s="416" t="s">
        <v>87</v>
      </c>
      <c r="B55" s="417"/>
      <c r="C55" s="417"/>
      <c r="D55" s="417"/>
      <c r="E55" s="417"/>
      <c r="F55" s="417"/>
      <c r="G55" s="417"/>
      <c r="H55" s="417"/>
      <c r="I55" s="417"/>
      <c r="J55" s="417"/>
      <c r="K55" s="417"/>
      <c r="L55" s="418"/>
      <c r="M55" s="63">
        <f>SUM(M54:M54)</f>
        <v>0</v>
      </c>
    </row>
    <row r="56" spans="1:13">
      <c r="A56" s="30"/>
      <c r="B56" s="19"/>
      <c r="C56" s="19"/>
      <c r="D56" s="19"/>
      <c r="E56" s="19"/>
      <c r="F56" s="19"/>
      <c r="G56" s="19"/>
      <c r="H56" s="19"/>
      <c r="I56" s="19"/>
      <c r="J56" s="19"/>
      <c r="K56" s="19"/>
      <c r="L56" s="19"/>
      <c r="M56" s="24"/>
    </row>
    <row r="57" spans="1:13">
      <c r="A57" s="51" t="s">
        <v>96</v>
      </c>
      <c r="B57" s="52"/>
      <c r="C57" s="52"/>
      <c r="D57" s="52"/>
      <c r="E57" s="52"/>
      <c r="F57" s="52"/>
      <c r="G57" s="52"/>
      <c r="H57" s="52"/>
      <c r="I57" s="52"/>
      <c r="J57" s="52"/>
      <c r="K57" s="52"/>
      <c r="L57" s="52"/>
      <c r="M57" s="53"/>
    </row>
    <row r="58" spans="1:13" ht="15.75" thickBot="1">
      <c r="A58" s="30"/>
      <c r="B58" s="19"/>
      <c r="C58" s="19"/>
      <c r="D58" s="19"/>
      <c r="E58" s="19"/>
      <c r="F58" s="19"/>
      <c r="G58" s="19"/>
      <c r="H58" s="19"/>
      <c r="I58" s="19"/>
      <c r="J58" s="19"/>
      <c r="K58" s="19"/>
      <c r="L58" s="19"/>
      <c r="M58" s="24"/>
    </row>
    <row r="59" spans="1:13" ht="26.25">
      <c r="A59" s="453" t="s">
        <v>97</v>
      </c>
      <c r="B59" s="454"/>
      <c r="C59" s="454"/>
      <c r="D59" s="454"/>
      <c r="E59" s="454"/>
      <c r="F59" s="454"/>
      <c r="G59" s="454"/>
      <c r="H59" s="110" t="s">
        <v>98</v>
      </c>
      <c r="I59" s="111" t="s">
        <v>99</v>
      </c>
      <c r="J59" s="111" t="s">
        <v>100</v>
      </c>
      <c r="K59" s="455" t="s">
        <v>84</v>
      </c>
      <c r="L59" s="455"/>
      <c r="M59" s="65" t="s">
        <v>85</v>
      </c>
    </row>
    <row r="60" spans="1:13">
      <c r="A60" s="471" t="s">
        <v>126</v>
      </c>
      <c r="B60" s="472"/>
      <c r="C60" s="472"/>
      <c r="D60" s="472"/>
      <c r="E60" s="472"/>
      <c r="F60" s="472"/>
      <c r="G60" s="472"/>
      <c r="H60" s="1">
        <v>113019.64772727274</v>
      </c>
      <c r="I60" s="2">
        <v>2.2000000000000002</v>
      </c>
      <c r="J60" s="66">
        <f>(I60*H60)</f>
        <v>248643.22500000003</v>
      </c>
      <c r="K60" s="473">
        <v>19.943630537426554</v>
      </c>
      <c r="L60" s="473"/>
      <c r="M60" s="56">
        <f>J60/K60</f>
        <v>12467.300000037203</v>
      </c>
    </row>
    <row r="61" spans="1:13">
      <c r="A61" s="471"/>
      <c r="B61" s="472"/>
      <c r="C61" s="472"/>
      <c r="D61" s="472"/>
      <c r="E61" s="472"/>
      <c r="F61" s="472"/>
      <c r="G61" s="472"/>
      <c r="H61" s="1"/>
      <c r="I61" s="2"/>
      <c r="J61" s="66"/>
      <c r="K61" s="473"/>
      <c r="L61" s="473"/>
      <c r="M61" s="56"/>
    </row>
    <row r="62" spans="1:13" ht="15.75" thickBot="1">
      <c r="A62" s="432"/>
      <c r="B62" s="433"/>
      <c r="C62" s="433"/>
      <c r="D62" s="433"/>
      <c r="E62" s="433"/>
      <c r="F62" s="433"/>
      <c r="G62" s="433"/>
      <c r="H62" s="3"/>
      <c r="I62" s="4"/>
      <c r="J62" s="67"/>
      <c r="K62" s="434"/>
      <c r="L62" s="434"/>
      <c r="M62" s="68"/>
    </row>
    <row r="63" spans="1:13" ht="15.75" thickBot="1">
      <c r="A63" s="435" t="s">
        <v>87</v>
      </c>
      <c r="B63" s="436"/>
      <c r="C63" s="436"/>
      <c r="D63" s="436"/>
      <c r="E63" s="436"/>
      <c r="F63" s="436"/>
      <c r="G63" s="436"/>
      <c r="H63" s="436"/>
      <c r="I63" s="436"/>
      <c r="J63" s="436"/>
      <c r="K63" s="436"/>
      <c r="L63" s="437"/>
      <c r="M63" s="69">
        <f>SUM(M60:M62)</f>
        <v>12467.300000037203</v>
      </c>
    </row>
    <row r="64" spans="1:13" ht="15.75" thickBot="1">
      <c r="A64" s="30"/>
      <c r="B64" s="19"/>
      <c r="C64" s="19"/>
      <c r="D64" s="19"/>
      <c r="E64" s="19"/>
      <c r="F64" s="19"/>
      <c r="G64" s="19"/>
      <c r="H64" s="19"/>
      <c r="I64" s="19"/>
      <c r="J64" s="19"/>
      <c r="K64" s="19"/>
      <c r="L64" s="19"/>
      <c r="M64" s="24"/>
    </row>
    <row r="65" spans="1:14" ht="15.75" thickBot="1">
      <c r="A65" s="416" t="s">
        <v>101</v>
      </c>
      <c r="B65" s="417"/>
      <c r="C65" s="417"/>
      <c r="D65" s="417"/>
      <c r="E65" s="417"/>
      <c r="F65" s="417"/>
      <c r="G65" s="417"/>
      <c r="H65" s="417"/>
      <c r="I65" s="417"/>
      <c r="J65" s="417"/>
      <c r="K65" s="417"/>
      <c r="L65" s="418"/>
      <c r="M65" s="70">
        <f>ROUND(M63+M55+M48+M34,0)</f>
        <v>31138</v>
      </c>
      <c r="N65" s="155"/>
    </row>
    <row r="66" spans="1:14">
      <c r="A66" s="30"/>
      <c r="B66" s="19"/>
      <c r="C66" s="19"/>
      <c r="D66" s="19"/>
      <c r="E66" s="19"/>
      <c r="F66" s="19"/>
      <c r="G66" s="19"/>
      <c r="H66" s="19"/>
      <c r="I66" s="19"/>
      <c r="J66" s="19"/>
      <c r="K66" s="19"/>
      <c r="L66" s="19"/>
      <c r="M66" s="24"/>
    </row>
    <row r="67" spans="1:14">
      <c r="A67" s="51" t="s">
        <v>102</v>
      </c>
      <c r="B67" s="52"/>
      <c r="C67" s="52"/>
      <c r="D67" s="52"/>
      <c r="E67" s="52"/>
      <c r="F67" s="52"/>
      <c r="G67" s="52"/>
      <c r="H67" s="52"/>
      <c r="I67" s="52"/>
      <c r="J67" s="52"/>
      <c r="K67" s="52"/>
      <c r="L67" s="52"/>
      <c r="M67" s="53"/>
    </row>
    <row r="68" spans="1:14" ht="15.75" thickBot="1">
      <c r="A68" s="30"/>
      <c r="B68" s="19"/>
      <c r="C68" s="19"/>
      <c r="D68" s="19"/>
      <c r="E68" s="19"/>
      <c r="F68" s="19"/>
      <c r="G68" s="19"/>
      <c r="H68" s="19"/>
      <c r="I68" s="19"/>
      <c r="J68" s="19"/>
      <c r="K68" s="19"/>
      <c r="L68" s="19"/>
      <c r="M68" s="24"/>
    </row>
    <row r="69" spans="1:14" ht="15.75" thickBot="1">
      <c r="A69" s="438" t="s">
        <v>103</v>
      </c>
      <c r="B69" s="439"/>
      <c r="C69" s="439"/>
      <c r="D69" s="439"/>
      <c r="E69" s="439"/>
      <c r="F69" s="439"/>
      <c r="G69" s="439"/>
      <c r="H69" s="106"/>
      <c r="I69" s="107"/>
      <c r="J69" s="81" t="s">
        <v>104</v>
      </c>
      <c r="K69" s="440" t="s">
        <v>105</v>
      </c>
      <c r="L69" s="441"/>
      <c r="M69" s="82"/>
    </row>
    <row r="70" spans="1:14">
      <c r="A70" s="442" t="s">
        <v>106</v>
      </c>
      <c r="B70" s="443"/>
      <c r="C70" s="443"/>
      <c r="D70" s="443"/>
      <c r="E70" s="443"/>
      <c r="F70" s="443"/>
      <c r="G70" s="443"/>
      <c r="H70" s="83"/>
      <c r="I70" s="84"/>
      <c r="J70" s="85">
        <v>0.19</v>
      </c>
      <c r="K70" s="444">
        <f>M65*J70</f>
        <v>5916.22</v>
      </c>
      <c r="L70" s="444"/>
      <c r="M70" s="86"/>
    </row>
    <row r="71" spans="1:14">
      <c r="A71" s="447" t="s">
        <v>107</v>
      </c>
      <c r="B71" s="448"/>
      <c r="C71" s="448"/>
      <c r="D71" s="448"/>
      <c r="E71" s="448"/>
      <c r="F71" s="448"/>
      <c r="G71" s="449"/>
      <c r="H71" s="77"/>
      <c r="I71" s="78"/>
      <c r="J71" s="5">
        <v>0.01</v>
      </c>
      <c r="K71" s="445">
        <f>M65*J71</f>
        <v>311.38</v>
      </c>
      <c r="L71" s="445"/>
      <c r="M71" s="6"/>
    </row>
    <row r="72" spans="1:14">
      <c r="A72" s="447" t="s">
        <v>108</v>
      </c>
      <c r="B72" s="448"/>
      <c r="C72" s="448"/>
      <c r="D72" s="448"/>
      <c r="E72" s="448"/>
      <c r="F72" s="448"/>
      <c r="G72" s="449"/>
      <c r="H72" s="77"/>
      <c r="I72" s="78"/>
      <c r="J72" s="5">
        <v>0.05</v>
      </c>
      <c r="K72" s="445">
        <f>M65*J72</f>
        <v>1556.9</v>
      </c>
      <c r="L72" s="445"/>
      <c r="M72" s="6"/>
    </row>
    <row r="73" spans="1:14" ht="15.75" thickBot="1">
      <c r="A73" s="450" t="s">
        <v>117</v>
      </c>
      <c r="B73" s="451"/>
      <c r="C73" s="451"/>
      <c r="D73" s="451"/>
      <c r="E73" s="451"/>
      <c r="F73" s="451"/>
      <c r="G73" s="452"/>
      <c r="H73" s="87"/>
      <c r="I73" s="88"/>
      <c r="J73" s="89">
        <v>0.19</v>
      </c>
      <c r="K73" s="446">
        <f>K72*J73</f>
        <v>295.81100000000004</v>
      </c>
      <c r="L73" s="446"/>
      <c r="M73" s="90"/>
    </row>
    <row r="74" spans="1:14" ht="15.75" thickBot="1">
      <c r="A74" s="435" t="s">
        <v>87</v>
      </c>
      <c r="B74" s="436"/>
      <c r="C74" s="436"/>
      <c r="D74" s="436"/>
      <c r="E74" s="436"/>
      <c r="F74" s="436"/>
      <c r="G74" s="436"/>
      <c r="H74" s="436"/>
      <c r="I74" s="436"/>
      <c r="J74" s="436"/>
      <c r="K74" s="436"/>
      <c r="L74" s="437"/>
      <c r="M74" s="76">
        <f>SUM(K70:L73)</f>
        <v>8080.3109999999997</v>
      </c>
    </row>
    <row r="75" spans="1:14" ht="15.75" thickBot="1">
      <c r="A75" s="30"/>
      <c r="B75" s="19"/>
      <c r="C75" s="19"/>
      <c r="D75" s="19"/>
      <c r="E75" s="19"/>
      <c r="F75" s="19"/>
      <c r="G75" s="19"/>
      <c r="H75" s="19"/>
      <c r="I75" s="19"/>
      <c r="J75" s="19"/>
      <c r="K75" s="19"/>
      <c r="L75" s="19"/>
      <c r="M75" s="24"/>
    </row>
    <row r="76" spans="1:14" ht="15.75" thickBot="1">
      <c r="A76" s="416" t="s">
        <v>109</v>
      </c>
      <c r="B76" s="417"/>
      <c r="C76" s="417"/>
      <c r="D76" s="417"/>
      <c r="E76" s="417"/>
      <c r="F76" s="417"/>
      <c r="G76" s="417"/>
      <c r="H76" s="417"/>
      <c r="I76" s="417"/>
      <c r="J76" s="417"/>
      <c r="K76" s="417"/>
      <c r="L76" s="418"/>
      <c r="M76" s="71">
        <f>ROUND(M65+M74,0)</f>
        <v>39218</v>
      </c>
    </row>
  </sheetData>
  <mergeCells count="8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41:H41"/>
    <mergeCell ref="K41:L41"/>
    <mergeCell ref="A42:H42"/>
    <mergeCell ref="K42:L42"/>
    <mergeCell ref="A43:H43"/>
    <mergeCell ref="K43:L43"/>
    <mergeCell ref="A53:G53"/>
    <mergeCell ref="K53:L53"/>
    <mergeCell ref="A44:H44"/>
    <mergeCell ref="K44:L44"/>
    <mergeCell ref="A45:H45"/>
    <mergeCell ref="K45:L45"/>
    <mergeCell ref="A46:H46"/>
    <mergeCell ref="K46:L46"/>
    <mergeCell ref="A47:H47"/>
    <mergeCell ref="K47:L47"/>
    <mergeCell ref="A48:L48"/>
    <mergeCell ref="A52:G52"/>
    <mergeCell ref="K52:L52"/>
    <mergeCell ref="A65:L65"/>
    <mergeCell ref="A54:G54"/>
    <mergeCell ref="K54:L54"/>
    <mergeCell ref="A55:L55"/>
    <mergeCell ref="A59:G59"/>
    <mergeCell ref="K59:L59"/>
    <mergeCell ref="A60:G60"/>
    <mergeCell ref="K60:L60"/>
    <mergeCell ref="A61:G61"/>
    <mergeCell ref="K61:L61"/>
    <mergeCell ref="A62:G62"/>
    <mergeCell ref="K62:L62"/>
    <mergeCell ref="A63:L63"/>
    <mergeCell ref="A76:L76"/>
    <mergeCell ref="A69:G69"/>
    <mergeCell ref="K69:L69"/>
    <mergeCell ref="A70:G70"/>
    <mergeCell ref="K70:L70"/>
    <mergeCell ref="A71:G71"/>
    <mergeCell ref="K71:L71"/>
    <mergeCell ref="A72:G72"/>
    <mergeCell ref="K72:L72"/>
    <mergeCell ref="A73:G73"/>
    <mergeCell ref="K73:L73"/>
    <mergeCell ref="A74:L74"/>
  </mergeCells>
  <pageMargins left="0.7" right="0.7" top="0.75" bottom="0.75" header="0.3" footer="0.3"/>
  <pageSetup scale="5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view="pageBreakPreview" topLeftCell="A52" zoomScale="80" zoomScaleNormal="100" zoomScaleSheetLayoutView="80" workbookViewId="0">
      <selection activeCell="M64" sqref="M64"/>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45"/>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46"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46"/>
      <c r="D17" s="146"/>
      <c r="E17" s="146"/>
      <c r="F17" s="146"/>
      <c r="G17" s="146"/>
      <c r="H17" s="146"/>
      <c r="I17" s="146"/>
      <c r="J17" s="146"/>
      <c r="K17" s="146"/>
      <c r="L17" s="146"/>
      <c r="M17" s="13"/>
    </row>
    <row r="18" spans="1:13">
      <c r="A18" s="25" t="s">
        <v>74</v>
      </c>
      <c r="B18" s="26"/>
      <c r="C18" s="379"/>
      <c r="D18" s="379"/>
      <c r="E18" s="379"/>
      <c r="F18" s="379"/>
      <c r="G18" s="379"/>
      <c r="H18" s="379"/>
      <c r="I18" s="379"/>
      <c r="J18" s="379"/>
      <c r="K18" s="379"/>
      <c r="L18" s="379"/>
      <c r="M18" s="380"/>
    </row>
    <row r="19" spans="1:13">
      <c r="A19" s="25"/>
      <c r="B19" s="26"/>
      <c r="C19" s="146"/>
      <c r="D19" s="146"/>
      <c r="E19" s="146"/>
      <c r="F19" s="146"/>
      <c r="G19" s="146"/>
      <c r="H19" s="146"/>
      <c r="I19" s="146"/>
      <c r="J19" s="146"/>
      <c r="K19" s="146"/>
      <c r="L19" s="146"/>
      <c r="M19" s="13"/>
    </row>
    <row r="20" spans="1:13" ht="31.5" customHeight="1">
      <c r="A20" s="464" t="s">
        <v>113</v>
      </c>
      <c r="B20" s="465"/>
      <c r="C20" s="379"/>
      <c r="D20" s="379"/>
      <c r="E20" s="379"/>
      <c r="F20" s="379"/>
      <c r="G20" s="379"/>
      <c r="H20" s="379"/>
      <c r="I20" s="379"/>
      <c r="J20" s="379"/>
      <c r="K20" s="379"/>
      <c r="L20" s="379"/>
      <c r="M20" s="380"/>
    </row>
    <row r="21" spans="1:13">
      <c r="A21" s="400"/>
      <c r="B21" s="401"/>
      <c r="C21" s="146"/>
      <c r="D21" s="146"/>
      <c r="E21" s="146"/>
      <c r="F21" s="146"/>
      <c r="G21" s="146"/>
      <c r="H21" s="146"/>
      <c r="I21" s="146"/>
      <c r="J21" s="146"/>
      <c r="K21" s="146"/>
      <c r="L21" s="146"/>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54" t="s">
        <v>78</v>
      </c>
      <c r="K25" s="408" t="s">
        <v>79</v>
      </c>
      <c r="L25" s="409"/>
      <c r="M25" s="31" t="s">
        <v>80</v>
      </c>
    </row>
    <row r="26" spans="1:13" ht="15.75" thickBot="1">
      <c r="A26" s="33"/>
      <c r="B26" s="391" t="s">
        <v>156</v>
      </c>
      <c r="C26" s="392"/>
      <c r="D26" s="392"/>
      <c r="E26" s="392"/>
      <c r="F26" s="392"/>
      <c r="G26" s="392"/>
      <c r="H26" s="392"/>
      <c r="I26" s="393"/>
      <c r="J26" s="153">
        <v>1</v>
      </c>
      <c r="K26" s="391" t="str">
        <f>'[1]NUEVO DISEÑO'!C20</f>
        <v>M2</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47" t="s">
        <v>83</v>
      </c>
      <c r="K30" s="421" t="s">
        <v>84</v>
      </c>
      <c r="L30" s="424"/>
      <c r="M30" s="44" t="s">
        <v>85</v>
      </c>
    </row>
    <row r="31" spans="1:13">
      <c r="A31" s="425"/>
      <c r="B31" s="426"/>
      <c r="C31" s="426"/>
      <c r="D31" s="426"/>
      <c r="E31" s="427"/>
      <c r="F31" s="428"/>
      <c r="G31" s="429"/>
      <c r="H31" s="430"/>
      <c r="I31" s="427"/>
      <c r="J31" s="72"/>
      <c r="K31" s="428"/>
      <c r="L31" s="429"/>
      <c r="M31" s="46"/>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0</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52" t="s">
        <v>79</v>
      </c>
      <c r="J37" s="147" t="s">
        <v>80</v>
      </c>
      <c r="K37" s="421" t="s">
        <v>89</v>
      </c>
      <c r="L37" s="424"/>
      <c r="M37" s="44" t="s">
        <v>85</v>
      </c>
    </row>
    <row r="38" spans="1:13">
      <c r="A38" s="425" t="s">
        <v>157</v>
      </c>
      <c r="B38" s="426"/>
      <c r="C38" s="426"/>
      <c r="D38" s="426"/>
      <c r="E38" s="426"/>
      <c r="F38" s="426"/>
      <c r="G38" s="426"/>
      <c r="H38" s="427"/>
      <c r="I38" s="73" t="s">
        <v>127</v>
      </c>
      <c r="J38" s="45">
        <v>1.6E-2</v>
      </c>
      <c r="K38" s="456">
        <v>744708</v>
      </c>
      <c r="L38" s="457"/>
      <c r="M38" s="56">
        <f>K38*J38</f>
        <v>11915.328</v>
      </c>
    </row>
    <row r="39" spans="1:13">
      <c r="A39" s="425"/>
      <c r="B39" s="426"/>
      <c r="C39" s="426"/>
      <c r="D39" s="426"/>
      <c r="E39" s="426"/>
      <c r="F39" s="426"/>
      <c r="G39" s="426"/>
      <c r="H39" s="427"/>
      <c r="I39" s="73"/>
      <c r="J39" s="45"/>
      <c r="K39" s="456"/>
      <c r="L39" s="457"/>
      <c r="M39" s="56"/>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c r="A42" s="425"/>
      <c r="B42" s="426"/>
      <c r="C42" s="426"/>
      <c r="D42" s="426"/>
      <c r="E42" s="426"/>
      <c r="F42" s="426"/>
      <c r="G42" s="426"/>
      <c r="H42" s="427"/>
      <c r="I42" s="73"/>
      <c r="J42" s="45"/>
      <c r="K42" s="456"/>
      <c r="L42" s="457"/>
      <c r="M42" s="56"/>
    </row>
    <row r="43" spans="1:13">
      <c r="A43" s="425"/>
      <c r="B43" s="426"/>
      <c r="C43" s="426"/>
      <c r="D43" s="426"/>
      <c r="E43" s="426"/>
      <c r="F43" s="426"/>
      <c r="G43" s="426"/>
      <c r="H43" s="427"/>
      <c r="I43" s="73"/>
      <c r="J43" s="45"/>
      <c r="K43" s="456"/>
      <c r="L43" s="457"/>
      <c r="M43" s="56"/>
    </row>
    <row r="44" spans="1:13">
      <c r="A44" s="425"/>
      <c r="B44" s="426"/>
      <c r="C44" s="426"/>
      <c r="D44" s="426"/>
      <c r="E44" s="426"/>
      <c r="F44" s="426"/>
      <c r="G44" s="426"/>
      <c r="H44" s="427"/>
      <c r="I44" s="73"/>
      <c r="J44" s="45"/>
      <c r="K44" s="456"/>
      <c r="L44" s="457"/>
      <c r="M44" s="56"/>
    </row>
    <row r="45" spans="1:13">
      <c r="A45" s="425"/>
      <c r="B45" s="426"/>
      <c r="C45" s="426"/>
      <c r="D45" s="426"/>
      <c r="E45" s="426"/>
      <c r="F45" s="426"/>
      <c r="G45" s="426"/>
      <c r="H45" s="427"/>
      <c r="I45" s="73"/>
      <c r="J45" s="45"/>
      <c r="K45" s="456"/>
      <c r="L45" s="457"/>
      <c r="M45" s="56"/>
    </row>
    <row r="46" spans="1:13" ht="15.75" thickBot="1">
      <c r="A46" s="410"/>
      <c r="B46" s="411"/>
      <c r="C46" s="411"/>
      <c r="D46" s="411"/>
      <c r="E46" s="411"/>
      <c r="F46" s="411"/>
      <c r="G46" s="411"/>
      <c r="H46" s="412"/>
      <c r="I46" s="74"/>
      <c r="J46" s="57"/>
      <c r="K46" s="466"/>
      <c r="L46" s="467"/>
      <c r="M46" s="75"/>
    </row>
    <row r="47" spans="1:13" ht="15.75" thickBot="1">
      <c r="A47" s="416" t="s">
        <v>87</v>
      </c>
      <c r="B47" s="417"/>
      <c r="C47" s="417"/>
      <c r="D47" s="417"/>
      <c r="E47" s="417"/>
      <c r="F47" s="417"/>
      <c r="G47" s="417"/>
      <c r="H47" s="417"/>
      <c r="I47" s="417"/>
      <c r="J47" s="417"/>
      <c r="K47" s="417"/>
      <c r="L47" s="418"/>
      <c r="M47" s="58">
        <f>SUM(M38:M46)</f>
        <v>11915.328</v>
      </c>
    </row>
    <row r="48" spans="1:13">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147" t="s">
        <v>92</v>
      </c>
      <c r="I51" s="151" t="s">
        <v>93</v>
      </c>
      <c r="J51" s="60" t="s">
        <v>94</v>
      </c>
      <c r="K51" s="421" t="s">
        <v>95</v>
      </c>
      <c r="L51" s="424"/>
      <c r="M51" s="44" t="s">
        <v>85</v>
      </c>
    </row>
    <row r="52" spans="1:14">
      <c r="A52" s="425"/>
      <c r="B52" s="426"/>
      <c r="C52" s="426"/>
      <c r="D52" s="426"/>
      <c r="E52" s="426"/>
      <c r="F52" s="426"/>
      <c r="G52" s="426"/>
      <c r="H52" s="61"/>
      <c r="I52" s="55"/>
      <c r="J52" s="61"/>
      <c r="K52" s="428"/>
      <c r="L52" s="429"/>
      <c r="M52" s="62"/>
    </row>
    <row r="53" spans="1:14" ht="15.75" thickBot="1">
      <c r="A53" s="410"/>
      <c r="B53" s="411"/>
      <c r="C53" s="411"/>
      <c r="D53" s="411"/>
      <c r="E53" s="411"/>
      <c r="F53" s="411"/>
      <c r="G53" s="411"/>
      <c r="H53" s="47"/>
      <c r="I53" s="15"/>
      <c r="J53" s="47"/>
      <c r="K53" s="414"/>
      <c r="L53" s="415"/>
      <c r="M53" s="48"/>
    </row>
    <row r="54" spans="1:14" ht="15.75" thickBot="1">
      <c r="A54" s="416" t="s">
        <v>87</v>
      </c>
      <c r="B54" s="417"/>
      <c r="C54" s="417"/>
      <c r="D54" s="417"/>
      <c r="E54" s="417"/>
      <c r="F54" s="417"/>
      <c r="G54" s="417"/>
      <c r="H54" s="417"/>
      <c r="I54" s="417"/>
      <c r="J54" s="417"/>
      <c r="K54" s="417"/>
      <c r="L54" s="418"/>
      <c r="M54" s="63">
        <f>SUM(M52:M53)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147" t="s">
        <v>98</v>
      </c>
      <c r="I58" s="148" t="s">
        <v>99</v>
      </c>
      <c r="J58" s="148" t="s">
        <v>100</v>
      </c>
      <c r="K58" s="455" t="s">
        <v>84</v>
      </c>
      <c r="L58" s="455"/>
      <c r="M58" s="65" t="s">
        <v>85</v>
      </c>
    </row>
    <row r="59" spans="1:14">
      <c r="A59" s="471" t="s">
        <v>126</v>
      </c>
      <c r="B59" s="472"/>
      <c r="C59" s="472"/>
      <c r="D59" s="472"/>
      <c r="E59" s="472"/>
      <c r="F59" s="472"/>
      <c r="G59" s="472"/>
      <c r="H59" s="1">
        <v>112890.04363636363</v>
      </c>
      <c r="I59" s="2">
        <v>2.2000000000000002</v>
      </c>
      <c r="J59" s="66">
        <f>(I59*H59)</f>
        <v>248358.09599999999</v>
      </c>
      <c r="K59" s="483">
        <v>18</v>
      </c>
      <c r="L59" s="483"/>
      <c r="M59" s="56">
        <f>J59/K59</f>
        <v>13797.671999999999</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13797.671999999999</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ROUND(M62+M54+M47+M33,0)</f>
        <v>25713</v>
      </c>
      <c r="N64" s="155"/>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149"/>
      <c r="I68" s="150"/>
      <c r="J68" s="81" t="s">
        <v>104</v>
      </c>
      <c r="K68" s="440" t="s">
        <v>105</v>
      </c>
      <c r="L68" s="441"/>
      <c r="M68" s="82"/>
    </row>
    <row r="69" spans="1:13">
      <c r="A69" s="442" t="s">
        <v>106</v>
      </c>
      <c r="B69" s="443"/>
      <c r="C69" s="443"/>
      <c r="D69" s="443"/>
      <c r="E69" s="443"/>
      <c r="F69" s="443"/>
      <c r="G69" s="443"/>
      <c r="H69" s="83"/>
      <c r="I69" s="84"/>
      <c r="J69" s="85">
        <v>0.19</v>
      </c>
      <c r="K69" s="444">
        <f>M64*J69</f>
        <v>4885.47</v>
      </c>
      <c r="L69" s="444"/>
      <c r="M69" s="86"/>
    </row>
    <row r="70" spans="1:13">
      <c r="A70" s="447" t="s">
        <v>107</v>
      </c>
      <c r="B70" s="448"/>
      <c r="C70" s="448"/>
      <c r="D70" s="448"/>
      <c r="E70" s="448"/>
      <c r="F70" s="448"/>
      <c r="G70" s="449"/>
      <c r="H70" s="77"/>
      <c r="I70" s="78"/>
      <c r="J70" s="5">
        <v>0.01</v>
      </c>
      <c r="K70" s="445">
        <f>M64*J70</f>
        <v>257.13</v>
      </c>
      <c r="L70" s="445"/>
      <c r="M70" s="6"/>
    </row>
    <row r="71" spans="1:13">
      <c r="A71" s="447" t="s">
        <v>108</v>
      </c>
      <c r="B71" s="448"/>
      <c r="C71" s="448"/>
      <c r="D71" s="448"/>
      <c r="E71" s="448"/>
      <c r="F71" s="448"/>
      <c r="G71" s="449"/>
      <c r="H71" s="77"/>
      <c r="I71" s="78"/>
      <c r="J71" s="5">
        <v>0.05</v>
      </c>
      <c r="K71" s="445">
        <f>M64*J71</f>
        <v>1285.6500000000001</v>
      </c>
      <c r="L71" s="445"/>
      <c r="M71" s="6"/>
    </row>
    <row r="72" spans="1:13" ht="15.75" thickBot="1">
      <c r="A72" s="450" t="s">
        <v>117</v>
      </c>
      <c r="B72" s="451"/>
      <c r="C72" s="451"/>
      <c r="D72" s="451"/>
      <c r="E72" s="451"/>
      <c r="F72" s="451"/>
      <c r="G72" s="452"/>
      <c r="H72" s="87"/>
      <c r="I72" s="88"/>
      <c r="J72" s="89">
        <v>0.19</v>
      </c>
      <c r="K72" s="446">
        <f>K71*J72</f>
        <v>244.27350000000001</v>
      </c>
      <c r="L72" s="446"/>
      <c r="M72" s="90"/>
    </row>
    <row r="73" spans="1:13" ht="15.75" thickBot="1">
      <c r="A73" s="435" t="s">
        <v>87</v>
      </c>
      <c r="B73" s="436"/>
      <c r="C73" s="436"/>
      <c r="D73" s="436"/>
      <c r="E73" s="436"/>
      <c r="F73" s="436"/>
      <c r="G73" s="436"/>
      <c r="H73" s="436"/>
      <c r="I73" s="436"/>
      <c r="J73" s="436"/>
      <c r="K73" s="436"/>
      <c r="L73" s="437"/>
      <c r="M73" s="76">
        <f>SUM(K69:L72)</f>
        <v>6672.5235000000002</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32386</v>
      </c>
    </row>
  </sheetData>
  <mergeCells count="83">
    <mergeCell ref="A72:G72"/>
    <mergeCell ref="K72:L72"/>
    <mergeCell ref="A73:L73"/>
    <mergeCell ref="A75:L75"/>
    <mergeCell ref="A69:G69"/>
    <mergeCell ref="K69:L69"/>
    <mergeCell ref="A70:G70"/>
    <mergeCell ref="K70:L70"/>
    <mergeCell ref="A71:G71"/>
    <mergeCell ref="K71:L71"/>
    <mergeCell ref="A61:G61"/>
    <mergeCell ref="K61:L61"/>
    <mergeCell ref="A62:L62"/>
    <mergeCell ref="A64:L64"/>
    <mergeCell ref="A68:G68"/>
    <mergeCell ref="K68:L68"/>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44:H44"/>
    <mergeCell ref="K44:L44"/>
    <mergeCell ref="A45:H45"/>
    <mergeCell ref="K45:L45"/>
    <mergeCell ref="A46:H46"/>
    <mergeCell ref="K46:L46"/>
    <mergeCell ref="A41:H41"/>
    <mergeCell ref="K41:L41"/>
    <mergeCell ref="A42:H42"/>
    <mergeCell ref="K42:L42"/>
    <mergeCell ref="A43:H43"/>
    <mergeCell ref="K43:L43"/>
    <mergeCell ref="A38:H38"/>
    <mergeCell ref="K38:L38"/>
    <mergeCell ref="A39:H39"/>
    <mergeCell ref="K39:L39"/>
    <mergeCell ref="A40:H40"/>
    <mergeCell ref="K40:L40"/>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21:B21"/>
    <mergeCell ref="A23:M23"/>
    <mergeCell ref="B25:I25"/>
    <mergeCell ref="K25:L25"/>
    <mergeCell ref="B26:I26"/>
    <mergeCell ref="K26:L26"/>
    <mergeCell ref="A20:B20"/>
    <mergeCell ref="C20:M20"/>
    <mergeCell ref="A1:C7"/>
    <mergeCell ref="D1:J3"/>
    <mergeCell ref="K1:M7"/>
    <mergeCell ref="D4:J7"/>
    <mergeCell ref="A9:B9"/>
    <mergeCell ref="C9:H9"/>
    <mergeCell ref="K9:M9"/>
    <mergeCell ref="C12:F12"/>
    <mergeCell ref="H12:I12"/>
    <mergeCell ref="C13:M14"/>
    <mergeCell ref="C16:M16"/>
    <mergeCell ref="C18:M18"/>
  </mergeCells>
  <pageMargins left="0.7" right="0.7" top="0.75" bottom="0.75" header="0.3" footer="0.3"/>
  <pageSetup scale="57"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view="pageBreakPreview" topLeftCell="A46" zoomScale="80" zoomScaleNormal="100" zoomScaleSheetLayoutView="80" workbookViewId="0">
      <selection activeCell="M64" sqref="M64"/>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45"/>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46"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46"/>
      <c r="D17" s="146"/>
      <c r="E17" s="146"/>
      <c r="F17" s="146"/>
      <c r="G17" s="146"/>
      <c r="H17" s="146"/>
      <c r="I17" s="146"/>
      <c r="J17" s="146"/>
      <c r="K17" s="146"/>
      <c r="L17" s="146"/>
      <c r="M17" s="13"/>
    </row>
    <row r="18" spans="1:13">
      <c r="A18" s="25" t="s">
        <v>74</v>
      </c>
      <c r="B18" s="26"/>
      <c r="C18" s="379"/>
      <c r="D18" s="379"/>
      <c r="E18" s="379"/>
      <c r="F18" s="379"/>
      <c r="G18" s="379"/>
      <c r="H18" s="379"/>
      <c r="I18" s="379"/>
      <c r="J18" s="379"/>
      <c r="K18" s="379"/>
      <c r="L18" s="379"/>
      <c r="M18" s="380"/>
    </row>
    <row r="19" spans="1:13">
      <c r="A19" s="25"/>
      <c r="B19" s="26"/>
      <c r="C19" s="146"/>
      <c r="D19" s="146"/>
      <c r="E19" s="146"/>
      <c r="F19" s="146"/>
      <c r="G19" s="146"/>
      <c r="H19" s="146"/>
      <c r="I19" s="146"/>
      <c r="J19" s="146"/>
      <c r="K19" s="146"/>
      <c r="L19" s="146"/>
      <c r="M19" s="13"/>
    </row>
    <row r="20" spans="1:13" ht="31.5" customHeight="1">
      <c r="A20" s="464" t="s">
        <v>113</v>
      </c>
      <c r="B20" s="465"/>
      <c r="C20" s="379"/>
      <c r="D20" s="379"/>
      <c r="E20" s="379"/>
      <c r="F20" s="379"/>
      <c r="G20" s="379"/>
      <c r="H20" s="379"/>
      <c r="I20" s="379"/>
      <c r="J20" s="379"/>
      <c r="K20" s="379"/>
      <c r="L20" s="379"/>
      <c r="M20" s="380"/>
    </row>
    <row r="21" spans="1:13">
      <c r="A21" s="400"/>
      <c r="B21" s="401"/>
      <c r="C21" s="146"/>
      <c r="D21" s="146"/>
      <c r="E21" s="146"/>
      <c r="F21" s="146"/>
      <c r="G21" s="146"/>
      <c r="H21" s="146"/>
      <c r="I21" s="146"/>
      <c r="J21" s="146"/>
      <c r="K21" s="146"/>
      <c r="L21" s="146"/>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54" t="s">
        <v>78</v>
      </c>
      <c r="K25" s="408" t="s">
        <v>79</v>
      </c>
      <c r="L25" s="409"/>
      <c r="M25" s="31" t="s">
        <v>80</v>
      </c>
    </row>
    <row r="26" spans="1:13" ht="15.75" thickBot="1">
      <c r="A26" s="33"/>
      <c r="B26" s="391" t="s">
        <v>158</v>
      </c>
      <c r="C26" s="392"/>
      <c r="D26" s="392"/>
      <c r="E26" s="392"/>
      <c r="F26" s="392"/>
      <c r="G26" s="392"/>
      <c r="H26" s="392"/>
      <c r="I26" s="393"/>
      <c r="J26" s="153">
        <v>1</v>
      </c>
      <c r="K26" s="391" t="str">
        <f>'[1]NUEVO DISEÑO'!C21</f>
        <v>ML</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47" t="s">
        <v>83</v>
      </c>
      <c r="K30" s="421" t="s">
        <v>84</v>
      </c>
      <c r="L30" s="424"/>
      <c r="M30" s="44" t="s">
        <v>85</v>
      </c>
    </row>
    <row r="31" spans="1:13">
      <c r="A31" s="425"/>
      <c r="B31" s="426"/>
      <c r="C31" s="426"/>
      <c r="D31" s="426"/>
      <c r="E31" s="427"/>
      <c r="F31" s="428"/>
      <c r="G31" s="429"/>
      <c r="H31" s="430"/>
      <c r="I31" s="427"/>
      <c r="J31" s="72"/>
      <c r="K31" s="428"/>
      <c r="L31" s="429"/>
      <c r="M31" s="46"/>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0</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52" t="s">
        <v>79</v>
      </c>
      <c r="J37" s="147" t="s">
        <v>80</v>
      </c>
      <c r="K37" s="421" t="s">
        <v>89</v>
      </c>
      <c r="L37" s="424"/>
      <c r="M37" s="44" t="s">
        <v>85</v>
      </c>
    </row>
    <row r="38" spans="1:13">
      <c r="A38" s="425" t="s">
        <v>157</v>
      </c>
      <c r="B38" s="426"/>
      <c r="C38" s="426"/>
      <c r="D38" s="426"/>
      <c r="E38" s="426"/>
      <c r="F38" s="426"/>
      <c r="G38" s="426"/>
      <c r="H38" s="427"/>
      <c r="I38" s="73" t="s">
        <v>127</v>
      </c>
      <c r="J38" s="45">
        <v>8.0000000000000002E-3</v>
      </c>
      <c r="K38" s="456">
        <v>744708</v>
      </c>
      <c r="L38" s="457"/>
      <c r="M38" s="56">
        <f>K38*J38</f>
        <v>5957.6639999999998</v>
      </c>
    </row>
    <row r="39" spans="1:13">
      <c r="A39" s="425"/>
      <c r="B39" s="426"/>
      <c r="C39" s="426"/>
      <c r="D39" s="426"/>
      <c r="E39" s="426"/>
      <c r="F39" s="426"/>
      <c r="G39" s="426"/>
      <c r="H39" s="427"/>
      <c r="I39" s="73"/>
      <c r="J39" s="45"/>
      <c r="K39" s="456"/>
      <c r="L39" s="457"/>
      <c r="M39" s="56"/>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c r="A42" s="425"/>
      <c r="B42" s="426"/>
      <c r="C42" s="426"/>
      <c r="D42" s="426"/>
      <c r="E42" s="426"/>
      <c r="F42" s="426"/>
      <c r="G42" s="426"/>
      <c r="H42" s="427"/>
      <c r="I42" s="73"/>
      <c r="J42" s="45"/>
      <c r="K42" s="456"/>
      <c r="L42" s="457"/>
      <c r="M42" s="56"/>
    </row>
    <row r="43" spans="1:13">
      <c r="A43" s="425"/>
      <c r="B43" s="426"/>
      <c r="C43" s="426"/>
      <c r="D43" s="426"/>
      <c r="E43" s="426"/>
      <c r="F43" s="426"/>
      <c r="G43" s="426"/>
      <c r="H43" s="427"/>
      <c r="I43" s="73"/>
      <c r="J43" s="45"/>
      <c r="K43" s="456"/>
      <c r="L43" s="457"/>
      <c r="M43" s="56"/>
    </row>
    <row r="44" spans="1:13">
      <c r="A44" s="425"/>
      <c r="B44" s="426"/>
      <c r="C44" s="426"/>
      <c r="D44" s="426"/>
      <c r="E44" s="426"/>
      <c r="F44" s="426"/>
      <c r="G44" s="426"/>
      <c r="H44" s="427"/>
      <c r="I44" s="73"/>
      <c r="J44" s="45"/>
      <c r="K44" s="456"/>
      <c r="L44" s="457"/>
      <c r="M44" s="56"/>
    </row>
    <row r="45" spans="1:13">
      <c r="A45" s="425"/>
      <c r="B45" s="426"/>
      <c r="C45" s="426"/>
      <c r="D45" s="426"/>
      <c r="E45" s="426"/>
      <c r="F45" s="426"/>
      <c r="G45" s="426"/>
      <c r="H45" s="427"/>
      <c r="I45" s="73"/>
      <c r="J45" s="45"/>
      <c r="K45" s="456"/>
      <c r="L45" s="457"/>
      <c r="M45" s="56"/>
    </row>
    <row r="46" spans="1:13" ht="15.75" thickBot="1">
      <c r="A46" s="410"/>
      <c r="B46" s="411"/>
      <c r="C46" s="411"/>
      <c r="D46" s="411"/>
      <c r="E46" s="411"/>
      <c r="F46" s="411"/>
      <c r="G46" s="411"/>
      <c r="H46" s="412"/>
      <c r="I46" s="74"/>
      <c r="J46" s="57"/>
      <c r="K46" s="466"/>
      <c r="L46" s="467"/>
      <c r="M46" s="75"/>
    </row>
    <row r="47" spans="1:13" ht="15.75" thickBot="1">
      <c r="A47" s="416" t="s">
        <v>87</v>
      </c>
      <c r="B47" s="417"/>
      <c r="C47" s="417"/>
      <c r="D47" s="417"/>
      <c r="E47" s="417"/>
      <c r="F47" s="417"/>
      <c r="G47" s="417"/>
      <c r="H47" s="417"/>
      <c r="I47" s="417"/>
      <c r="J47" s="417"/>
      <c r="K47" s="417"/>
      <c r="L47" s="418"/>
      <c r="M47" s="58">
        <f>SUM(M38:M46)</f>
        <v>5957.6639999999998</v>
      </c>
    </row>
    <row r="48" spans="1:13">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147" t="s">
        <v>92</v>
      </c>
      <c r="I51" s="151" t="s">
        <v>93</v>
      </c>
      <c r="J51" s="60" t="s">
        <v>94</v>
      </c>
      <c r="K51" s="421" t="s">
        <v>95</v>
      </c>
      <c r="L51" s="424"/>
      <c r="M51" s="44" t="s">
        <v>85</v>
      </c>
    </row>
    <row r="52" spans="1:14">
      <c r="A52" s="425"/>
      <c r="B52" s="426"/>
      <c r="C52" s="426"/>
      <c r="D52" s="426"/>
      <c r="E52" s="426"/>
      <c r="F52" s="426"/>
      <c r="G52" s="426"/>
      <c r="H52" s="61"/>
      <c r="I52" s="55"/>
      <c r="J52" s="61"/>
      <c r="K52" s="428"/>
      <c r="L52" s="429"/>
      <c r="M52" s="62"/>
    </row>
    <row r="53" spans="1:14" ht="15.75" thickBot="1">
      <c r="A53" s="410"/>
      <c r="B53" s="411"/>
      <c r="C53" s="411"/>
      <c r="D53" s="411"/>
      <c r="E53" s="411"/>
      <c r="F53" s="411"/>
      <c r="G53" s="411"/>
      <c r="H53" s="47"/>
      <c r="I53" s="15"/>
      <c r="J53" s="47"/>
      <c r="K53" s="414"/>
      <c r="L53" s="415"/>
      <c r="M53" s="48"/>
    </row>
    <row r="54" spans="1:14" ht="15.75" thickBot="1">
      <c r="A54" s="416" t="s">
        <v>87</v>
      </c>
      <c r="B54" s="417"/>
      <c r="C54" s="417"/>
      <c r="D54" s="417"/>
      <c r="E54" s="417"/>
      <c r="F54" s="417"/>
      <c r="G54" s="417"/>
      <c r="H54" s="417"/>
      <c r="I54" s="417"/>
      <c r="J54" s="417"/>
      <c r="K54" s="417"/>
      <c r="L54" s="418"/>
      <c r="M54" s="63">
        <f>SUM(M52:M53)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147" t="s">
        <v>98</v>
      </c>
      <c r="I58" s="148" t="s">
        <v>99</v>
      </c>
      <c r="J58" s="148" t="s">
        <v>100</v>
      </c>
      <c r="K58" s="455" t="s">
        <v>84</v>
      </c>
      <c r="L58" s="455"/>
      <c r="M58" s="65" t="s">
        <v>85</v>
      </c>
    </row>
    <row r="59" spans="1:14">
      <c r="A59" s="471" t="s">
        <v>126</v>
      </c>
      <c r="B59" s="472"/>
      <c r="C59" s="472"/>
      <c r="D59" s="472"/>
      <c r="E59" s="472"/>
      <c r="F59" s="472"/>
      <c r="G59" s="472"/>
      <c r="H59" s="1">
        <v>111594.72727272725</v>
      </c>
      <c r="I59" s="2">
        <v>2.2000000000000002</v>
      </c>
      <c r="J59" s="66">
        <f>(I59*H59)</f>
        <v>245508.39999999997</v>
      </c>
      <c r="K59" s="483">
        <v>25</v>
      </c>
      <c r="L59" s="483"/>
      <c r="M59" s="56">
        <f>J59/K59</f>
        <v>9820.3359999999993</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9820.3359999999993</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ROUND(M62+M54+M47+M33,0)</f>
        <v>15778</v>
      </c>
      <c r="N64" s="155"/>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149"/>
      <c r="I68" s="150"/>
      <c r="J68" s="81" t="s">
        <v>104</v>
      </c>
      <c r="K68" s="440" t="s">
        <v>105</v>
      </c>
      <c r="L68" s="441"/>
      <c r="M68" s="82"/>
    </row>
    <row r="69" spans="1:13">
      <c r="A69" s="442" t="s">
        <v>106</v>
      </c>
      <c r="B69" s="443"/>
      <c r="C69" s="443"/>
      <c r="D69" s="443"/>
      <c r="E69" s="443"/>
      <c r="F69" s="443"/>
      <c r="G69" s="443"/>
      <c r="H69" s="83"/>
      <c r="I69" s="84"/>
      <c r="J69" s="85">
        <v>0.19</v>
      </c>
      <c r="K69" s="444">
        <f>M64*J69</f>
        <v>2997.82</v>
      </c>
      <c r="L69" s="444"/>
      <c r="M69" s="86"/>
    </row>
    <row r="70" spans="1:13">
      <c r="A70" s="447" t="s">
        <v>107</v>
      </c>
      <c r="B70" s="448"/>
      <c r="C70" s="448"/>
      <c r="D70" s="448"/>
      <c r="E70" s="448"/>
      <c r="F70" s="448"/>
      <c r="G70" s="449"/>
      <c r="H70" s="77"/>
      <c r="I70" s="78"/>
      <c r="J70" s="5">
        <v>0.01</v>
      </c>
      <c r="K70" s="445">
        <f>M64*J70</f>
        <v>157.78</v>
      </c>
      <c r="L70" s="445"/>
      <c r="M70" s="6"/>
    </row>
    <row r="71" spans="1:13">
      <c r="A71" s="447" t="s">
        <v>108</v>
      </c>
      <c r="B71" s="448"/>
      <c r="C71" s="448"/>
      <c r="D71" s="448"/>
      <c r="E71" s="448"/>
      <c r="F71" s="448"/>
      <c r="G71" s="449"/>
      <c r="H71" s="77"/>
      <c r="I71" s="78"/>
      <c r="J71" s="5">
        <v>0.05</v>
      </c>
      <c r="K71" s="445">
        <f>M64*J71</f>
        <v>788.90000000000009</v>
      </c>
      <c r="L71" s="445"/>
      <c r="M71" s="6"/>
    </row>
    <row r="72" spans="1:13" ht="15.75" thickBot="1">
      <c r="A72" s="450" t="s">
        <v>117</v>
      </c>
      <c r="B72" s="451"/>
      <c r="C72" s="451"/>
      <c r="D72" s="451"/>
      <c r="E72" s="451"/>
      <c r="F72" s="451"/>
      <c r="G72" s="452"/>
      <c r="H72" s="87"/>
      <c r="I72" s="88"/>
      <c r="J72" s="89">
        <v>0.19</v>
      </c>
      <c r="K72" s="446">
        <f>K71*J72</f>
        <v>149.89100000000002</v>
      </c>
      <c r="L72" s="446"/>
      <c r="M72" s="90"/>
    </row>
    <row r="73" spans="1:13" ht="15.75" thickBot="1">
      <c r="A73" s="435" t="s">
        <v>87</v>
      </c>
      <c r="B73" s="436"/>
      <c r="C73" s="436"/>
      <c r="D73" s="436"/>
      <c r="E73" s="436"/>
      <c r="F73" s="436"/>
      <c r="G73" s="436"/>
      <c r="H73" s="436"/>
      <c r="I73" s="436"/>
      <c r="J73" s="436"/>
      <c r="K73" s="436"/>
      <c r="L73" s="437"/>
      <c r="M73" s="76">
        <f>SUM(K69:L72)</f>
        <v>4094.3910000000005</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19872</v>
      </c>
    </row>
  </sheetData>
  <mergeCells count="83">
    <mergeCell ref="A72:G72"/>
    <mergeCell ref="K72:L72"/>
    <mergeCell ref="A73:L73"/>
    <mergeCell ref="A75:L75"/>
    <mergeCell ref="A69:G69"/>
    <mergeCell ref="K69:L69"/>
    <mergeCell ref="A70:G70"/>
    <mergeCell ref="K70:L70"/>
    <mergeCell ref="A71:G71"/>
    <mergeCell ref="K71:L71"/>
    <mergeCell ref="A61:G61"/>
    <mergeCell ref="K61:L61"/>
    <mergeCell ref="A62:L62"/>
    <mergeCell ref="A64:L64"/>
    <mergeCell ref="A68:G68"/>
    <mergeCell ref="K68:L68"/>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44:H44"/>
    <mergeCell ref="K44:L44"/>
    <mergeCell ref="A45:H45"/>
    <mergeCell ref="K45:L45"/>
    <mergeCell ref="A46:H46"/>
    <mergeCell ref="K46:L46"/>
    <mergeCell ref="A41:H41"/>
    <mergeCell ref="K41:L41"/>
    <mergeCell ref="A42:H42"/>
    <mergeCell ref="K42:L42"/>
    <mergeCell ref="A43:H43"/>
    <mergeCell ref="K43:L43"/>
    <mergeCell ref="A38:H38"/>
    <mergeCell ref="K38:L38"/>
    <mergeCell ref="A39:H39"/>
    <mergeCell ref="K39:L39"/>
    <mergeCell ref="A40:H40"/>
    <mergeCell ref="K40:L40"/>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21:B21"/>
    <mergeCell ref="A23:M23"/>
    <mergeCell ref="B25:I25"/>
    <mergeCell ref="K25:L25"/>
    <mergeCell ref="B26:I26"/>
    <mergeCell ref="K26:L26"/>
    <mergeCell ref="A20:B20"/>
    <mergeCell ref="C20:M20"/>
    <mergeCell ref="A1:C7"/>
    <mergeCell ref="D1:J3"/>
    <mergeCell ref="K1:M7"/>
    <mergeCell ref="D4:J7"/>
    <mergeCell ref="A9:B9"/>
    <mergeCell ref="C9:H9"/>
    <mergeCell ref="K9:M9"/>
    <mergeCell ref="C12:F12"/>
    <mergeCell ref="H12:I12"/>
    <mergeCell ref="C13:M14"/>
    <mergeCell ref="C16:M16"/>
    <mergeCell ref="C18:M18"/>
  </mergeCells>
  <pageMargins left="0.7" right="0.7" top="0.75" bottom="0.75" header="0.3" footer="0.3"/>
  <pageSetup scale="57"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view="pageBreakPreview" topLeftCell="A52" zoomScale="80" zoomScaleNormal="100" zoomScaleSheetLayoutView="80" workbookViewId="0">
      <selection activeCell="M64" sqref="M64"/>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45"/>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46"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46"/>
      <c r="D17" s="146"/>
      <c r="E17" s="146"/>
      <c r="F17" s="146"/>
      <c r="G17" s="146"/>
      <c r="H17" s="146"/>
      <c r="I17" s="146"/>
      <c r="J17" s="146"/>
      <c r="K17" s="146"/>
      <c r="L17" s="146"/>
      <c r="M17" s="13"/>
    </row>
    <row r="18" spans="1:13">
      <c r="A18" s="25" t="s">
        <v>74</v>
      </c>
      <c r="B18" s="26"/>
      <c r="C18" s="379"/>
      <c r="D18" s="379"/>
      <c r="E18" s="379"/>
      <c r="F18" s="379"/>
      <c r="G18" s="379"/>
      <c r="H18" s="379"/>
      <c r="I18" s="379"/>
      <c r="J18" s="379"/>
      <c r="K18" s="379"/>
      <c r="L18" s="379"/>
      <c r="M18" s="380"/>
    </row>
    <row r="19" spans="1:13">
      <c r="A19" s="25"/>
      <c r="B19" s="26"/>
      <c r="C19" s="146"/>
      <c r="D19" s="146"/>
      <c r="E19" s="146"/>
      <c r="F19" s="146"/>
      <c r="G19" s="146"/>
      <c r="H19" s="146"/>
      <c r="I19" s="146"/>
      <c r="J19" s="146"/>
      <c r="K19" s="146"/>
      <c r="L19" s="146"/>
      <c r="M19" s="13"/>
    </row>
    <row r="20" spans="1:13" ht="31.5" customHeight="1">
      <c r="A20" s="464" t="s">
        <v>113</v>
      </c>
      <c r="B20" s="465"/>
      <c r="C20" s="379"/>
      <c r="D20" s="379"/>
      <c r="E20" s="379"/>
      <c r="F20" s="379"/>
      <c r="G20" s="379"/>
      <c r="H20" s="379"/>
      <c r="I20" s="379"/>
      <c r="J20" s="379"/>
      <c r="K20" s="379"/>
      <c r="L20" s="379"/>
      <c r="M20" s="380"/>
    </row>
    <row r="21" spans="1:13">
      <c r="A21" s="400"/>
      <c r="B21" s="401"/>
      <c r="C21" s="146"/>
      <c r="D21" s="146"/>
      <c r="E21" s="146"/>
      <c r="F21" s="146"/>
      <c r="G21" s="146"/>
      <c r="H21" s="146"/>
      <c r="I21" s="146"/>
      <c r="J21" s="146"/>
      <c r="K21" s="146"/>
      <c r="L21" s="146"/>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54" t="s">
        <v>78</v>
      </c>
      <c r="K25" s="408" t="s">
        <v>79</v>
      </c>
      <c r="L25" s="409"/>
      <c r="M25" s="31" t="s">
        <v>80</v>
      </c>
    </row>
    <row r="26" spans="1:13" ht="15.75" thickBot="1">
      <c r="A26" s="33"/>
      <c r="B26" s="391" t="s">
        <v>159</v>
      </c>
      <c r="C26" s="392"/>
      <c r="D26" s="392"/>
      <c r="E26" s="392"/>
      <c r="F26" s="392"/>
      <c r="G26" s="392"/>
      <c r="H26" s="392"/>
      <c r="I26" s="393"/>
      <c r="J26" s="153">
        <v>1</v>
      </c>
      <c r="K26" s="391" t="s">
        <v>9</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47" t="s">
        <v>83</v>
      </c>
      <c r="K30" s="421" t="s">
        <v>84</v>
      </c>
      <c r="L30" s="424"/>
      <c r="M30" s="44" t="s">
        <v>85</v>
      </c>
    </row>
    <row r="31" spans="1:13">
      <c r="A31" s="425"/>
      <c r="B31" s="426"/>
      <c r="C31" s="426"/>
      <c r="D31" s="426"/>
      <c r="E31" s="427"/>
      <c r="F31" s="428"/>
      <c r="G31" s="429"/>
      <c r="H31" s="430"/>
      <c r="I31" s="427"/>
      <c r="J31" s="72"/>
      <c r="K31" s="428"/>
      <c r="L31" s="429"/>
      <c r="M31" s="46"/>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0</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52" t="s">
        <v>79</v>
      </c>
      <c r="J37" s="147" t="s">
        <v>80</v>
      </c>
      <c r="K37" s="421" t="s">
        <v>89</v>
      </c>
      <c r="L37" s="424"/>
      <c r="M37" s="44" t="s">
        <v>85</v>
      </c>
    </row>
    <row r="38" spans="1:13">
      <c r="A38" s="425" t="s">
        <v>160</v>
      </c>
      <c r="B38" s="426"/>
      <c r="C38" s="426"/>
      <c r="D38" s="426"/>
      <c r="E38" s="426"/>
      <c r="F38" s="426"/>
      <c r="G38" s="426"/>
      <c r="H38" s="427"/>
      <c r="I38" s="73" t="s">
        <v>25</v>
      </c>
      <c r="J38" s="165">
        <v>1.6E-2</v>
      </c>
      <c r="K38" s="456">
        <v>470040</v>
      </c>
      <c r="L38" s="457"/>
      <c r="M38" s="56">
        <f>K38*J38</f>
        <v>7520.64</v>
      </c>
    </row>
    <row r="39" spans="1:13">
      <c r="A39" s="425"/>
      <c r="B39" s="426"/>
      <c r="C39" s="426"/>
      <c r="D39" s="426"/>
      <c r="E39" s="426"/>
      <c r="F39" s="426"/>
      <c r="G39" s="426"/>
      <c r="H39" s="427"/>
      <c r="I39" s="73"/>
      <c r="J39" s="45"/>
      <c r="K39" s="456"/>
      <c r="L39" s="457"/>
      <c r="M39" s="56"/>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c r="A42" s="425"/>
      <c r="B42" s="426"/>
      <c r="C42" s="426"/>
      <c r="D42" s="426"/>
      <c r="E42" s="426"/>
      <c r="F42" s="426"/>
      <c r="G42" s="426"/>
      <c r="H42" s="427"/>
      <c r="I42" s="73"/>
      <c r="J42" s="45"/>
      <c r="K42" s="456"/>
      <c r="L42" s="457"/>
      <c r="M42" s="56"/>
    </row>
    <row r="43" spans="1:13">
      <c r="A43" s="425"/>
      <c r="B43" s="426"/>
      <c r="C43" s="426"/>
      <c r="D43" s="426"/>
      <c r="E43" s="426"/>
      <c r="F43" s="426"/>
      <c r="G43" s="426"/>
      <c r="H43" s="427"/>
      <c r="I43" s="73"/>
      <c r="J43" s="45"/>
      <c r="K43" s="456"/>
      <c r="L43" s="457"/>
      <c r="M43" s="56"/>
    </row>
    <row r="44" spans="1:13">
      <c r="A44" s="425"/>
      <c r="B44" s="426"/>
      <c r="C44" s="426"/>
      <c r="D44" s="426"/>
      <c r="E44" s="426"/>
      <c r="F44" s="426"/>
      <c r="G44" s="426"/>
      <c r="H44" s="427"/>
      <c r="I44" s="73"/>
      <c r="J44" s="45"/>
      <c r="K44" s="456"/>
      <c r="L44" s="457"/>
      <c r="M44" s="56"/>
    </row>
    <row r="45" spans="1:13">
      <c r="A45" s="425"/>
      <c r="B45" s="426"/>
      <c r="C45" s="426"/>
      <c r="D45" s="426"/>
      <c r="E45" s="426"/>
      <c r="F45" s="426"/>
      <c r="G45" s="426"/>
      <c r="H45" s="427"/>
      <c r="I45" s="73"/>
      <c r="J45" s="45"/>
      <c r="K45" s="456"/>
      <c r="L45" s="457"/>
      <c r="M45" s="56"/>
    </row>
    <row r="46" spans="1:13" ht="15.75" thickBot="1">
      <c r="A46" s="410"/>
      <c r="B46" s="411"/>
      <c r="C46" s="411"/>
      <c r="D46" s="411"/>
      <c r="E46" s="411"/>
      <c r="F46" s="411"/>
      <c r="G46" s="411"/>
      <c r="H46" s="412"/>
      <c r="I46" s="74"/>
      <c r="J46" s="57"/>
      <c r="K46" s="466"/>
      <c r="L46" s="467"/>
      <c r="M46" s="75"/>
    </row>
    <row r="47" spans="1:13" ht="15.75" thickBot="1">
      <c r="A47" s="416" t="s">
        <v>87</v>
      </c>
      <c r="B47" s="417"/>
      <c r="C47" s="417"/>
      <c r="D47" s="417"/>
      <c r="E47" s="417"/>
      <c r="F47" s="417"/>
      <c r="G47" s="417"/>
      <c r="H47" s="417"/>
      <c r="I47" s="417"/>
      <c r="J47" s="417"/>
      <c r="K47" s="417"/>
      <c r="L47" s="418"/>
      <c r="M47" s="58">
        <f>SUM(M38:M46)</f>
        <v>7520.64</v>
      </c>
    </row>
    <row r="48" spans="1:13">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147" t="s">
        <v>92</v>
      </c>
      <c r="I51" s="151" t="s">
        <v>93</v>
      </c>
      <c r="J51" s="60" t="s">
        <v>94</v>
      </c>
      <c r="K51" s="421" t="s">
        <v>95</v>
      </c>
      <c r="L51" s="424"/>
      <c r="M51" s="44" t="s">
        <v>85</v>
      </c>
    </row>
    <row r="52" spans="1:14">
      <c r="A52" s="425"/>
      <c r="B52" s="426"/>
      <c r="C52" s="426"/>
      <c r="D52" s="426"/>
      <c r="E52" s="426"/>
      <c r="F52" s="426"/>
      <c r="G52" s="426"/>
      <c r="H52" s="61"/>
      <c r="I52" s="55"/>
      <c r="J52" s="61"/>
      <c r="K52" s="428"/>
      <c r="L52" s="429"/>
      <c r="M52" s="62"/>
    </row>
    <row r="53" spans="1:14" ht="15.75" thickBot="1">
      <c r="A53" s="410"/>
      <c r="B53" s="411"/>
      <c r="C53" s="411"/>
      <c r="D53" s="411"/>
      <c r="E53" s="411"/>
      <c r="F53" s="411"/>
      <c r="G53" s="411"/>
      <c r="H53" s="47"/>
      <c r="I53" s="15"/>
      <c r="J53" s="47"/>
      <c r="K53" s="414"/>
      <c r="L53" s="415"/>
      <c r="M53" s="48"/>
    </row>
    <row r="54" spans="1:14" ht="15.75" thickBot="1">
      <c r="A54" s="416" t="s">
        <v>87</v>
      </c>
      <c r="B54" s="417"/>
      <c r="C54" s="417"/>
      <c r="D54" s="417"/>
      <c r="E54" s="417"/>
      <c r="F54" s="417"/>
      <c r="G54" s="417"/>
      <c r="H54" s="417"/>
      <c r="I54" s="417"/>
      <c r="J54" s="417"/>
      <c r="K54" s="417"/>
      <c r="L54" s="418"/>
      <c r="M54" s="63">
        <f>SUM(M52:M53)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147" t="s">
        <v>98</v>
      </c>
      <c r="I58" s="148" t="s">
        <v>99</v>
      </c>
      <c r="J58" s="148" t="s">
        <v>100</v>
      </c>
      <c r="K58" s="455" t="s">
        <v>84</v>
      </c>
      <c r="L58" s="455"/>
      <c r="M58" s="65" t="s">
        <v>85</v>
      </c>
    </row>
    <row r="59" spans="1:14">
      <c r="A59" s="471" t="s">
        <v>126</v>
      </c>
      <c r="B59" s="472"/>
      <c r="C59" s="472"/>
      <c r="D59" s="472"/>
      <c r="E59" s="472"/>
      <c r="F59" s="472"/>
      <c r="G59" s="472"/>
      <c r="H59" s="1">
        <v>111594.72727272725</v>
      </c>
      <c r="I59" s="2">
        <v>2.2000000000000002</v>
      </c>
      <c r="J59" s="66">
        <f>(I59*H59)</f>
        <v>245508.39999999997</v>
      </c>
      <c r="K59" s="483">
        <v>18</v>
      </c>
      <c r="L59" s="483"/>
      <c r="M59" s="56">
        <f>J59/K59</f>
        <v>13639.355555555554</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13639.355555555554</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ROUND(M62+M54+M47+M33,0)</f>
        <v>21160</v>
      </c>
      <c r="N64" s="155"/>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149"/>
      <c r="I68" s="150"/>
      <c r="J68" s="81" t="s">
        <v>104</v>
      </c>
      <c r="K68" s="440" t="s">
        <v>105</v>
      </c>
      <c r="L68" s="441"/>
      <c r="M68" s="82"/>
    </row>
    <row r="69" spans="1:13">
      <c r="A69" s="442" t="s">
        <v>106</v>
      </c>
      <c r="B69" s="443"/>
      <c r="C69" s="443"/>
      <c r="D69" s="443"/>
      <c r="E69" s="443"/>
      <c r="F69" s="443"/>
      <c r="G69" s="443"/>
      <c r="H69" s="83"/>
      <c r="I69" s="84"/>
      <c r="J69" s="85">
        <v>0.19</v>
      </c>
      <c r="K69" s="444">
        <f>M64*J69</f>
        <v>4020.4</v>
      </c>
      <c r="L69" s="444"/>
      <c r="M69" s="86"/>
    </row>
    <row r="70" spans="1:13">
      <c r="A70" s="447" t="s">
        <v>107</v>
      </c>
      <c r="B70" s="448"/>
      <c r="C70" s="448"/>
      <c r="D70" s="448"/>
      <c r="E70" s="448"/>
      <c r="F70" s="448"/>
      <c r="G70" s="449"/>
      <c r="H70" s="77"/>
      <c r="I70" s="78"/>
      <c r="J70" s="5">
        <v>0.01</v>
      </c>
      <c r="K70" s="445">
        <f>M64*J70</f>
        <v>211.6</v>
      </c>
      <c r="L70" s="445"/>
      <c r="M70" s="6"/>
    </row>
    <row r="71" spans="1:13">
      <c r="A71" s="447" t="s">
        <v>108</v>
      </c>
      <c r="B71" s="448"/>
      <c r="C71" s="448"/>
      <c r="D71" s="448"/>
      <c r="E71" s="448"/>
      <c r="F71" s="448"/>
      <c r="G71" s="449"/>
      <c r="H71" s="77"/>
      <c r="I71" s="78"/>
      <c r="J71" s="5">
        <v>0.05</v>
      </c>
      <c r="K71" s="445">
        <f>M64*J71</f>
        <v>1058</v>
      </c>
      <c r="L71" s="445"/>
      <c r="M71" s="6"/>
    </row>
    <row r="72" spans="1:13" ht="15.75" thickBot="1">
      <c r="A72" s="450" t="s">
        <v>117</v>
      </c>
      <c r="B72" s="451"/>
      <c r="C72" s="451"/>
      <c r="D72" s="451"/>
      <c r="E72" s="451"/>
      <c r="F72" s="451"/>
      <c r="G72" s="452"/>
      <c r="H72" s="87"/>
      <c r="I72" s="88"/>
      <c r="J72" s="89">
        <v>0.19</v>
      </c>
      <c r="K72" s="446">
        <f>K71*J72</f>
        <v>201.02</v>
      </c>
      <c r="L72" s="446"/>
      <c r="M72" s="90"/>
    </row>
    <row r="73" spans="1:13" ht="15.75" thickBot="1">
      <c r="A73" s="435" t="s">
        <v>87</v>
      </c>
      <c r="B73" s="436"/>
      <c r="C73" s="436"/>
      <c r="D73" s="436"/>
      <c r="E73" s="436"/>
      <c r="F73" s="436"/>
      <c r="G73" s="436"/>
      <c r="H73" s="436"/>
      <c r="I73" s="436"/>
      <c r="J73" s="436"/>
      <c r="K73" s="436"/>
      <c r="L73" s="437"/>
      <c r="M73" s="76">
        <f>SUM(K69:L72)</f>
        <v>5491.02</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26651</v>
      </c>
    </row>
  </sheetData>
  <mergeCells count="83">
    <mergeCell ref="A72:G72"/>
    <mergeCell ref="K72:L72"/>
    <mergeCell ref="A73:L73"/>
    <mergeCell ref="A75:L75"/>
    <mergeCell ref="A69:G69"/>
    <mergeCell ref="K69:L69"/>
    <mergeCell ref="A70:G70"/>
    <mergeCell ref="K70:L70"/>
    <mergeCell ref="A71:G71"/>
    <mergeCell ref="K71:L71"/>
    <mergeCell ref="A61:G61"/>
    <mergeCell ref="K61:L61"/>
    <mergeCell ref="A62:L62"/>
    <mergeCell ref="A64:L64"/>
    <mergeCell ref="A68:G68"/>
    <mergeCell ref="K68:L68"/>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44:H44"/>
    <mergeCell ref="K44:L44"/>
    <mergeCell ref="A45:H45"/>
    <mergeCell ref="K45:L45"/>
    <mergeCell ref="A46:H46"/>
    <mergeCell ref="K46:L46"/>
    <mergeCell ref="A41:H41"/>
    <mergeCell ref="K41:L41"/>
    <mergeCell ref="A42:H42"/>
    <mergeCell ref="K42:L42"/>
    <mergeCell ref="A43:H43"/>
    <mergeCell ref="K43:L43"/>
    <mergeCell ref="A38:H38"/>
    <mergeCell ref="K38:L38"/>
    <mergeCell ref="A39:H39"/>
    <mergeCell ref="K39:L39"/>
    <mergeCell ref="A40:H40"/>
    <mergeCell ref="K40:L40"/>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21:B21"/>
    <mergeCell ref="A23:M23"/>
    <mergeCell ref="B25:I25"/>
    <mergeCell ref="K25:L25"/>
    <mergeCell ref="B26:I26"/>
    <mergeCell ref="K26:L26"/>
    <mergeCell ref="A20:B20"/>
    <mergeCell ref="C20:M20"/>
    <mergeCell ref="A1:C7"/>
    <mergeCell ref="D1:J3"/>
    <mergeCell ref="K1:M7"/>
    <mergeCell ref="D4:J7"/>
    <mergeCell ref="A9:B9"/>
    <mergeCell ref="C9:H9"/>
    <mergeCell ref="K9:M9"/>
    <mergeCell ref="C12:F12"/>
    <mergeCell ref="H12:I12"/>
    <mergeCell ref="C13:M14"/>
    <mergeCell ref="C16:M16"/>
    <mergeCell ref="C18:M18"/>
  </mergeCells>
  <pageMargins left="0.7" right="0.7" top="0.75" bottom="0.75" header="0.3" footer="0.3"/>
  <pageSetup scale="57"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view="pageBreakPreview" topLeftCell="A55" zoomScale="80" zoomScaleNormal="100" zoomScaleSheetLayoutView="80" workbookViewId="0">
      <selection activeCell="M64" sqref="M64"/>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45"/>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46"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46"/>
      <c r="D17" s="146"/>
      <c r="E17" s="146"/>
      <c r="F17" s="146"/>
      <c r="G17" s="146"/>
      <c r="H17" s="146"/>
      <c r="I17" s="146"/>
      <c r="J17" s="146"/>
      <c r="K17" s="146"/>
      <c r="L17" s="146"/>
      <c r="M17" s="13"/>
    </row>
    <row r="18" spans="1:13">
      <c r="A18" s="25" t="s">
        <v>74</v>
      </c>
      <c r="B18" s="26"/>
      <c r="C18" s="379"/>
      <c r="D18" s="379"/>
      <c r="E18" s="379"/>
      <c r="F18" s="379"/>
      <c r="G18" s="379"/>
      <c r="H18" s="379"/>
      <c r="I18" s="379"/>
      <c r="J18" s="379"/>
      <c r="K18" s="379"/>
      <c r="L18" s="379"/>
      <c r="M18" s="380"/>
    </row>
    <row r="19" spans="1:13">
      <c r="A19" s="25"/>
      <c r="B19" s="26"/>
      <c r="C19" s="146"/>
      <c r="D19" s="146"/>
      <c r="E19" s="146"/>
      <c r="F19" s="146"/>
      <c r="G19" s="146"/>
      <c r="H19" s="146"/>
      <c r="I19" s="146"/>
      <c r="J19" s="146"/>
      <c r="K19" s="146"/>
      <c r="L19" s="146"/>
      <c r="M19" s="13"/>
    </row>
    <row r="20" spans="1:13" ht="31.5" customHeight="1">
      <c r="A20" s="464" t="s">
        <v>113</v>
      </c>
      <c r="B20" s="465"/>
      <c r="C20" s="379"/>
      <c r="D20" s="379"/>
      <c r="E20" s="379"/>
      <c r="F20" s="379"/>
      <c r="G20" s="379"/>
      <c r="H20" s="379"/>
      <c r="I20" s="379"/>
      <c r="J20" s="379"/>
      <c r="K20" s="379"/>
      <c r="L20" s="379"/>
      <c r="M20" s="380"/>
    </row>
    <row r="21" spans="1:13">
      <c r="A21" s="400"/>
      <c r="B21" s="401"/>
      <c r="C21" s="146"/>
      <c r="D21" s="146"/>
      <c r="E21" s="146"/>
      <c r="F21" s="146"/>
      <c r="G21" s="146"/>
      <c r="H21" s="146"/>
      <c r="I21" s="146"/>
      <c r="J21" s="146"/>
      <c r="K21" s="146"/>
      <c r="L21" s="146"/>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54" t="s">
        <v>78</v>
      </c>
      <c r="K25" s="408" t="s">
        <v>79</v>
      </c>
      <c r="L25" s="409"/>
      <c r="M25" s="31" t="s">
        <v>80</v>
      </c>
    </row>
    <row r="26" spans="1:13" ht="15.75" thickBot="1">
      <c r="A26" s="33"/>
      <c r="B26" s="391" t="s">
        <v>161</v>
      </c>
      <c r="C26" s="392"/>
      <c r="D26" s="392"/>
      <c r="E26" s="392"/>
      <c r="F26" s="392"/>
      <c r="G26" s="392"/>
      <c r="H26" s="392"/>
      <c r="I26" s="393"/>
      <c r="J26" s="153">
        <v>1</v>
      </c>
      <c r="K26" s="391" t="s">
        <v>8</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47" t="s">
        <v>83</v>
      </c>
      <c r="K30" s="421" t="s">
        <v>84</v>
      </c>
      <c r="L30" s="424"/>
      <c r="M30" s="44" t="s">
        <v>85</v>
      </c>
    </row>
    <row r="31" spans="1:13">
      <c r="A31" s="425"/>
      <c r="B31" s="426"/>
      <c r="C31" s="426"/>
      <c r="D31" s="426"/>
      <c r="E31" s="427"/>
      <c r="F31" s="428"/>
      <c r="G31" s="429"/>
      <c r="H31" s="430"/>
      <c r="I31" s="427"/>
      <c r="J31" s="72"/>
      <c r="K31" s="428"/>
      <c r="L31" s="429"/>
      <c r="M31" s="46"/>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0</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52" t="s">
        <v>79</v>
      </c>
      <c r="J37" s="147" t="s">
        <v>80</v>
      </c>
      <c r="K37" s="421" t="s">
        <v>89</v>
      </c>
      <c r="L37" s="424"/>
      <c r="M37" s="44" t="s">
        <v>85</v>
      </c>
    </row>
    <row r="38" spans="1:13">
      <c r="A38" s="425" t="s">
        <v>160</v>
      </c>
      <c r="B38" s="426"/>
      <c r="C38" s="426"/>
      <c r="D38" s="426"/>
      <c r="E38" s="426"/>
      <c r="F38" s="426"/>
      <c r="G38" s="426"/>
      <c r="H38" s="427"/>
      <c r="I38" s="73" t="s">
        <v>25</v>
      </c>
      <c r="J38" s="165">
        <v>8.0000000000000002E-3</v>
      </c>
      <c r="K38" s="456">
        <v>470040</v>
      </c>
      <c r="L38" s="457"/>
      <c r="M38" s="56">
        <f>K38*J38</f>
        <v>3760.32</v>
      </c>
    </row>
    <row r="39" spans="1:13">
      <c r="A39" s="425"/>
      <c r="B39" s="426"/>
      <c r="C39" s="426"/>
      <c r="D39" s="426"/>
      <c r="E39" s="426"/>
      <c r="F39" s="426"/>
      <c r="G39" s="426"/>
      <c r="H39" s="427"/>
      <c r="I39" s="73"/>
      <c r="J39" s="45"/>
      <c r="K39" s="456"/>
      <c r="L39" s="457"/>
      <c r="M39" s="56"/>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c r="A42" s="425"/>
      <c r="B42" s="426"/>
      <c r="C42" s="426"/>
      <c r="D42" s="426"/>
      <c r="E42" s="426"/>
      <c r="F42" s="426"/>
      <c r="G42" s="426"/>
      <c r="H42" s="427"/>
      <c r="I42" s="73"/>
      <c r="J42" s="45"/>
      <c r="K42" s="456"/>
      <c r="L42" s="457"/>
      <c r="M42" s="56"/>
    </row>
    <row r="43" spans="1:13">
      <c r="A43" s="425"/>
      <c r="B43" s="426"/>
      <c r="C43" s="426"/>
      <c r="D43" s="426"/>
      <c r="E43" s="426"/>
      <c r="F43" s="426"/>
      <c r="G43" s="426"/>
      <c r="H43" s="427"/>
      <c r="I43" s="73"/>
      <c r="J43" s="45"/>
      <c r="K43" s="456"/>
      <c r="L43" s="457"/>
      <c r="M43" s="56"/>
    </row>
    <row r="44" spans="1:13">
      <c r="A44" s="425"/>
      <c r="B44" s="426"/>
      <c r="C44" s="426"/>
      <c r="D44" s="426"/>
      <c r="E44" s="426"/>
      <c r="F44" s="426"/>
      <c r="G44" s="426"/>
      <c r="H44" s="427"/>
      <c r="I44" s="73"/>
      <c r="J44" s="45"/>
      <c r="K44" s="456"/>
      <c r="L44" s="457"/>
      <c r="M44" s="56"/>
    </row>
    <row r="45" spans="1:13">
      <c r="A45" s="425"/>
      <c r="B45" s="426"/>
      <c r="C45" s="426"/>
      <c r="D45" s="426"/>
      <c r="E45" s="426"/>
      <c r="F45" s="426"/>
      <c r="G45" s="426"/>
      <c r="H45" s="427"/>
      <c r="I45" s="73"/>
      <c r="J45" s="45"/>
      <c r="K45" s="456"/>
      <c r="L45" s="457"/>
      <c r="M45" s="56"/>
    </row>
    <row r="46" spans="1:13" ht="15.75" thickBot="1">
      <c r="A46" s="410"/>
      <c r="B46" s="411"/>
      <c r="C46" s="411"/>
      <c r="D46" s="411"/>
      <c r="E46" s="411"/>
      <c r="F46" s="411"/>
      <c r="G46" s="411"/>
      <c r="H46" s="412"/>
      <c r="I46" s="74"/>
      <c r="J46" s="57"/>
      <c r="K46" s="466"/>
      <c r="L46" s="467"/>
      <c r="M46" s="75"/>
    </row>
    <row r="47" spans="1:13" ht="15.75" thickBot="1">
      <c r="A47" s="416" t="s">
        <v>87</v>
      </c>
      <c r="B47" s="417"/>
      <c r="C47" s="417"/>
      <c r="D47" s="417"/>
      <c r="E47" s="417"/>
      <c r="F47" s="417"/>
      <c r="G47" s="417"/>
      <c r="H47" s="417"/>
      <c r="I47" s="417"/>
      <c r="J47" s="417"/>
      <c r="K47" s="417"/>
      <c r="L47" s="418"/>
      <c r="M47" s="58">
        <f>SUM(M38:M46)</f>
        <v>3760.32</v>
      </c>
    </row>
    <row r="48" spans="1:13">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147" t="s">
        <v>92</v>
      </c>
      <c r="I51" s="151" t="s">
        <v>93</v>
      </c>
      <c r="J51" s="60" t="s">
        <v>94</v>
      </c>
      <c r="K51" s="421" t="s">
        <v>95</v>
      </c>
      <c r="L51" s="424"/>
      <c r="M51" s="44" t="s">
        <v>85</v>
      </c>
    </row>
    <row r="52" spans="1:14">
      <c r="A52" s="425"/>
      <c r="B52" s="426"/>
      <c r="C52" s="426"/>
      <c r="D52" s="426"/>
      <c r="E52" s="426"/>
      <c r="F52" s="426"/>
      <c r="G52" s="426"/>
      <c r="H52" s="61"/>
      <c r="I52" s="55"/>
      <c r="J52" s="61"/>
      <c r="K52" s="428"/>
      <c r="L52" s="429"/>
      <c r="M52" s="62"/>
    </row>
    <row r="53" spans="1:14" ht="15.75" thickBot="1">
      <c r="A53" s="410"/>
      <c r="B53" s="411"/>
      <c r="C53" s="411"/>
      <c r="D53" s="411"/>
      <c r="E53" s="411"/>
      <c r="F53" s="411"/>
      <c r="G53" s="411"/>
      <c r="H53" s="47"/>
      <c r="I53" s="15"/>
      <c r="J53" s="47"/>
      <c r="K53" s="414"/>
      <c r="L53" s="415"/>
      <c r="M53" s="48"/>
    </row>
    <row r="54" spans="1:14" ht="15.75" thickBot="1">
      <c r="A54" s="416" t="s">
        <v>87</v>
      </c>
      <c r="B54" s="417"/>
      <c r="C54" s="417"/>
      <c r="D54" s="417"/>
      <c r="E54" s="417"/>
      <c r="F54" s="417"/>
      <c r="G54" s="417"/>
      <c r="H54" s="417"/>
      <c r="I54" s="417"/>
      <c r="J54" s="417"/>
      <c r="K54" s="417"/>
      <c r="L54" s="418"/>
      <c r="M54" s="63">
        <f>SUM(M52:M53)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147" t="s">
        <v>98</v>
      </c>
      <c r="I58" s="148" t="s">
        <v>99</v>
      </c>
      <c r="J58" s="148" t="s">
        <v>100</v>
      </c>
      <c r="K58" s="455" t="s">
        <v>84</v>
      </c>
      <c r="L58" s="455"/>
      <c r="M58" s="65" t="s">
        <v>85</v>
      </c>
    </row>
    <row r="59" spans="1:14">
      <c r="A59" s="471" t="s">
        <v>126</v>
      </c>
      <c r="B59" s="472"/>
      <c r="C59" s="472"/>
      <c r="D59" s="472"/>
      <c r="E59" s="472"/>
      <c r="F59" s="472"/>
      <c r="G59" s="472"/>
      <c r="H59" s="1">
        <v>111594.72727272725</v>
      </c>
      <c r="I59" s="2">
        <v>2.2000000000000002</v>
      </c>
      <c r="J59" s="66">
        <f>(I59*H59)</f>
        <v>245508.39999999997</v>
      </c>
      <c r="K59" s="473">
        <v>26.191249076980526</v>
      </c>
      <c r="L59" s="473"/>
      <c r="M59" s="56">
        <f>J59/K59</f>
        <v>9373.6804716113038</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9373.6804716113038</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ROUND(M62+M54+M47+M33,0)</f>
        <v>13134</v>
      </c>
      <c r="N64" s="155"/>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149"/>
      <c r="I68" s="150"/>
      <c r="J68" s="81" t="s">
        <v>104</v>
      </c>
      <c r="K68" s="440" t="s">
        <v>105</v>
      </c>
      <c r="L68" s="441"/>
      <c r="M68" s="82"/>
    </row>
    <row r="69" spans="1:13">
      <c r="A69" s="442" t="s">
        <v>106</v>
      </c>
      <c r="B69" s="443"/>
      <c r="C69" s="443"/>
      <c r="D69" s="443"/>
      <c r="E69" s="443"/>
      <c r="F69" s="443"/>
      <c r="G69" s="443"/>
      <c r="H69" s="83"/>
      <c r="I69" s="84"/>
      <c r="J69" s="85">
        <v>0.19</v>
      </c>
      <c r="K69" s="444">
        <f>M64*J69</f>
        <v>2495.46</v>
      </c>
      <c r="L69" s="444"/>
      <c r="M69" s="86"/>
    </row>
    <row r="70" spans="1:13">
      <c r="A70" s="447" t="s">
        <v>107</v>
      </c>
      <c r="B70" s="448"/>
      <c r="C70" s="448"/>
      <c r="D70" s="448"/>
      <c r="E70" s="448"/>
      <c r="F70" s="448"/>
      <c r="G70" s="449"/>
      <c r="H70" s="77"/>
      <c r="I70" s="78"/>
      <c r="J70" s="5">
        <v>0.01</v>
      </c>
      <c r="K70" s="445">
        <f>M64*J70</f>
        <v>131.34</v>
      </c>
      <c r="L70" s="445"/>
      <c r="M70" s="6"/>
    </row>
    <row r="71" spans="1:13">
      <c r="A71" s="447" t="s">
        <v>108</v>
      </c>
      <c r="B71" s="448"/>
      <c r="C71" s="448"/>
      <c r="D71" s="448"/>
      <c r="E71" s="448"/>
      <c r="F71" s="448"/>
      <c r="G71" s="449"/>
      <c r="H71" s="77"/>
      <c r="I71" s="78"/>
      <c r="J71" s="5">
        <v>0.05</v>
      </c>
      <c r="K71" s="445">
        <f>M64*J71</f>
        <v>656.7</v>
      </c>
      <c r="L71" s="445"/>
      <c r="M71" s="6"/>
    </row>
    <row r="72" spans="1:13" ht="15.75" thickBot="1">
      <c r="A72" s="450" t="s">
        <v>117</v>
      </c>
      <c r="B72" s="451"/>
      <c r="C72" s="451"/>
      <c r="D72" s="451"/>
      <c r="E72" s="451"/>
      <c r="F72" s="451"/>
      <c r="G72" s="452"/>
      <c r="H72" s="87"/>
      <c r="I72" s="88"/>
      <c r="J72" s="89">
        <v>0.19</v>
      </c>
      <c r="K72" s="446">
        <f>K71*J72</f>
        <v>124.77300000000001</v>
      </c>
      <c r="L72" s="446"/>
      <c r="M72" s="90"/>
    </row>
    <row r="73" spans="1:13" ht="15.75" thickBot="1">
      <c r="A73" s="435" t="s">
        <v>87</v>
      </c>
      <c r="B73" s="436"/>
      <c r="C73" s="436"/>
      <c r="D73" s="436"/>
      <c r="E73" s="436"/>
      <c r="F73" s="436"/>
      <c r="G73" s="436"/>
      <c r="H73" s="436"/>
      <c r="I73" s="436"/>
      <c r="J73" s="436"/>
      <c r="K73" s="436"/>
      <c r="L73" s="437"/>
      <c r="M73" s="76">
        <f>SUM(K69:L72)</f>
        <v>3408.2730000000001</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16542</v>
      </c>
    </row>
  </sheetData>
  <mergeCells count="83">
    <mergeCell ref="A72:G72"/>
    <mergeCell ref="K72:L72"/>
    <mergeCell ref="A73:L73"/>
    <mergeCell ref="A75:L75"/>
    <mergeCell ref="A69:G69"/>
    <mergeCell ref="K69:L69"/>
    <mergeCell ref="A70:G70"/>
    <mergeCell ref="K70:L70"/>
    <mergeCell ref="A71:G71"/>
    <mergeCell ref="K71:L71"/>
    <mergeCell ref="A61:G61"/>
    <mergeCell ref="K61:L61"/>
    <mergeCell ref="A62:L62"/>
    <mergeCell ref="A64:L64"/>
    <mergeCell ref="A68:G68"/>
    <mergeCell ref="K68:L68"/>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44:H44"/>
    <mergeCell ref="K44:L44"/>
    <mergeCell ref="A45:H45"/>
    <mergeCell ref="K45:L45"/>
    <mergeCell ref="A46:H46"/>
    <mergeCell ref="K46:L46"/>
    <mergeCell ref="A41:H41"/>
    <mergeCell ref="K41:L41"/>
    <mergeCell ref="A42:H42"/>
    <mergeCell ref="K42:L42"/>
    <mergeCell ref="A43:H43"/>
    <mergeCell ref="K43:L43"/>
    <mergeCell ref="A38:H38"/>
    <mergeCell ref="K38:L38"/>
    <mergeCell ref="A39:H39"/>
    <mergeCell ref="K39:L39"/>
    <mergeCell ref="A40:H40"/>
    <mergeCell ref="K40:L40"/>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21:B21"/>
    <mergeCell ref="A23:M23"/>
    <mergeCell ref="B25:I25"/>
    <mergeCell ref="K25:L25"/>
    <mergeCell ref="B26:I26"/>
    <mergeCell ref="K26:L26"/>
    <mergeCell ref="A20:B20"/>
    <mergeCell ref="C20:M20"/>
    <mergeCell ref="A1:C7"/>
    <mergeCell ref="D1:J3"/>
    <mergeCell ref="K1:M7"/>
    <mergeCell ref="D4:J7"/>
    <mergeCell ref="A9:B9"/>
    <mergeCell ref="C9:H9"/>
    <mergeCell ref="K9:M9"/>
    <mergeCell ref="C12:F12"/>
    <mergeCell ref="H12:I12"/>
    <mergeCell ref="C13:M14"/>
    <mergeCell ref="C16:M16"/>
    <mergeCell ref="C18:M18"/>
  </mergeCells>
  <pageMargins left="0.7" right="0.7" top="0.75" bottom="0.75" header="0.3" footer="0.3"/>
  <pageSetup scale="57"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view="pageBreakPreview" topLeftCell="A52" zoomScale="80" zoomScaleNormal="100" zoomScaleSheetLayoutView="80" workbookViewId="0">
      <selection activeCell="M64" sqref="M64"/>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45"/>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46"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46"/>
      <c r="D17" s="146"/>
      <c r="E17" s="146"/>
      <c r="F17" s="146"/>
      <c r="G17" s="146"/>
      <c r="H17" s="146"/>
      <c r="I17" s="146"/>
      <c r="J17" s="146"/>
      <c r="K17" s="146"/>
      <c r="L17" s="146"/>
      <c r="M17" s="13"/>
    </row>
    <row r="18" spans="1:13">
      <c r="A18" s="25" t="s">
        <v>74</v>
      </c>
      <c r="B18" s="26"/>
      <c r="C18" s="379"/>
      <c r="D18" s="379"/>
      <c r="E18" s="379"/>
      <c r="F18" s="379"/>
      <c r="G18" s="379"/>
      <c r="H18" s="379"/>
      <c r="I18" s="379"/>
      <c r="J18" s="379"/>
      <c r="K18" s="379"/>
      <c r="L18" s="379"/>
      <c r="M18" s="380"/>
    </row>
    <row r="19" spans="1:13">
      <c r="A19" s="25"/>
      <c r="B19" s="26"/>
      <c r="C19" s="146"/>
      <c r="D19" s="146"/>
      <c r="E19" s="146"/>
      <c r="F19" s="146"/>
      <c r="G19" s="146"/>
      <c r="H19" s="146"/>
      <c r="I19" s="146"/>
      <c r="J19" s="146"/>
      <c r="K19" s="146"/>
      <c r="L19" s="146"/>
      <c r="M19" s="13"/>
    </row>
    <row r="20" spans="1:13" ht="31.5" customHeight="1">
      <c r="A20" s="464" t="s">
        <v>113</v>
      </c>
      <c r="B20" s="465"/>
      <c r="C20" s="379"/>
      <c r="D20" s="379"/>
      <c r="E20" s="379"/>
      <c r="F20" s="379"/>
      <c r="G20" s="379"/>
      <c r="H20" s="379"/>
      <c r="I20" s="379"/>
      <c r="J20" s="379"/>
      <c r="K20" s="379"/>
      <c r="L20" s="379"/>
      <c r="M20" s="380"/>
    </row>
    <row r="21" spans="1:13">
      <c r="A21" s="400"/>
      <c r="B21" s="401"/>
      <c r="C21" s="146"/>
      <c r="D21" s="146"/>
      <c r="E21" s="146"/>
      <c r="F21" s="146"/>
      <c r="G21" s="146"/>
      <c r="H21" s="146"/>
      <c r="I21" s="146"/>
      <c r="J21" s="146"/>
      <c r="K21" s="146"/>
      <c r="L21" s="146"/>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54" t="s">
        <v>78</v>
      </c>
      <c r="K25" s="408" t="s">
        <v>79</v>
      </c>
      <c r="L25" s="409"/>
      <c r="M25" s="31" t="s">
        <v>80</v>
      </c>
    </row>
    <row r="26" spans="1:13" ht="15.75" thickBot="1">
      <c r="A26" s="33"/>
      <c r="B26" s="391" t="s">
        <v>162</v>
      </c>
      <c r="C26" s="392"/>
      <c r="D26" s="392"/>
      <c r="E26" s="392"/>
      <c r="F26" s="392"/>
      <c r="G26" s="392"/>
      <c r="H26" s="392"/>
      <c r="I26" s="393"/>
      <c r="J26" s="153">
        <v>1</v>
      </c>
      <c r="K26" s="391" t="s">
        <v>8</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47" t="s">
        <v>83</v>
      </c>
      <c r="K30" s="421" t="s">
        <v>84</v>
      </c>
      <c r="L30" s="424"/>
      <c r="M30" s="44" t="s">
        <v>85</v>
      </c>
    </row>
    <row r="31" spans="1:13">
      <c r="A31" s="425"/>
      <c r="B31" s="426"/>
      <c r="C31" s="426"/>
      <c r="D31" s="426"/>
      <c r="E31" s="427"/>
      <c r="F31" s="428"/>
      <c r="G31" s="429"/>
      <c r="H31" s="430"/>
      <c r="I31" s="427"/>
      <c r="J31" s="72"/>
      <c r="K31" s="428"/>
      <c r="L31" s="429"/>
      <c r="M31" s="46"/>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0</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52" t="s">
        <v>79</v>
      </c>
      <c r="J37" s="147" t="s">
        <v>80</v>
      </c>
      <c r="K37" s="421" t="s">
        <v>89</v>
      </c>
      <c r="L37" s="424"/>
      <c r="M37" s="44" t="s">
        <v>85</v>
      </c>
    </row>
    <row r="38" spans="1:13">
      <c r="A38" s="484" t="s">
        <v>129</v>
      </c>
      <c r="B38" s="485"/>
      <c r="C38" s="485"/>
      <c r="D38" s="485"/>
      <c r="E38" s="485"/>
      <c r="F38" s="485"/>
      <c r="G38" s="485"/>
      <c r="H38" s="486"/>
      <c r="I38" s="73" t="s">
        <v>127</v>
      </c>
      <c r="J38" s="92">
        <v>1.5</v>
      </c>
      <c r="K38" s="487">
        <v>58</v>
      </c>
      <c r="L38" s="488"/>
      <c r="M38" s="56">
        <f>K38*J38</f>
        <v>87</v>
      </c>
    </row>
    <row r="39" spans="1:13">
      <c r="A39" s="484" t="s">
        <v>130</v>
      </c>
      <c r="B39" s="485"/>
      <c r="C39" s="485"/>
      <c r="D39" s="485"/>
      <c r="E39" s="485"/>
      <c r="F39" s="485"/>
      <c r="G39" s="485"/>
      <c r="H39" s="486"/>
      <c r="I39" s="99" t="s">
        <v>10</v>
      </c>
      <c r="J39" s="93">
        <v>0.01</v>
      </c>
      <c r="K39" s="487">
        <v>49807</v>
      </c>
      <c r="L39" s="488"/>
      <c r="M39" s="56">
        <f>K39*J39</f>
        <v>498.07</v>
      </c>
    </row>
    <row r="40" spans="1:13">
      <c r="A40" s="484" t="s">
        <v>128</v>
      </c>
      <c r="B40" s="485"/>
      <c r="C40" s="485"/>
      <c r="D40" s="485"/>
      <c r="E40" s="485"/>
      <c r="F40" s="485"/>
      <c r="G40" s="485"/>
      <c r="H40" s="486"/>
      <c r="I40" s="73" t="s">
        <v>25</v>
      </c>
      <c r="J40" s="93">
        <v>1.5</v>
      </c>
      <c r="K40" s="487">
        <v>690</v>
      </c>
      <c r="L40" s="488"/>
      <c r="M40" s="56">
        <f>K40*J40</f>
        <v>1035</v>
      </c>
    </row>
    <row r="41" spans="1:13">
      <c r="A41" s="425"/>
      <c r="B41" s="426"/>
      <c r="C41" s="426"/>
      <c r="D41" s="426"/>
      <c r="E41" s="426"/>
      <c r="F41" s="426"/>
      <c r="G41" s="426"/>
      <c r="H41" s="427"/>
      <c r="I41" s="73"/>
      <c r="J41" s="45"/>
      <c r="K41" s="456"/>
      <c r="L41" s="457"/>
      <c r="M41" s="56"/>
    </row>
    <row r="42" spans="1:13">
      <c r="A42" s="425"/>
      <c r="B42" s="426"/>
      <c r="C42" s="426"/>
      <c r="D42" s="426"/>
      <c r="E42" s="426"/>
      <c r="F42" s="426"/>
      <c r="G42" s="426"/>
      <c r="H42" s="427"/>
      <c r="I42" s="73"/>
      <c r="J42" s="45"/>
      <c r="K42" s="456"/>
      <c r="L42" s="457"/>
      <c r="M42" s="56"/>
    </row>
    <row r="43" spans="1:13">
      <c r="A43" s="425"/>
      <c r="B43" s="426"/>
      <c r="C43" s="426"/>
      <c r="D43" s="426"/>
      <c r="E43" s="426"/>
      <c r="F43" s="426"/>
      <c r="G43" s="426"/>
      <c r="H43" s="427"/>
      <c r="I43" s="73"/>
      <c r="J43" s="45"/>
      <c r="K43" s="456"/>
      <c r="L43" s="457"/>
      <c r="M43" s="56"/>
    </row>
    <row r="44" spans="1:13">
      <c r="A44" s="425"/>
      <c r="B44" s="426"/>
      <c r="C44" s="426"/>
      <c r="D44" s="426"/>
      <c r="E44" s="426"/>
      <c r="F44" s="426"/>
      <c r="G44" s="426"/>
      <c r="H44" s="427"/>
      <c r="I44" s="73"/>
      <c r="J44" s="45"/>
      <c r="K44" s="456"/>
      <c r="L44" s="457"/>
      <c r="M44" s="56"/>
    </row>
    <row r="45" spans="1:13">
      <c r="A45" s="425"/>
      <c r="B45" s="426"/>
      <c r="C45" s="426"/>
      <c r="D45" s="426"/>
      <c r="E45" s="426"/>
      <c r="F45" s="426"/>
      <c r="G45" s="426"/>
      <c r="H45" s="427"/>
      <c r="I45" s="73"/>
      <c r="J45" s="45"/>
      <c r="K45" s="456"/>
      <c r="L45" s="457"/>
      <c r="M45" s="56"/>
    </row>
    <row r="46" spans="1:13" ht="15.75" thickBot="1">
      <c r="A46" s="410"/>
      <c r="B46" s="411"/>
      <c r="C46" s="411"/>
      <c r="D46" s="411"/>
      <c r="E46" s="411"/>
      <c r="F46" s="411"/>
      <c r="G46" s="411"/>
      <c r="H46" s="412"/>
      <c r="I46" s="74"/>
      <c r="J46" s="57"/>
      <c r="K46" s="466"/>
      <c r="L46" s="467"/>
      <c r="M46" s="75"/>
    </row>
    <row r="47" spans="1:13" ht="15.75" thickBot="1">
      <c r="A47" s="416" t="s">
        <v>87</v>
      </c>
      <c r="B47" s="417"/>
      <c r="C47" s="417"/>
      <c r="D47" s="417"/>
      <c r="E47" s="417"/>
      <c r="F47" s="417"/>
      <c r="G47" s="417"/>
      <c r="H47" s="417"/>
      <c r="I47" s="417"/>
      <c r="J47" s="417"/>
      <c r="K47" s="417"/>
      <c r="L47" s="418"/>
      <c r="M47" s="58">
        <f>SUM(M38:M46)</f>
        <v>1620.07</v>
      </c>
    </row>
    <row r="48" spans="1:13">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147" t="s">
        <v>92</v>
      </c>
      <c r="I51" s="151" t="s">
        <v>93</v>
      </c>
      <c r="J51" s="60" t="s">
        <v>94</v>
      </c>
      <c r="K51" s="421" t="s">
        <v>95</v>
      </c>
      <c r="L51" s="424"/>
      <c r="M51" s="44" t="s">
        <v>85</v>
      </c>
    </row>
    <row r="52" spans="1:14">
      <c r="A52" s="425"/>
      <c r="B52" s="426"/>
      <c r="C52" s="426"/>
      <c r="D52" s="426"/>
      <c r="E52" s="426"/>
      <c r="F52" s="426"/>
      <c r="G52" s="426"/>
      <c r="H52" s="61"/>
      <c r="I52" s="55"/>
      <c r="J52" s="61"/>
      <c r="K52" s="428"/>
      <c r="L52" s="429"/>
      <c r="M52" s="62"/>
    </row>
    <row r="53" spans="1:14" ht="15.75" thickBot="1">
      <c r="A53" s="410"/>
      <c r="B53" s="411"/>
      <c r="C53" s="411"/>
      <c r="D53" s="411"/>
      <c r="E53" s="411"/>
      <c r="F53" s="411"/>
      <c r="G53" s="411"/>
      <c r="H53" s="47"/>
      <c r="I53" s="15"/>
      <c r="J53" s="47"/>
      <c r="K53" s="414"/>
      <c r="L53" s="415"/>
      <c r="M53" s="48"/>
    </row>
    <row r="54" spans="1:14" ht="15.75" thickBot="1">
      <c r="A54" s="416" t="s">
        <v>87</v>
      </c>
      <c r="B54" s="417"/>
      <c r="C54" s="417"/>
      <c r="D54" s="417"/>
      <c r="E54" s="417"/>
      <c r="F54" s="417"/>
      <c r="G54" s="417"/>
      <c r="H54" s="417"/>
      <c r="I54" s="417"/>
      <c r="J54" s="417"/>
      <c r="K54" s="417"/>
      <c r="L54" s="418"/>
      <c r="M54" s="63">
        <f>SUM(M52:M53)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147" t="s">
        <v>98</v>
      </c>
      <c r="I58" s="148" t="s">
        <v>99</v>
      </c>
      <c r="J58" s="148" t="s">
        <v>100</v>
      </c>
      <c r="K58" s="455" t="s">
        <v>84</v>
      </c>
      <c r="L58" s="455"/>
      <c r="M58" s="65" t="s">
        <v>85</v>
      </c>
    </row>
    <row r="59" spans="1:14">
      <c r="A59" s="471" t="s">
        <v>126</v>
      </c>
      <c r="B59" s="472"/>
      <c r="C59" s="472"/>
      <c r="D59" s="472"/>
      <c r="E59" s="472"/>
      <c r="F59" s="472"/>
      <c r="G59" s="472"/>
      <c r="H59" s="1">
        <v>111594.72727272725</v>
      </c>
      <c r="I59" s="2">
        <v>2.2000000000000002</v>
      </c>
      <c r="J59" s="66">
        <f>(I59*H59)</f>
        <v>245508.39999999997</v>
      </c>
      <c r="K59" s="473">
        <v>36.078019641481497</v>
      </c>
      <c r="L59" s="473"/>
      <c r="M59" s="56">
        <f>J59/K59</f>
        <v>6804.9300499221772</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6804.9300499221772</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ROUND(M62+M54+M47+M33,0)</f>
        <v>8425</v>
      </c>
      <c r="N64" s="155"/>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149"/>
      <c r="I68" s="150"/>
      <c r="J68" s="81" t="s">
        <v>104</v>
      </c>
      <c r="K68" s="440" t="s">
        <v>105</v>
      </c>
      <c r="L68" s="441"/>
      <c r="M68" s="82"/>
    </row>
    <row r="69" spans="1:13">
      <c r="A69" s="442" t="s">
        <v>106</v>
      </c>
      <c r="B69" s="443"/>
      <c r="C69" s="443"/>
      <c r="D69" s="443"/>
      <c r="E69" s="443"/>
      <c r="F69" s="443"/>
      <c r="G69" s="443"/>
      <c r="H69" s="83"/>
      <c r="I69" s="84"/>
      <c r="J69" s="85">
        <v>0.19</v>
      </c>
      <c r="K69" s="444">
        <f>M64*J69</f>
        <v>1600.75</v>
      </c>
      <c r="L69" s="444"/>
      <c r="M69" s="86"/>
    </row>
    <row r="70" spans="1:13">
      <c r="A70" s="447" t="s">
        <v>107</v>
      </c>
      <c r="B70" s="448"/>
      <c r="C70" s="448"/>
      <c r="D70" s="448"/>
      <c r="E70" s="448"/>
      <c r="F70" s="448"/>
      <c r="G70" s="449"/>
      <c r="H70" s="77"/>
      <c r="I70" s="78"/>
      <c r="J70" s="5">
        <v>0.01</v>
      </c>
      <c r="K70" s="445">
        <f>M64*J70</f>
        <v>84.25</v>
      </c>
      <c r="L70" s="445"/>
      <c r="M70" s="6"/>
    </row>
    <row r="71" spans="1:13">
      <c r="A71" s="447" t="s">
        <v>108</v>
      </c>
      <c r="B71" s="448"/>
      <c r="C71" s="448"/>
      <c r="D71" s="448"/>
      <c r="E71" s="448"/>
      <c r="F71" s="448"/>
      <c r="G71" s="449"/>
      <c r="H71" s="77"/>
      <c r="I71" s="78"/>
      <c r="J71" s="5">
        <v>0.05</v>
      </c>
      <c r="K71" s="445">
        <f>M64*J71</f>
        <v>421.25</v>
      </c>
      <c r="L71" s="445"/>
      <c r="M71" s="6"/>
    </row>
    <row r="72" spans="1:13" ht="15.75" thickBot="1">
      <c r="A72" s="450" t="s">
        <v>117</v>
      </c>
      <c r="B72" s="451"/>
      <c r="C72" s="451"/>
      <c r="D72" s="451"/>
      <c r="E72" s="451"/>
      <c r="F72" s="451"/>
      <c r="G72" s="452"/>
      <c r="H72" s="87"/>
      <c r="I72" s="88"/>
      <c r="J72" s="89">
        <v>0.19</v>
      </c>
      <c r="K72" s="446">
        <f>K71*J72</f>
        <v>80.037499999999994</v>
      </c>
      <c r="L72" s="446"/>
      <c r="M72" s="90"/>
    </row>
    <row r="73" spans="1:13" ht="15.75" thickBot="1">
      <c r="A73" s="435" t="s">
        <v>87</v>
      </c>
      <c r="B73" s="436"/>
      <c r="C73" s="436"/>
      <c r="D73" s="436"/>
      <c r="E73" s="436"/>
      <c r="F73" s="436"/>
      <c r="G73" s="436"/>
      <c r="H73" s="436"/>
      <c r="I73" s="436"/>
      <c r="J73" s="436"/>
      <c r="K73" s="436"/>
      <c r="L73" s="437"/>
      <c r="M73" s="76">
        <f>SUM(K69:L72)</f>
        <v>2186.2874999999999</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10611</v>
      </c>
    </row>
  </sheetData>
  <mergeCells count="83">
    <mergeCell ref="A72:G72"/>
    <mergeCell ref="K72:L72"/>
    <mergeCell ref="A73:L73"/>
    <mergeCell ref="A75:L75"/>
    <mergeCell ref="A69:G69"/>
    <mergeCell ref="K69:L69"/>
    <mergeCell ref="A70:G70"/>
    <mergeCell ref="K70:L70"/>
    <mergeCell ref="A71:G71"/>
    <mergeCell ref="K71:L71"/>
    <mergeCell ref="A61:G61"/>
    <mergeCell ref="K61:L61"/>
    <mergeCell ref="A62:L62"/>
    <mergeCell ref="A64:L64"/>
    <mergeCell ref="A68:G68"/>
    <mergeCell ref="K68:L68"/>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44:H44"/>
    <mergeCell ref="K44:L44"/>
    <mergeCell ref="A45:H45"/>
    <mergeCell ref="K45:L45"/>
    <mergeCell ref="A46:H46"/>
    <mergeCell ref="K46:L46"/>
    <mergeCell ref="A41:H41"/>
    <mergeCell ref="K41:L41"/>
    <mergeCell ref="A42:H42"/>
    <mergeCell ref="K42:L42"/>
    <mergeCell ref="A43:H43"/>
    <mergeCell ref="K43:L43"/>
    <mergeCell ref="A38:H38"/>
    <mergeCell ref="K38:L38"/>
    <mergeCell ref="A39:H39"/>
    <mergeCell ref="K39:L39"/>
    <mergeCell ref="A40:H40"/>
    <mergeCell ref="K40:L40"/>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21:B21"/>
    <mergeCell ref="A23:M23"/>
    <mergeCell ref="B25:I25"/>
    <mergeCell ref="K25:L25"/>
    <mergeCell ref="B26:I26"/>
    <mergeCell ref="K26:L26"/>
    <mergeCell ref="A20:B20"/>
    <mergeCell ref="C20:M20"/>
    <mergeCell ref="A1:C7"/>
    <mergeCell ref="D1:J3"/>
    <mergeCell ref="K1:M7"/>
    <mergeCell ref="D4:J7"/>
    <mergeCell ref="A9:B9"/>
    <mergeCell ref="C9:H9"/>
    <mergeCell ref="K9:M9"/>
    <mergeCell ref="C12:F12"/>
    <mergeCell ref="H12:I12"/>
    <mergeCell ref="C13:M14"/>
    <mergeCell ref="C16:M16"/>
    <mergeCell ref="C18:M18"/>
  </mergeCells>
  <pageMargins left="0.7" right="0.7" top="0.75" bottom="0.75" header="0.3" footer="0.3"/>
  <pageSetup scale="57"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1"/>
  <sheetViews>
    <sheetView view="pageBreakPreview" topLeftCell="A46" zoomScale="80" zoomScaleNormal="100" zoomScaleSheetLayoutView="80" workbookViewId="0">
      <selection activeCell="M61" sqref="M61"/>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45"/>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46"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46"/>
      <c r="D17" s="146"/>
      <c r="E17" s="146"/>
      <c r="F17" s="146"/>
      <c r="G17" s="146"/>
      <c r="H17" s="146"/>
      <c r="I17" s="146"/>
      <c r="J17" s="146"/>
      <c r="K17" s="146"/>
      <c r="L17" s="146"/>
      <c r="M17" s="13"/>
    </row>
    <row r="18" spans="1:13">
      <c r="A18" s="25" t="s">
        <v>74</v>
      </c>
      <c r="B18" s="26"/>
      <c r="C18" s="379"/>
      <c r="D18" s="379"/>
      <c r="E18" s="379"/>
      <c r="F18" s="379"/>
      <c r="G18" s="379"/>
      <c r="H18" s="379"/>
      <c r="I18" s="379"/>
      <c r="J18" s="379"/>
      <c r="K18" s="379"/>
      <c r="L18" s="379"/>
      <c r="M18" s="380"/>
    </row>
    <row r="19" spans="1:13">
      <c r="A19" s="25"/>
      <c r="B19" s="26"/>
      <c r="C19" s="146"/>
      <c r="D19" s="146"/>
      <c r="E19" s="146"/>
      <c r="F19" s="146"/>
      <c r="G19" s="146"/>
      <c r="H19" s="146"/>
      <c r="I19" s="146"/>
      <c r="J19" s="146"/>
      <c r="K19" s="146"/>
      <c r="L19" s="146"/>
      <c r="M19" s="13"/>
    </row>
    <row r="20" spans="1:13" ht="31.5" customHeight="1">
      <c r="A20" s="464" t="s">
        <v>113</v>
      </c>
      <c r="B20" s="465"/>
      <c r="C20" s="379"/>
      <c r="D20" s="379"/>
      <c r="E20" s="379"/>
      <c r="F20" s="379"/>
      <c r="G20" s="379"/>
      <c r="H20" s="379"/>
      <c r="I20" s="379"/>
      <c r="J20" s="379"/>
      <c r="K20" s="379"/>
      <c r="L20" s="379"/>
      <c r="M20" s="380"/>
    </row>
    <row r="21" spans="1:13">
      <c r="A21" s="400"/>
      <c r="B21" s="401"/>
      <c r="C21" s="146"/>
      <c r="D21" s="146"/>
      <c r="E21" s="146"/>
      <c r="F21" s="146"/>
      <c r="G21" s="146"/>
      <c r="H21" s="146"/>
      <c r="I21" s="146"/>
      <c r="J21" s="146"/>
      <c r="K21" s="146"/>
      <c r="L21" s="146"/>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54" t="s">
        <v>78</v>
      </c>
      <c r="K25" s="408" t="s">
        <v>79</v>
      </c>
      <c r="L25" s="409"/>
      <c r="M25" s="31" t="s">
        <v>80</v>
      </c>
    </row>
    <row r="26" spans="1:13" ht="15.75" thickBot="1">
      <c r="A26" s="33"/>
      <c r="B26" s="391" t="s">
        <v>163</v>
      </c>
      <c r="C26" s="392"/>
      <c r="D26" s="392"/>
      <c r="E26" s="392"/>
      <c r="F26" s="392"/>
      <c r="G26" s="392"/>
      <c r="H26" s="392"/>
      <c r="I26" s="393"/>
      <c r="J26" s="153">
        <v>1</v>
      </c>
      <c r="K26" s="391" t="str">
        <f>'[1]NUEVO DISEÑO'!C16</f>
        <v>ML</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47" t="s">
        <v>83</v>
      </c>
      <c r="K30" s="421" t="s">
        <v>84</v>
      </c>
      <c r="L30" s="424"/>
      <c r="M30" s="44" t="s">
        <v>85</v>
      </c>
    </row>
    <row r="31" spans="1:13">
      <c r="A31" s="425"/>
      <c r="B31" s="426"/>
      <c r="C31" s="426"/>
      <c r="D31" s="426"/>
      <c r="E31" s="427"/>
      <c r="F31" s="428"/>
      <c r="G31" s="429"/>
      <c r="H31" s="430"/>
      <c r="I31" s="427"/>
      <c r="J31" s="72"/>
      <c r="K31" s="428"/>
      <c r="L31" s="429"/>
      <c r="M31" s="46"/>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0</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52" t="s">
        <v>79</v>
      </c>
      <c r="J37" s="147" t="s">
        <v>80</v>
      </c>
      <c r="K37" s="421" t="s">
        <v>89</v>
      </c>
      <c r="L37" s="424"/>
      <c r="M37" s="44" t="s">
        <v>85</v>
      </c>
    </row>
    <row r="38" spans="1:13">
      <c r="A38" s="425" t="s">
        <v>164</v>
      </c>
      <c r="B38" s="426"/>
      <c r="C38" s="426"/>
      <c r="D38" s="426"/>
      <c r="E38" s="426"/>
      <c r="F38" s="426"/>
      <c r="G38" s="426"/>
      <c r="H38" s="427"/>
      <c r="I38" s="73" t="s">
        <v>115</v>
      </c>
      <c r="J38" s="45">
        <v>6.35</v>
      </c>
      <c r="K38" s="456">
        <v>1706</v>
      </c>
      <c r="L38" s="457"/>
      <c r="M38" s="56">
        <f>K38*J38</f>
        <v>10833.099999999999</v>
      </c>
    </row>
    <row r="39" spans="1:13">
      <c r="A39" s="425" t="s">
        <v>160</v>
      </c>
      <c r="B39" s="426"/>
      <c r="C39" s="426"/>
      <c r="D39" s="426"/>
      <c r="E39" s="426"/>
      <c r="F39" s="426"/>
      <c r="G39" s="426"/>
      <c r="H39" s="427"/>
      <c r="I39" s="73" t="s">
        <v>10</v>
      </c>
      <c r="J39" s="45">
        <v>7.5002836638016698E-3</v>
      </c>
      <c r="K39" s="456">
        <v>470040</v>
      </c>
      <c r="L39" s="457"/>
      <c r="M39" s="56">
        <f>K39*J39</f>
        <v>3525.433333333337</v>
      </c>
    </row>
    <row r="40" spans="1:13">
      <c r="A40" s="425"/>
      <c r="B40" s="426"/>
      <c r="C40" s="426"/>
      <c r="D40" s="426"/>
      <c r="E40" s="426"/>
      <c r="F40" s="426"/>
      <c r="G40" s="426"/>
      <c r="H40" s="427"/>
      <c r="I40" s="73"/>
      <c r="J40" s="45"/>
      <c r="K40" s="456"/>
      <c r="L40" s="457"/>
      <c r="M40" s="56">
        <f>K40*J40</f>
        <v>0</v>
      </c>
    </row>
    <row r="41" spans="1:13">
      <c r="A41" s="425"/>
      <c r="B41" s="426"/>
      <c r="C41" s="426"/>
      <c r="D41" s="426"/>
      <c r="E41" s="426"/>
      <c r="F41" s="426"/>
      <c r="G41" s="426"/>
      <c r="H41" s="427"/>
      <c r="I41" s="73"/>
      <c r="J41" s="45"/>
      <c r="K41" s="456"/>
      <c r="L41" s="457"/>
      <c r="M41" s="56">
        <f>K41*J41</f>
        <v>0</v>
      </c>
    </row>
    <row r="42" spans="1:13" ht="15.75" thickBot="1">
      <c r="A42" s="410"/>
      <c r="B42" s="411"/>
      <c r="C42" s="411"/>
      <c r="D42" s="411"/>
      <c r="E42" s="411"/>
      <c r="F42" s="411"/>
      <c r="G42" s="411"/>
      <c r="H42" s="412"/>
      <c r="I42" s="74"/>
      <c r="J42" s="57"/>
      <c r="K42" s="466"/>
      <c r="L42" s="467"/>
      <c r="M42" s="75">
        <f>K42*J42</f>
        <v>0</v>
      </c>
    </row>
    <row r="43" spans="1:13" ht="15.75" thickBot="1">
      <c r="A43" s="416" t="s">
        <v>87</v>
      </c>
      <c r="B43" s="417"/>
      <c r="C43" s="417"/>
      <c r="D43" s="417"/>
      <c r="E43" s="417"/>
      <c r="F43" s="417"/>
      <c r="G43" s="417"/>
      <c r="H43" s="417"/>
      <c r="I43" s="417"/>
      <c r="J43" s="417"/>
      <c r="K43" s="417"/>
      <c r="L43" s="418"/>
      <c r="M43" s="58">
        <f>SUM(M38:M42)</f>
        <v>14358.533333333336</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147" t="s">
        <v>92</v>
      </c>
      <c r="I47" s="151" t="s">
        <v>93</v>
      </c>
      <c r="J47" s="60" t="s">
        <v>94</v>
      </c>
      <c r="K47" s="421" t="s">
        <v>95</v>
      </c>
      <c r="L47" s="424"/>
      <c r="M47" s="44" t="s">
        <v>85</v>
      </c>
    </row>
    <row r="48" spans="1:13">
      <c r="A48" s="425"/>
      <c r="B48" s="426"/>
      <c r="C48" s="426"/>
      <c r="D48" s="426"/>
      <c r="E48" s="426"/>
      <c r="F48" s="426"/>
      <c r="G48" s="426"/>
      <c r="H48" s="61"/>
      <c r="I48" s="55"/>
      <c r="J48" s="61"/>
      <c r="K48" s="428"/>
      <c r="L48" s="429"/>
      <c r="M48" s="62"/>
    </row>
    <row r="49" spans="1:14" ht="15.75" thickBot="1">
      <c r="A49" s="410"/>
      <c r="B49" s="411"/>
      <c r="C49" s="411"/>
      <c r="D49" s="411"/>
      <c r="E49" s="411"/>
      <c r="F49" s="411"/>
      <c r="G49" s="411"/>
      <c r="H49" s="47"/>
      <c r="I49" s="15"/>
      <c r="J49" s="47"/>
      <c r="K49" s="414"/>
      <c r="L49" s="415"/>
      <c r="M49" s="48"/>
    </row>
    <row r="50" spans="1:14" ht="15.75" thickBot="1">
      <c r="A50" s="416" t="s">
        <v>87</v>
      </c>
      <c r="B50" s="417"/>
      <c r="C50" s="417"/>
      <c r="D50" s="417"/>
      <c r="E50" s="417"/>
      <c r="F50" s="417"/>
      <c r="G50" s="417"/>
      <c r="H50" s="417"/>
      <c r="I50" s="417"/>
      <c r="J50" s="417"/>
      <c r="K50" s="417"/>
      <c r="L50" s="418"/>
      <c r="M50" s="63">
        <f>SUM(M48:M49)</f>
        <v>0</v>
      </c>
    </row>
    <row r="51" spans="1:14">
      <c r="A51" s="30"/>
      <c r="B51" s="19"/>
      <c r="C51" s="19"/>
      <c r="D51" s="19"/>
      <c r="E51" s="19"/>
      <c r="F51" s="19"/>
      <c r="G51" s="19"/>
      <c r="H51" s="19"/>
      <c r="I51" s="19"/>
      <c r="J51" s="19"/>
      <c r="K51" s="19"/>
      <c r="L51" s="19"/>
      <c r="M51" s="24"/>
    </row>
    <row r="52" spans="1:14">
      <c r="A52" s="51" t="s">
        <v>96</v>
      </c>
      <c r="B52" s="52"/>
      <c r="C52" s="52"/>
      <c r="D52" s="52"/>
      <c r="E52" s="52"/>
      <c r="F52" s="52"/>
      <c r="G52" s="52"/>
      <c r="H52" s="52"/>
      <c r="I52" s="52"/>
      <c r="J52" s="52"/>
      <c r="K52" s="52"/>
      <c r="L52" s="52"/>
      <c r="M52" s="53"/>
    </row>
    <row r="53" spans="1:14" ht="15.75" thickBot="1">
      <c r="A53" s="30"/>
      <c r="B53" s="19"/>
      <c r="C53" s="19"/>
      <c r="D53" s="19"/>
      <c r="E53" s="19"/>
      <c r="F53" s="19"/>
      <c r="G53" s="19"/>
      <c r="H53" s="19"/>
      <c r="I53" s="19"/>
      <c r="J53" s="19"/>
      <c r="K53" s="19"/>
      <c r="L53" s="19"/>
      <c r="M53" s="24"/>
    </row>
    <row r="54" spans="1:14" ht="26.25">
      <c r="A54" s="453" t="s">
        <v>97</v>
      </c>
      <c r="B54" s="454"/>
      <c r="C54" s="454"/>
      <c r="D54" s="454"/>
      <c r="E54" s="454"/>
      <c r="F54" s="454"/>
      <c r="G54" s="454"/>
      <c r="H54" s="147" t="s">
        <v>98</v>
      </c>
      <c r="I54" s="148" t="s">
        <v>99</v>
      </c>
      <c r="J54" s="148" t="s">
        <v>100</v>
      </c>
      <c r="K54" s="455" t="s">
        <v>84</v>
      </c>
      <c r="L54" s="455"/>
      <c r="M54" s="65" t="s">
        <v>85</v>
      </c>
    </row>
    <row r="55" spans="1:14">
      <c r="A55" s="471" t="s">
        <v>126</v>
      </c>
      <c r="B55" s="472"/>
      <c r="C55" s="472"/>
      <c r="D55" s="472"/>
      <c r="E55" s="472"/>
      <c r="F55" s="472"/>
      <c r="G55" s="472"/>
      <c r="H55" s="1">
        <v>112923.49999999999</v>
      </c>
      <c r="I55" s="2">
        <v>2.2000000000000002</v>
      </c>
      <c r="J55" s="66">
        <f>(I55*H55)</f>
        <v>248431.69999999998</v>
      </c>
      <c r="K55" s="483">
        <v>16.5</v>
      </c>
      <c r="L55" s="483"/>
      <c r="M55" s="56">
        <f>J55/K55</f>
        <v>15056.466666666665</v>
      </c>
    </row>
    <row r="56" spans="1:14">
      <c r="A56" s="471"/>
      <c r="B56" s="472"/>
      <c r="C56" s="472"/>
      <c r="D56" s="472"/>
      <c r="E56" s="472"/>
      <c r="F56" s="472"/>
      <c r="G56" s="472"/>
      <c r="H56" s="1"/>
      <c r="I56" s="2"/>
      <c r="J56" s="66"/>
      <c r="K56" s="473"/>
      <c r="L56" s="473"/>
      <c r="M56" s="56"/>
    </row>
    <row r="57" spans="1:14" ht="15.75" thickBot="1">
      <c r="A57" s="432"/>
      <c r="B57" s="433"/>
      <c r="C57" s="433"/>
      <c r="D57" s="433"/>
      <c r="E57" s="433"/>
      <c r="F57" s="433"/>
      <c r="G57" s="433"/>
      <c r="H57" s="3"/>
      <c r="I57" s="4"/>
      <c r="J57" s="67"/>
      <c r="K57" s="434"/>
      <c r="L57" s="434"/>
      <c r="M57" s="68"/>
    </row>
    <row r="58" spans="1:14" ht="15.75" thickBot="1">
      <c r="A58" s="435" t="s">
        <v>87</v>
      </c>
      <c r="B58" s="436"/>
      <c r="C58" s="436"/>
      <c r="D58" s="436"/>
      <c r="E58" s="436"/>
      <c r="F58" s="436"/>
      <c r="G58" s="436"/>
      <c r="H58" s="436"/>
      <c r="I58" s="436"/>
      <c r="J58" s="436"/>
      <c r="K58" s="436"/>
      <c r="L58" s="437"/>
      <c r="M58" s="69">
        <f>SUM(M55:M57)</f>
        <v>15056.466666666665</v>
      </c>
    </row>
    <row r="59" spans="1:14" ht="15.75" thickBot="1">
      <c r="A59" s="30"/>
      <c r="B59" s="19"/>
      <c r="C59" s="19"/>
      <c r="D59" s="19"/>
      <c r="E59" s="19"/>
      <c r="F59" s="19"/>
      <c r="G59" s="19"/>
      <c r="H59" s="19"/>
      <c r="I59" s="19"/>
      <c r="J59" s="19"/>
      <c r="K59" s="19"/>
      <c r="L59" s="19"/>
      <c r="M59" s="24"/>
    </row>
    <row r="60" spans="1:14" ht="15.75" thickBot="1">
      <c r="A60" s="416" t="s">
        <v>101</v>
      </c>
      <c r="B60" s="417"/>
      <c r="C60" s="417"/>
      <c r="D60" s="417"/>
      <c r="E60" s="417"/>
      <c r="F60" s="417"/>
      <c r="G60" s="417"/>
      <c r="H60" s="417"/>
      <c r="I60" s="417"/>
      <c r="J60" s="417"/>
      <c r="K60" s="417"/>
      <c r="L60" s="418"/>
      <c r="M60" s="70">
        <f>ROUND(M58+M50+M43+M33,0)</f>
        <v>29415</v>
      </c>
      <c r="N60">
        <v>29415</v>
      </c>
    </row>
    <row r="61" spans="1:14">
      <c r="A61" s="30"/>
      <c r="B61" s="19"/>
      <c r="C61" s="19"/>
      <c r="D61" s="19"/>
      <c r="E61" s="19"/>
      <c r="F61" s="19"/>
      <c r="G61" s="19"/>
      <c r="H61" s="19"/>
      <c r="I61" s="19"/>
      <c r="J61" s="19"/>
      <c r="K61" s="19"/>
      <c r="L61" s="19"/>
      <c r="M61" s="24"/>
    </row>
    <row r="62" spans="1:14">
      <c r="A62" s="51" t="s">
        <v>102</v>
      </c>
      <c r="B62" s="52"/>
      <c r="C62" s="52"/>
      <c r="D62" s="52"/>
      <c r="E62" s="52"/>
      <c r="F62" s="52"/>
      <c r="G62" s="52"/>
      <c r="H62" s="52"/>
      <c r="I62" s="52"/>
      <c r="J62" s="52"/>
      <c r="K62" s="52"/>
      <c r="L62" s="52"/>
      <c r="M62" s="53"/>
    </row>
    <row r="63" spans="1:14" ht="15.75" thickBot="1">
      <c r="A63" s="30"/>
      <c r="B63" s="19"/>
      <c r="C63" s="19"/>
      <c r="D63" s="19"/>
      <c r="E63" s="19"/>
      <c r="F63" s="19"/>
      <c r="G63" s="19"/>
      <c r="H63" s="19"/>
      <c r="I63" s="19"/>
      <c r="J63" s="19"/>
      <c r="K63" s="19"/>
      <c r="L63" s="19"/>
      <c r="M63" s="24"/>
    </row>
    <row r="64" spans="1:14" ht="15.75" thickBot="1">
      <c r="A64" s="438" t="s">
        <v>103</v>
      </c>
      <c r="B64" s="439"/>
      <c r="C64" s="439"/>
      <c r="D64" s="439"/>
      <c r="E64" s="439"/>
      <c r="F64" s="439"/>
      <c r="G64" s="439"/>
      <c r="H64" s="149"/>
      <c r="I64" s="150"/>
      <c r="J64" s="81" t="s">
        <v>104</v>
      </c>
      <c r="K64" s="440" t="s">
        <v>105</v>
      </c>
      <c r="L64" s="441"/>
      <c r="M64" s="82"/>
    </row>
    <row r="65" spans="1:13">
      <c r="A65" s="442" t="s">
        <v>106</v>
      </c>
      <c r="B65" s="443"/>
      <c r="C65" s="443"/>
      <c r="D65" s="443"/>
      <c r="E65" s="443"/>
      <c r="F65" s="443"/>
      <c r="G65" s="443"/>
      <c r="H65" s="83"/>
      <c r="I65" s="84"/>
      <c r="J65" s="85">
        <v>0.19</v>
      </c>
      <c r="K65" s="444">
        <f>M60*J65</f>
        <v>5588.85</v>
      </c>
      <c r="L65" s="444"/>
      <c r="M65" s="86"/>
    </row>
    <row r="66" spans="1:13">
      <c r="A66" s="447" t="s">
        <v>107</v>
      </c>
      <c r="B66" s="448"/>
      <c r="C66" s="448"/>
      <c r="D66" s="448"/>
      <c r="E66" s="448"/>
      <c r="F66" s="448"/>
      <c r="G66" s="449"/>
      <c r="H66" s="77"/>
      <c r="I66" s="78"/>
      <c r="J66" s="5">
        <v>0.01</v>
      </c>
      <c r="K66" s="445">
        <f>M60*J66</f>
        <v>294.15000000000003</v>
      </c>
      <c r="L66" s="445"/>
      <c r="M66" s="6"/>
    </row>
    <row r="67" spans="1:13">
      <c r="A67" s="447" t="s">
        <v>108</v>
      </c>
      <c r="B67" s="448"/>
      <c r="C67" s="448"/>
      <c r="D67" s="448"/>
      <c r="E67" s="448"/>
      <c r="F67" s="448"/>
      <c r="G67" s="449"/>
      <c r="H67" s="77"/>
      <c r="I67" s="78"/>
      <c r="J67" s="5">
        <v>0.05</v>
      </c>
      <c r="K67" s="445">
        <f>M60*J67</f>
        <v>1470.75</v>
      </c>
      <c r="L67" s="445"/>
      <c r="M67" s="6"/>
    </row>
    <row r="68" spans="1:13" ht="15.75" thickBot="1">
      <c r="A68" s="450" t="s">
        <v>117</v>
      </c>
      <c r="B68" s="451"/>
      <c r="C68" s="451"/>
      <c r="D68" s="451"/>
      <c r="E68" s="451"/>
      <c r="F68" s="451"/>
      <c r="G68" s="452"/>
      <c r="H68" s="87"/>
      <c r="I68" s="88"/>
      <c r="J68" s="89">
        <v>0.19</v>
      </c>
      <c r="K68" s="446">
        <f>K67*J68</f>
        <v>279.4425</v>
      </c>
      <c r="L68" s="446"/>
      <c r="M68" s="90"/>
    </row>
    <row r="69" spans="1:13" ht="15.75" thickBot="1">
      <c r="A69" s="435" t="s">
        <v>87</v>
      </c>
      <c r="B69" s="436"/>
      <c r="C69" s="436"/>
      <c r="D69" s="436"/>
      <c r="E69" s="436"/>
      <c r="F69" s="436"/>
      <c r="G69" s="436"/>
      <c r="H69" s="436"/>
      <c r="I69" s="436"/>
      <c r="J69" s="436"/>
      <c r="K69" s="436"/>
      <c r="L69" s="437"/>
      <c r="M69" s="76">
        <f>SUM(K65:L68)</f>
        <v>7633.1925000000001</v>
      </c>
    </row>
    <row r="70" spans="1:13" ht="15.75" thickBot="1">
      <c r="A70" s="30"/>
      <c r="B70" s="19"/>
      <c r="C70" s="19"/>
      <c r="D70" s="19"/>
      <c r="E70" s="19"/>
      <c r="F70" s="19"/>
      <c r="G70" s="19"/>
      <c r="H70" s="19"/>
      <c r="I70" s="19"/>
      <c r="J70" s="19"/>
      <c r="K70" s="19"/>
      <c r="L70" s="19"/>
      <c r="M70" s="24"/>
    </row>
    <row r="71" spans="1:13" ht="15.75" thickBot="1">
      <c r="A71" s="416" t="s">
        <v>109</v>
      </c>
      <c r="B71" s="417"/>
      <c r="C71" s="417"/>
      <c r="D71" s="417"/>
      <c r="E71" s="417"/>
      <c r="F71" s="417"/>
      <c r="G71" s="417"/>
      <c r="H71" s="417"/>
      <c r="I71" s="417"/>
      <c r="J71" s="417"/>
      <c r="K71" s="417"/>
      <c r="L71" s="418"/>
      <c r="M71" s="71">
        <f>ROUND(M60+M69,0)</f>
        <v>37048</v>
      </c>
    </row>
  </sheetData>
  <mergeCells count="75">
    <mergeCell ref="A69:L69"/>
    <mergeCell ref="A71:L71"/>
    <mergeCell ref="A66:G66"/>
    <mergeCell ref="K66:L66"/>
    <mergeCell ref="A67:G67"/>
    <mergeCell ref="K67:L67"/>
    <mergeCell ref="A68:G68"/>
    <mergeCell ref="K68:L68"/>
    <mergeCell ref="A58:L58"/>
    <mergeCell ref="A60:L60"/>
    <mergeCell ref="A64:G64"/>
    <mergeCell ref="K64:L64"/>
    <mergeCell ref="A65:G65"/>
    <mergeCell ref="K65:L65"/>
    <mergeCell ref="A55:G55"/>
    <mergeCell ref="K55:L55"/>
    <mergeCell ref="A56:G56"/>
    <mergeCell ref="K56:L56"/>
    <mergeCell ref="A57:G57"/>
    <mergeCell ref="K57:L57"/>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38:H38"/>
    <mergeCell ref="K38:L38"/>
    <mergeCell ref="A39:H39"/>
    <mergeCell ref="K39:L39"/>
    <mergeCell ref="A40:H40"/>
    <mergeCell ref="K40:L40"/>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21:B21"/>
    <mergeCell ref="A23:M23"/>
    <mergeCell ref="B25:I25"/>
    <mergeCell ref="K25:L25"/>
    <mergeCell ref="B26:I26"/>
    <mergeCell ref="K26:L26"/>
    <mergeCell ref="A20:B20"/>
    <mergeCell ref="C20:M20"/>
    <mergeCell ref="A1:C7"/>
    <mergeCell ref="D1:J3"/>
    <mergeCell ref="K1:M7"/>
    <mergeCell ref="D4:J7"/>
    <mergeCell ref="A9:B9"/>
    <mergeCell ref="C9:H9"/>
    <mergeCell ref="K9:M9"/>
    <mergeCell ref="C12:F12"/>
    <mergeCell ref="H12:I12"/>
    <mergeCell ref="C13:M14"/>
    <mergeCell ref="C16:M16"/>
    <mergeCell ref="C18:M18"/>
  </mergeCells>
  <pageMargins left="0.7" right="0.7" top="0.75" bottom="0.75" header="0.3" footer="0.3"/>
  <pageSetup scale="57"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1"/>
  <sheetViews>
    <sheetView view="pageBreakPreview" topLeftCell="A43" zoomScale="80" zoomScaleNormal="100" zoomScaleSheetLayoutView="80" workbookViewId="0">
      <selection activeCell="M61" sqref="M61"/>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45"/>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46"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46"/>
      <c r="D17" s="146"/>
      <c r="E17" s="146"/>
      <c r="F17" s="146"/>
      <c r="G17" s="146"/>
      <c r="H17" s="146"/>
      <c r="I17" s="146"/>
      <c r="J17" s="146"/>
      <c r="K17" s="146"/>
      <c r="L17" s="146"/>
      <c r="M17" s="13"/>
    </row>
    <row r="18" spans="1:13">
      <c r="A18" s="25" t="s">
        <v>74</v>
      </c>
      <c r="B18" s="26"/>
      <c r="C18" s="379"/>
      <c r="D18" s="379"/>
      <c r="E18" s="379"/>
      <c r="F18" s="379"/>
      <c r="G18" s="379"/>
      <c r="H18" s="379"/>
      <c r="I18" s="379"/>
      <c r="J18" s="379"/>
      <c r="K18" s="379"/>
      <c r="L18" s="379"/>
      <c r="M18" s="380"/>
    </row>
    <row r="19" spans="1:13">
      <c r="A19" s="25"/>
      <c r="B19" s="26"/>
      <c r="C19" s="146"/>
      <c r="D19" s="146"/>
      <c r="E19" s="146"/>
      <c r="F19" s="146"/>
      <c r="G19" s="146"/>
      <c r="H19" s="146"/>
      <c r="I19" s="146"/>
      <c r="J19" s="146"/>
      <c r="K19" s="146"/>
      <c r="L19" s="146"/>
      <c r="M19" s="13"/>
    </row>
    <row r="20" spans="1:13" ht="31.5" customHeight="1">
      <c r="A20" s="464" t="s">
        <v>113</v>
      </c>
      <c r="B20" s="465"/>
      <c r="C20" s="379"/>
      <c r="D20" s="379"/>
      <c r="E20" s="379"/>
      <c r="F20" s="379"/>
      <c r="G20" s="379"/>
      <c r="H20" s="379"/>
      <c r="I20" s="379"/>
      <c r="J20" s="379"/>
      <c r="K20" s="379"/>
      <c r="L20" s="379"/>
      <c r="M20" s="380"/>
    </row>
    <row r="21" spans="1:13">
      <c r="A21" s="400"/>
      <c r="B21" s="401"/>
      <c r="C21" s="146"/>
      <c r="D21" s="146"/>
      <c r="E21" s="146"/>
      <c r="F21" s="146"/>
      <c r="G21" s="146"/>
      <c r="H21" s="146"/>
      <c r="I21" s="146"/>
      <c r="J21" s="146"/>
      <c r="K21" s="146"/>
      <c r="L21" s="146"/>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54" t="s">
        <v>78</v>
      </c>
      <c r="K25" s="408" t="s">
        <v>79</v>
      </c>
      <c r="L25" s="409"/>
      <c r="M25" s="31" t="s">
        <v>80</v>
      </c>
    </row>
    <row r="26" spans="1:13" ht="15.75" thickBot="1">
      <c r="A26" s="33"/>
      <c r="B26" s="391" t="s">
        <v>165</v>
      </c>
      <c r="C26" s="392"/>
      <c r="D26" s="392"/>
      <c r="E26" s="392"/>
      <c r="F26" s="392"/>
      <c r="G26" s="392"/>
      <c r="H26" s="392"/>
      <c r="I26" s="393"/>
      <c r="J26" s="153">
        <v>1</v>
      </c>
      <c r="K26" s="391" t="s">
        <v>9</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47" t="s">
        <v>83</v>
      </c>
      <c r="K30" s="421" t="s">
        <v>84</v>
      </c>
      <c r="L30" s="424"/>
      <c r="M30" s="44" t="s">
        <v>85</v>
      </c>
    </row>
    <row r="31" spans="1:13">
      <c r="A31" s="425"/>
      <c r="B31" s="426"/>
      <c r="C31" s="426"/>
      <c r="D31" s="426"/>
      <c r="E31" s="427"/>
      <c r="F31" s="428"/>
      <c r="G31" s="429"/>
      <c r="H31" s="430"/>
      <c r="I31" s="427"/>
      <c r="J31" s="72"/>
      <c r="K31" s="428"/>
      <c r="L31" s="429"/>
      <c r="M31" s="46"/>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0</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52" t="s">
        <v>79</v>
      </c>
      <c r="J37" s="147" t="s">
        <v>80</v>
      </c>
      <c r="K37" s="421" t="s">
        <v>89</v>
      </c>
      <c r="L37" s="424"/>
      <c r="M37" s="44" t="s">
        <v>85</v>
      </c>
    </row>
    <row r="38" spans="1:13">
      <c r="A38" s="425" t="s">
        <v>164</v>
      </c>
      <c r="B38" s="426"/>
      <c r="C38" s="426"/>
      <c r="D38" s="426"/>
      <c r="E38" s="426"/>
      <c r="F38" s="426"/>
      <c r="G38" s="426"/>
      <c r="H38" s="427"/>
      <c r="I38" s="73" t="s">
        <v>115</v>
      </c>
      <c r="J38" s="45">
        <v>12.7</v>
      </c>
      <c r="K38" s="456">
        <v>1706</v>
      </c>
      <c r="L38" s="457"/>
      <c r="M38" s="56">
        <f>K38*J38</f>
        <v>21666.199999999997</v>
      </c>
    </row>
    <row r="39" spans="1:13">
      <c r="A39" s="425" t="s">
        <v>160</v>
      </c>
      <c r="B39" s="426"/>
      <c r="C39" s="426"/>
      <c r="D39" s="426"/>
      <c r="E39" s="426"/>
      <c r="F39" s="426"/>
      <c r="G39" s="426"/>
      <c r="H39" s="427"/>
      <c r="I39" s="73" t="s">
        <v>10</v>
      </c>
      <c r="J39" s="45">
        <v>1.4999999999999999E-2</v>
      </c>
      <c r="K39" s="456">
        <v>470040</v>
      </c>
      <c r="L39" s="457"/>
      <c r="M39" s="56">
        <f>K39*J39</f>
        <v>7050.5999999999995</v>
      </c>
    </row>
    <row r="40" spans="1:13">
      <c r="A40" s="425"/>
      <c r="B40" s="426"/>
      <c r="C40" s="426"/>
      <c r="D40" s="426"/>
      <c r="E40" s="426"/>
      <c r="F40" s="426"/>
      <c r="G40" s="426"/>
      <c r="H40" s="427"/>
      <c r="I40" s="73"/>
      <c r="J40" s="45"/>
      <c r="K40" s="456"/>
      <c r="L40" s="457"/>
      <c r="M40" s="56">
        <f>K40*J40</f>
        <v>0</v>
      </c>
    </row>
    <row r="41" spans="1:13">
      <c r="A41" s="425"/>
      <c r="B41" s="426"/>
      <c r="C41" s="426"/>
      <c r="D41" s="426"/>
      <c r="E41" s="426"/>
      <c r="F41" s="426"/>
      <c r="G41" s="426"/>
      <c r="H41" s="427"/>
      <c r="I41" s="73"/>
      <c r="J41" s="45"/>
      <c r="K41" s="456"/>
      <c r="L41" s="457"/>
      <c r="M41" s="56">
        <f>K41*J41</f>
        <v>0</v>
      </c>
    </row>
    <row r="42" spans="1:13" ht="15.75" thickBot="1">
      <c r="A42" s="410"/>
      <c r="B42" s="411"/>
      <c r="C42" s="411"/>
      <c r="D42" s="411"/>
      <c r="E42" s="411"/>
      <c r="F42" s="411"/>
      <c r="G42" s="411"/>
      <c r="H42" s="412"/>
      <c r="I42" s="74"/>
      <c r="J42" s="57"/>
      <c r="K42" s="466"/>
      <c r="L42" s="467"/>
      <c r="M42" s="75">
        <f>K42*J42</f>
        <v>0</v>
      </c>
    </row>
    <row r="43" spans="1:13" ht="15.75" thickBot="1">
      <c r="A43" s="416" t="s">
        <v>87</v>
      </c>
      <c r="B43" s="417"/>
      <c r="C43" s="417"/>
      <c r="D43" s="417"/>
      <c r="E43" s="417"/>
      <c r="F43" s="417"/>
      <c r="G43" s="417"/>
      <c r="H43" s="417"/>
      <c r="I43" s="417"/>
      <c r="J43" s="417"/>
      <c r="K43" s="417"/>
      <c r="L43" s="418"/>
      <c r="M43" s="58">
        <f>SUM(M38:M42)</f>
        <v>28716.799999999996</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147" t="s">
        <v>92</v>
      </c>
      <c r="I47" s="151" t="s">
        <v>93</v>
      </c>
      <c r="J47" s="60" t="s">
        <v>94</v>
      </c>
      <c r="K47" s="421" t="s">
        <v>95</v>
      </c>
      <c r="L47" s="424"/>
      <c r="M47" s="44" t="s">
        <v>85</v>
      </c>
    </row>
    <row r="48" spans="1:13">
      <c r="A48" s="425"/>
      <c r="B48" s="426"/>
      <c r="C48" s="426"/>
      <c r="D48" s="426"/>
      <c r="E48" s="426"/>
      <c r="F48" s="426"/>
      <c r="G48" s="426"/>
      <c r="H48" s="61"/>
      <c r="I48" s="55"/>
      <c r="J48" s="61"/>
      <c r="K48" s="428"/>
      <c r="L48" s="429"/>
      <c r="M48" s="62"/>
    </row>
    <row r="49" spans="1:14" ht="15.75" thickBot="1">
      <c r="A49" s="410"/>
      <c r="B49" s="411"/>
      <c r="C49" s="411"/>
      <c r="D49" s="411"/>
      <c r="E49" s="411"/>
      <c r="F49" s="411"/>
      <c r="G49" s="411"/>
      <c r="H49" s="47"/>
      <c r="I49" s="15"/>
      <c r="J49" s="47"/>
      <c r="K49" s="414"/>
      <c r="L49" s="415"/>
      <c r="M49" s="48"/>
    </row>
    <row r="50" spans="1:14" ht="15.75" thickBot="1">
      <c r="A50" s="416" t="s">
        <v>87</v>
      </c>
      <c r="B50" s="417"/>
      <c r="C50" s="417"/>
      <c r="D50" s="417"/>
      <c r="E50" s="417"/>
      <c r="F50" s="417"/>
      <c r="G50" s="417"/>
      <c r="H50" s="417"/>
      <c r="I50" s="417"/>
      <c r="J50" s="417"/>
      <c r="K50" s="417"/>
      <c r="L50" s="418"/>
      <c r="M50" s="63">
        <f>SUM(M48:M49)</f>
        <v>0</v>
      </c>
    </row>
    <row r="51" spans="1:14">
      <c r="A51" s="30"/>
      <c r="B51" s="19"/>
      <c r="C51" s="19"/>
      <c r="D51" s="19"/>
      <c r="E51" s="19"/>
      <c r="F51" s="19"/>
      <c r="G51" s="19"/>
      <c r="H51" s="19"/>
      <c r="I51" s="19"/>
      <c r="J51" s="19"/>
      <c r="K51" s="19"/>
      <c r="L51" s="19"/>
      <c r="M51" s="24"/>
    </row>
    <row r="52" spans="1:14">
      <c r="A52" s="51" t="s">
        <v>96</v>
      </c>
      <c r="B52" s="52"/>
      <c r="C52" s="52"/>
      <c r="D52" s="52"/>
      <c r="E52" s="52"/>
      <c r="F52" s="52"/>
      <c r="G52" s="52"/>
      <c r="H52" s="52"/>
      <c r="I52" s="52"/>
      <c r="J52" s="52"/>
      <c r="K52" s="52"/>
      <c r="L52" s="52"/>
      <c r="M52" s="53"/>
    </row>
    <row r="53" spans="1:14" ht="15.75" thickBot="1">
      <c r="A53" s="30"/>
      <c r="B53" s="19"/>
      <c r="C53" s="19"/>
      <c r="D53" s="19"/>
      <c r="E53" s="19"/>
      <c r="F53" s="19"/>
      <c r="G53" s="19"/>
      <c r="H53" s="19"/>
      <c r="I53" s="19"/>
      <c r="J53" s="19"/>
      <c r="K53" s="19"/>
      <c r="L53" s="19"/>
      <c r="M53" s="24"/>
    </row>
    <row r="54" spans="1:14" ht="26.25">
      <c r="A54" s="453" t="s">
        <v>97</v>
      </c>
      <c r="B54" s="454"/>
      <c r="C54" s="454"/>
      <c r="D54" s="454"/>
      <c r="E54" s="454"/>
      <c r="F54" s="454"/>
      <c r="G54" s="454"/>
      <c r="H54" s="147" t="s">
        <v>98</v>
      </c>
      <c r="I54" s="148" t="s">
        <v>99</v>
      </c>
      <c r="J54" s="148" t="s">
        <v>100</v>
      </c>
      <c r="K54" s="455" t="s">
        <v>84</v>
      </c>
      <c r="L54" s="455"/>
      <c r="M54" s="65" t="s">
        <v>85</v>
      </c>
    </row>
    <row r="55" spans="1:14">
      <c r="A55" s="471" t="s">
        <v>126</v>
      </c>
      <c r="B55" s="472"/>
      <c r="C55" s="472"/>
      <c r="D55" s="472"/>
      <c r="E55" s="472"/>
      <c r="F55" s="472"/>
      <c r="G55" s="472"/>
      <c r="H55" s="1">
        <v>112923.49999999999</v>
      </c>
      <c r="I55" s="2">
        <v>2.2000000000000002</v>
      </c>
      <c r="J55" s="66">
        <f>(I55*H55)</f>
        <v>248431.69999999998</v>
      </c>
      <c r="K55" s="473">
        <v>13.027903650417727</v>
      </c>
      <c r="L55" s="473"/>
      <c r="M55" s="56">
        <f>J55/K55</f>
        <v>19069.199977698197</v>
      </c>
    </row>
    <row r="56" spans="1:14">
      <c r="A56" s="471"/>
      <c r="B56" s="472"/>
      <c r="C56" s="472"/>
      <c r="D56" s="472"/>
      <c r="E56" s="472"/>
      <c r="F56" s="472"/>
      <c r="G56" s="472"/>
      <c r="H56" s="1"/>
      <c r="I56" s="2"/>
      <c r="J56" s="66"/>
      <c r="K56" s="473"/>
      <c r="L56" s="473"/>
      <c r="M56" s="56"/>
    </row>
    <row r="57" spans="1:14" ht="15.75" thickBot="1">
      <c r="A57" s="432"/>
      <c r="B57" s="433"/>
      <c r="C57" s="433"/>
      <c r="D57" s="433"/>
      <c r="E57" s="433"/>
      <c r="F57" s="433"/>
      <c r="G57" s="433"/>
      <c r="H57" s="3"/>
      <c r="I57" s="4"/>
      <c r="J57" s="67"/>
      <c r="K57" s="434"/>
      <c r="L57" s="434"/>
      <c r="M57" s="68"/>
    </row>
    <row r="58" spans="1:14" ht="15.75" thickBot="1">
      <c r="A58" s="435" t="s">
        <v>87</v>
      </c>
      <c r="B58" s="436"/>
      <c r="C58" s="436"/>
      <c r="D58" s="436"/>
      <c r="E58" s="436"/>
      <c r="F58" s="436"/>
      <c r="G58" s="436"/>
      <c r="H58" s="436"/>
      <c r="I58" s="436"/>
      <c r="J58" s="436"/>
      <c r="K58" s="436"/>
      <c r="L58" s="437"/>
      <c r="M58" s="69">
        <f>SUM(M55:M57)</f>
        <v>19069.199977698197</v>
      </c>
    </row>
    <row r="59" spans="1:14" ht="15.75" thickBot="1">
      <c r="A59" s="30"/>
      <c r="B59" s="19"/>
      <c r="C59" s="19"/>
      <c r="D59" s="19"/>
      <c r="E59" s="19"/>
      <c r="F59" s="19"/>
      <c r="G59" s="19"/>
      <c r="H59" s="19"/>
      <c r="I59" s="19"/>
      <c r="J59" s="19"/>
      <c r="K59" s="19"/>
      <c r="L59" s="19"/>
      <c r="M59" s="24"/>
    </row>
    <row r="60" spans="1:14" ht="15.75" thickBot="1">
      <c r="A60" s="416" t="s">
        <v>101</v>
      </c>
      <c r="B60" s="417"/>
      <c r="C60" s="417"/>
      <c r="D60" s="417"/>
      <c r="E60" s="417"/>
      <c r="F60" s="417"/>
      <c r="G60" s="417"/>
      <c r="H60" s="417"/>
      <c r="I60" s="417"/>
      <c r="J60" s="417"/>
      <c r="K60" s="417"/>
      <c r="L60" s="418"/>
      <c r="M60" s="70">
        <f>ROUND(M58+M50+M43+M33,0)</f>
        <v>47786</v>
      </c>
      <c r="N60" s="155"/>
    </row>
    <row r="61" spans="1:14">
      <c r="A61" s="30"/>
      <c r="B61" s="19"/>
      <c r="C61" s="19"/>
      <c r="D61" s="19"/>
      <c r="E61" s="19"/>
      <c r="F61" s="19"/>
      <c r="G61" s="19"/>
      <c r="H61" s="19"/>
      <c r="I61" s="19"/>
      <c r="J61" s="19"/>
      <c r="K61" s="19"/>
      <c r="L61" s="19"/>
      <c r="M61" s="24"/>
    </row>
    <row r="62" spans="1:14">
      <c r="A62" s="51" t="s">
        <v>102</v>
      </c>
      <c r="B62" s="52"/>
      <c r="C62" s="52"/>
      <c r="D62" s="52"/>
      <c r="E62" s="52"/>
      <c r="F62" s="52"/>
      <c r="G62" s="52"/>
      <c r="H62" s="52"/>
      <c r="I62" s="52"/>
      <c r="J62" s="52"/>
      <c r="K62" s="52"/>
      <c r="L62" s="52"/>
      <c r="M62" s="53"/>
    </row>
    <row r="63" spans="1:14" ht="15.75" thickBot="1">
      <c r="A63" s="30"/>
      <c r="B63" s="19"/>
      <c r="C63" s="19"/>
      <c r="D63" s="19"/>
      <c r="E63" s="19"/>
      <c r="F63" s="19"/>
      <c r="G63" s="19"/>
      <c r="H63" s="19"/>
      <c r="I63" s="19"/>
      <c r="J63" s="19"/>
      <c r="K63" s="19"/>
      <c r="L63" s="19"/>
      <c r="M63" s="24"/>
    </row>
    <row r="64" spans="1:14" ht="15.75" thickBot="1">
      <c r="A64" s="438" t="s">
        <v>103</v>
      </c>
      <c r="B64" s="439"/>
      <c r="C64" s="439"/>
      <c r="D64" s="439"/>
      <c r="E64" s="439"/>
      <c r="F64" s="439"/>
      <c r="G64" s="439"/>
      <c r="H64" s="149"/>
      <c r="I64" s="150"/>
      <c r="J64" s="81" t="s">
        <v>104</v>
      </c>
      <c r="K64" s="440" t="s">
        <v>105</v>
      </c>
      <c r="L64" s="441"/>
      <c r="M64" s="82"/>
    </row>
    <row r="65" spans="1:13">
      <c r="A65" s="442" t="s">
        <v>106</v>
      </c>
      <c r="B65" s="443"/>
      <c r="C65" s="443"/>
      <c r="D65" s="443"/>
      <c r="E65" s="443"/>
      <c r="F65" s="443"/>
      <c r="G65" s="443"/>
      <c r="H65" s="83"/>
      <c r="I65" s="84"/>
      <c r="J65" s="85">
        <v>0.19</v>
      </c>
      <c r="K65" s="444">
        <f>M60*J65</f>
        <v>9079.34</v>
      </c>
      <c r="L65" s="444"/>
      <c r="M65" s="86"/>
    </row>
    <row r="66" spans="1:13">
      <c r="A66" s="447" t="s">
        <v>107</v>
      </c>
      <c r="B66" s="448"/>
      <c r="C66" s="448"/>
      <c r="D66" s="448"/>
      <c r="E66" s="448"/>
      <c r="F66" s="448"/>
      <c r="G66" s="449"/>
      <c r="H66" s="77"/>
      <c r="I66" s="78"/>
      <c r="J66" s="5">
        <v>0.01</v>
      </c>
      <c r="K66" s="445">
        <f>M60*J66</f>
        <v>477.86</v>
      </c>
      <c r="L66" s="445"/>
      <c r="M66" s="6"/>
    </row>
    <row r="67" spans="1:13">
      <c r="A67" s="447" t="s">
        <v>108</v>
      </c>
      <c r="B67" s="448"/>
      <c r="C67" s="448"/>
      <c r="D67" s="448"/>
      <c r="E67" s="448"/>
      <c r="F67" s="448"/>
      <c r="G67" s="449"/>
      <c r="H67" s="77"/>
      <c r="I67" s="78"/>
      <c r="J67" s="5">
        <v>0.05</v>
      </c>
      <c r="K67" s="445">
        <f>M60*J67</f>
        <v>2389.3000000000002</v>
      </c>
      <c r="L67" s="445"/>
      <c r="M67" s="6"/>
    </row>
    <row r="68" spans="1:13" ht="15.75" thickBot="1">
      <c r="A68" s="450" t="s">
        <v>117</v>
      </c>
      <c r="B68" s="451"/>
      <c r="C68" s="451"/>
      <c r="D68" s="451"/>
      <c r="E68" s="451"/>
      <c r="F68" s="451"/>
      <c r="G68" s="452"/>
      <c r="H68" s="87"/>
      <c r="I68" s="88"/>
      <c r="J68" s="89">
        <v>0.19</v>
      </c>
      <c r="K68" s="446">
        <f>K67*J68</f>
        <v>453.96700000000004</v>
      </c>
      <c r="L68" s="446"/>
      <c r="M68" s="90"/>
    </row>
    <row r="69" spans="1:13" ht="15.75" thickBot="1">
      <c r="A69" s="435" t="s">
        <v>87</v>
      </c>
      <c r="B69" s="436"/>
      <c r="C69" s="436"/>
      <c r="D69" s="436"/>
      <c r="E69" s="436"/>
      <c r="F69" s="436"/>
      <c r="G69" s="436"/>
      <c r="H69" s="436"/>
      <c r="I69" s="436"/>
      <c r="J69" s="436"/>
      <c r="K69" s="436"/>
      <c r="L69" s="437"/>
      <c r="M69" s="76">
        <f>SUM(K65:L68)</f>
        <v>12400.467000000001</v>
      </c>
    </row>
    <row r="70" spans="1:13" ht="15.75" thickBot="1">
      <c r="A70" s="30"/>
      <c r="B70" s="19"/>
      <c r="C70" s="19"/>
      <c r="D70" s="19"/>
      <c r="E70" s="19"/>
      <c r="F70" s="19"/>
      <c r="G70" s="19"/>
      <c r="H70" s="19"/>
      <c r="I70" s="19"/>
      <c r="J70" s="19"/>
      <c r="K70" s="19"/>
      <c r="L70" s="19"/>
      <c r="M70" s="24"/>
    </row>
    <row r="71" spans="1:13" ht="15.75" thickBot="1">
      <c r="A71" s="416" t="s">
        <v>109</v>
      </c>
      <c r="B71" s="417"/>
      <c r="C71" s="417"/>
      <c r="D71" s="417"/>
      <c r="E71" s="417"/>
      <c r="F71" s="417"/>
      <c r="G71" s="417"/>
      <c r="H71" s="417"/>
      <c r="I71" s="417"/>
      <c r="J71" s="417"/>
      <c r="K71" s="417"/>
      <c r="L71" s="418"/>
      <c r="M71" s="71">
        <f>ROUND(M60+M69,0)</f>
        <v>60186</v>
      </c>
    </row>
  </sheetData>
  <mergeCells count="75">
    <mergeCell ref="A69:L69"/>
    <mergeCell ref="A71:L71"/>
    <mergeCell ref="A66:G66"/>
    <mergeCell ref="K66:L66"/>
    <mergeCell ref="A67:G67"/>
    <mergeCell ref="K67:L67"/>
    <mergeCell ref="A68:G68"/>
    <mergeCell ref="K68:L68"/>
    <mergeCell ref="A58:L58"/>
    <mergeCell ref="A60:L60"/>
    <mergeCell ref="A64:G64"/>
    <mergeCell ref="K64:L64"/>
    <mergeCell ref="A65:G65"/>
    <mergeCell ref="K65:L65"/>
    <mergeCell ref="A55:G55"/>
    <mergeCell ref="K55:L55"/>
    <mergeCell ref="A56:G56"/>
    <mergeCell ref="K56:L56"/>
    <mergeCell ref="A57:G57"/>
    <mergeCell ref="K57:L57"/>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38:H38"/>
    <mergeCell ref="K38:L38"/>
    <mergeCell ref="A39:H39"/>
    <mergeCell ref="K39:L39"/>
    <mergeCell ref="A40:H40"/>
    <mergeCell ref="K40:L40"/>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21:B21"/>
    <mergeCell ref="A23:M23"/>
    <mergeCell ref="B25:I25"/>
    <mergeCell ref="K25:L25"/>
    <mergeCell ref="B26:I26"/>
    <mergeCell ref="K26:L26"/>
    <mergeCell ref="A20:B20"/>
    <mergeCell ref="C20:M20"/>
    <mergeCell ref="A1:C7"/>
    <mergeCell ref="D1:J3"/>
    <mergeCell ref="K1:M7"/>
    <mergeCell ref="D4:J7"/>
    <mergeCell ref="A9:B9"/>
    <mergeCell ref="C9:H9"/>
    <mergeCell ref="K9:M9"/>
    <mergeCell ref="C12:F12"/>
    <mergeCell ref="H12:I12"/>
    <mergeCell ref="C13:M14"/>
    <mergeCell ref="C16:M16"/>
    <mergeCell ref="C18:M18"/>
  </mergeCells>
  <pageMargins left="0.7" right="0.7" top="0.75" bottom="0.75" header="0.3" footer="0.3"/>
  <pageSetup scale="57"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1"/>
  <sheetViews>
    <sheetView view="pageBreakPreview" topLeftCell="A43" zoomScale="80" zoomScaleNormal="100" zoomScaleSheetLayoutView="80" workbookViewId="0">
      <selection activeCell="M61" sqref="M61"/>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45"/>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46"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46"/>
      <c r="D17" s="146"/>
      <c r="E17" s="146"/>
      <c r="F17" s="146"/>
      <c r="G17" s="146"/>
      <c r="H17" s="146"/>
      <c r="I17" s="146"/>
      <c r="J17" s="146"/>
      <c r="K17" s="146"/>
      <c r="L17" s="146"/>
      <c r="M17" s="13"/>
    </row>
    <row r="18" spans="1:13">
      <c r="A18" s="25" t="s">
        <v>74</v>
      </c>
      <c r="B18" s="26"/>
      <c r="C18" s="379"/>
      <c r="D18" s="379"/>
      <c r="E18" s="379"/>
      <c r="F18" s="379"/>
      <c r="G18" s="379"/>
      <c r="H18" s="379"/>
      <c r="I18" s="379"/>
      <c r="J18" s="379"/>
      <c r="K18" s="379"/>
      <c r="L18" s="379"/>
      <c r="M18" s="380"/>
    </row>
    <row r="19" spans="1:13">
      <c r="A19" s="25"/>
      <c r="B19" s="26"/>
      <c r="C19" s="146"/>
      <c r="D19" s="146"/>
      <c r="E19" s="146"/>
      <c r="F19" s="146"/>
      <c r="G19" s="146"/>
      <c r="H19" s="146"/>
      <c r="I19" s="146"/>
      <c r="J19" s="146"/>
      <c r="K19" s="146"/>
      <c r="L19" s="146"/>
      <c r="M19" s="13"/>
    </row>
    <row r="20" spans="1:13" ht="31.5" customHeight="1">
      <c r="A20" s="464" t="s">
        <v>113</v>
      </c>
      <c r="B20" s="465"/>
      <c r="C20" s="379"/>
      <c r="D20" s="379"/>
      <c r="E20" s="379"/>
      <c r="F20" s="379"/>
      <c r="G20" s="379"/>
      <c r="H20" s="379"/>
      <c r="I20" s="379"/>
      <c r="J20" s="379"/>
      <c r="K20" s="379"/>
      <c r="L20" s="379"/>
      <c r="M20" s="380"/>
    </row>
    <row r="21" spans="1:13">
      <c r="A21" s="400"/>
      <c r="B21" s="401"/>
      <c r="C21" s="146"/>
      <c r="D21" s="146"/>
      <c r="E21" s="146"/>
      <c r="F21" s="146"/>
      <c r="G21" s="146"/>
      <c r="H21" s="146"/>
      <c r="I21" s="146"/>
      <c r="J21" s="146"/>
      <c r="K21" s="146"/>
      <c r="L21" s="146"/>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54" t="s">
        <v>78</v>
      </c>
      <c r="K25" s="408" t="s">
        <v>79</v>
      </c>
      <c r="L25" s="409"/>
      <c r="M25" s="31" t="s">
        <v>80</v>
      </c>
    </row>
    <row r="26" spans="1:13" ht="15.75" thickBot="1">
      <c r="A26" s="33"/>
      <c r="B26" s="391" t="s">
        <v>166</v>
      </c>
      <c r="C26" s="392"/>
      <c r="D26" s="392"/>
      <c r="E26" s="392"/>
      <c r="F26" s="392"/>
      <c r="G26" s="392"/>
      <c r="H26" s="392"/>
      <c r="I26" s="393"/>
      <c r="J26" s="153">
        <v>1</v>
      </c>
      <c r="K26" s="391" t="s">
        <v>8</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47" t="s">
        <v>83</v>
      </c>
      <c r="K30" s="421" t="s">
        <v>84</v>
      </c>
      <c r="L30" s="424"/>
      <c r="M30" s="44" t="s">
        <v>85</v>
      </c>
    </row>
    <row r="31" spans="1:13">
      <c r="A31" s="425"/>
      <c r="B31" s="426"/>
      <c r="C31" s="426"/>
      <c r="D31" s="426"/>
      <c r="E31" s="427"/>
      <c r="F31" s="428"/>
      <c r="G31" s="429"/>
      <c r="H31" s="430"/>
      <c r="I31" s="427"/>
      <c r="J31" s="72"/>
      <c r="K31" s="428"/>
      <c r="L31" s="429"/>
      <c r="M31" s="46"/>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0</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52" t="s">
        <v>79</v>
      </c>
      <c r="J37" s="147" t="s">
        <v>80</v>
      </c>
      <c r="K37" s="421" t="s">
        <v>89</v>
      </c>
      <c r="L37" s="424"/>
      <c r="M37" s="44" t="s">
        <v>85</v>
      </c>
    </row>
    <row r="38" spans="1:13">
      <c r="A38" s="425" t="s">
        <v>167</v>
      </c>
      <c r="B38" s="426"/>
      <c r="C38" s="426"/>
      <c r="D38" s="426"/>
      <c r="E38" s="426"/>
      <c r="F38" s="426"/>
      <c r="G38" s="426"/>
      <c r="H38" s="427"/>
      <c r="I38" s="73" t="s">
        <v>25</v>
      </c>
      <c r="J38" s="45">
        <v>2.9</v>
      </c>
      <c r="K38" s="456">
        <v>5034</v>
      </c>
      <c r="L38" s="457"/>
      <c r="M38" s="56">
        <f>K38*J38</f>
        <v>14598.6</v>
      </c>
    </row>
    <row r="39" spans="1:13">
      <c r="A39" s="425" t="s">
        <v>168</v>
      </c>
      <c r="B39" s="426"/>
      <c r="C39" s="426"/>
      <c r="D39" s="426"/>
      <c r="E39" s="426"/>
      <c r="F39" s="426"/>
      <c r="G39" s="426"/>
      <c r="H39" s="427"/>
      <c r="I39" s="73" t="s">
        <v>25</v>
      </c>
      <c r="J39" s="45">
        <v>0.11</v>
      </c>
      <c r="K39" s="456">
        <v>4207</v>
      </c>
      <c r="L39" s="457"/>
      <c r="M39" s="56">
        <f>K39*J39</f>
        <v>462.77</v>
      </c>
    </row>
    <row r="40" spans="1:13">
      <c r="A40" s="425" t="s">
        <v>169</v>
      </c>
      <c r="B40" s="426"/>
      <c r="C40" s="426"/>
      <c r="D40" s="426"/>
      <c r="E40" s="426"/>
      <c r="F40" s="426"/>
      <c r="G40" s="426"/>
      <c r="H40" s="427"/>
      <c r="I40" s="73" t="s">
        <v>10</v>
      </c>
      <c r="J40" s="45">
        <v>0.03</v>
      </c>
      <c r="K40" s="456">
        <v>335167</v>
      </c>
      <c r="L40" s="457"/>
      <c r="M40" s="56">
        <f>K40*J40</f>
        <v>10055.01</v>
      </c>
    </row>
    <row r="41" spans="1:13">
      <c r="A41" s="425" t="s">
        <v>170</v>
      </c>
      <c r="B41" s="426"/>
      <c r="C41" s="426"/>
      <c r="D41" s="426"/>
      <c r="E41" s="426"/>
      <c r="F41" s="426"/>
      <c r="G41" s="426"/>
      <c r="H41" s="427"/>
      <c r="I41" s="73" t="s">
        <v>8</v>
      </c>
      <c r="J41" s="45">
        <v>0.15</v>
      </c>
      <c r="K41" s="456">
        <v>3164</v>
      </c>
      <c r="L41" s="457"/>
      <c r="M41" s="56">
        <f>K41*J41</f>
        <v>474.59999999999997</v>
      </c>
    </row>
    <row r="42" spans="1:13" ht="15.75" thickBot="1">
      <c r="A42" s="410" t="s">
        <v>118</v>
      </c>
      <c r="B42" s="411"/>
      <c r="C42" s="411"/>
      <c r="D42" s="411"/>
      <c r="E42" s="411"/>
      <c r="F42" s="411"/>
      <c r="G42" s="411"/>
      <c r="H42" s="412"/>
      <c r="I42" s="73" t="s">
        <v>8</v>
      </c>
      <c r="J42" s="57">
        <v>0.01</v>
      </c>
      <c r="K42" s="466">
        <v>2301</v>
      </c>
      <c r="L42" s="467"/>
      <c r="M42" s="75">
        <f>K42*J42</f>
        <v>23.01</v>
      </c>
    </row>
    <row r="43" spans="1:13" ht="15.75" thickBot="1">
      <c r="A43" s="416" t="s">
        <v>87</v>
      </c>
      <c r="B43" s="417"/>
      <c r="C43" s="417"/>
      <c r="D43" s="417"/>
      <c r="E43" s="417"/>
      <c r="F43" s="417"/>
      <c r="G43" s="417"/>
      <c r="H43" s="417"/>
      <c r="I43" s="417"/>
      <c r="J43" s="417"/>
      <c r="K43" s="417"/>
      <c r="L43" s="418"/>
      <c r="M43" s="58">
        <f>SUM(M38:M42)</f>
        <v>25613.989999999998</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147" t="s">
        <v>92</v>
      </c>
      <c r="I47" s="151" t="s">
        <v>93</v>
      </c>
      <c r="J47" s="60" t="s">
        <v>94</v>
      </c>
      <c r="K47" s="421" t="s">
        <v>95</v>
      </c>
      <c r="L47" s="424"/>
      <c r="M47" s="44" t="s">
        <v>85</v>
      </c>
    </row>
    <row r="48" spans="1:13">
      <c r="A48" s="425"/>
      <c r="B48" s="426"/>
      <c r="C48" s="426"/>
      <c r="D48" s="426"/>
      <c r="E48" s="426"/>
      <c r="F48" s="426"/>
      <c r="G48" s="426"/>
      <c r="H48" s="61"/>
      <c r="I48" s="55"/>
      <c r="J48" s="61"/>
      <c r="K48" s="428"/>
      <c r="L48" s="429"/>
      <c r="M48" s="62"/>
    </row>
    <row r="49" spans="1:14" ht="15.75" thickBot="1">
      <c r="A49" s="410"/>
      <c r="B49" s="411"/>
      <c r="C49" s="411"/>
      <c r="D49" s="411"/>
      <c r="E49" s="411"/>
      <c r="F49" s="411"/>
      <c r="G49" s="411"/>
      <c r="H49" s="47"/>
      <c r="I49" s="15"/>
      <c r="J49" s="47"/>
      <c r="K49" s="414"/>
      <c r="L49" s="415"/>
      <c r="M49" s="48"/>
    </row>
    <row r="50" spans="1:14" ht="15.75" thickBot="1">
      <c r="A50" s="416" t="s">
        <v>87</v>
      </c>
      <c r="B50" s="417"/>
      <c r="C50" s="417"/>
      <c r="D50" s="417"/>
      <c r="E50" s="417"/>
      <c r="F50" s="417"/>
      <c r="G50" s="417"/>
      <c r="H50" s="417"/>
      <c r="I50" s="417"/>
      <c r="J50" s="417"/>
      <c r="K50" s="417"/>
      <c r="L50" s="418"/>
      <c r="M50" s="63">
        <f>SUM(M48:M49)</f>
        <v>0</v>
      </c>
    </row>
    <row r="51" spans="1:14">
      <c r="A51" s="30"/>
      <c r="B51" s="19"/>
      <c r="C51" s="19"/>
      <c r="D51" s="19"/>
      <c r="E51" s="19"/>
      <c r="F51" s="19"/>
      <c r="G51" s="19"/>
      <c r="H51" s="19"/>
      <c r="I51" s="19"/>
      <c r="J51" s="19"/>
      <c r="K51" s="19"/>
      <c r="L51" s="19"/>
      <c r="M51" s="24"/>
    </row>
    <row r="52" spans="1:14">
      <c r="A52" s="51" t="s">
        <v>96</v>
      </c>
      <c r="B52" s="52"/>
      <c r="C52" s="52"/>
      <c r="D52" s="52"/>
      <c r="E52" s="52"/>
      <c r="F52" s="52"/>
      <c r="G52" s="52"/>
      <c r="H52" s="52"/>
      <c r="I52" s="52"/>
      <c r="J52" s="52"/>
      <c r="K52" s="52"/>
      <c r="L52" s="52"/>
      <c r="M52" s="53"/>
    </row>
    <row r="53" spans="1:14" ht="15.75" thickBot="1">
      <c r="A53" s="30"/>
      <c r="B53" s="19"/>
      <c r="C53" s="19"/>
      <c r="D53" s="19"/>
      <c r="E53" s="19"/>
      <c r="F53" s="19"/>
      <c r="G53" s="19"/>
      <c r="H53" s="19"/>
      <c r="I53" s="19"/>
      <c r="J53" s="19"/>
      <c r="K53" s="19"/>
      <c r="L53" s="19"/>
      <c r="M53" s="24"/>
    </row>
    <row r="54" spans="1:14" ht="26.25">
      <c r="A54" s="453" t="s">
        <v>97</v>
      </c>
      <c r="B54" s="454"/>
      <c r="C54" s="454"/>
      <c r="D54" s="454"/>
      <c r="E54" s="454"/>
      <c r="F54" s="454"/>
      <c r="G54" s="454"/>
      <c r="H54" s="147" t="s">
        <v>98</v>
      </c>
      <c r="I54" s="148" t="s">
        <v>99</v>
      </c>
      <c r="J54" s="148" t="s">
        <v>100</v>
      </c>
      <c r="K54" s="455" t="s">
        <v>84</v>
      </c>
      <c r="L54" s="455"/>
      <c r="M54" s="65" t="s">
        <v>85</v>
      </c>
    </row>
    <row r="55" spans="1:14">
      <c r="A55" s="471" t="s">
        <v>126</v>
      </c>
      <c r="B55" s="472"/>
      <c r="C55" s="472"/>
      <c r="D55" s="472"/>
      <c r="E55" s="472"/>
      <c r="F55" s="472"/>
      <c r="G55" s="472"/>
      <c r="H55" s="1">
        <v>112923.49999999999</v>
      </c>
      <c r="I55" s="2">
        <v>2.2000000000000002</v>
      </c>
      <c r="J55" s="66">
        <f>(I55*H55)</f>
        <v>248431.69999999998</v>
      </c>
      <c r="K55" s="473">
        <v>6.973323703592988</v>
      </c>
      <c r="L55" s="473"/>
      <c r="M55" s="56">
        <f>J55/K55</f>
        <v>35626.010000366994</v>
      </c>
    </row>
    <row r="56" spans="1:14">
      <c r="A56" s="471"/>
      <c r="B56" s="472"/>
      <c r="C56" s="472"/>
      <c r="D56" s="472"/>
      <c r="E56" s="472"/>
      <c r="F56" s="472"/>
      <c r="G56" s="472"/>
      <c r="H56" s="1"/>
      <c r="I56" s="2"/>
      <c r="J56" s="66"/>
      <c r="K56" s="473"/>
      <c r="L56" s="473"/>
      <c r="M56" s="56"/>
    </row>
    <row r="57" spans="1:14" ht="15.75" thickBot="1">
      <c r="A57" s="432"/>
      <c r="B57" s="433"/>
      <c r="C57" s="433"/>
      <c r="D57" s="433"/>
      <c r="E57" s="433"/>
      <c r="F57" s="433"/>
      <c r="G57" s="433"/>
      <c r="H57" s="3"/>
      <c r="I57" s="4"/>
      <c r="J57" s="67"/>
      <c r="K57" s="434"/>
      <c r="L57" s="434"/>
      <c r="M57" s="68"/>
    </row>
    <row r="58" spans="1:14" ht="15.75" thickBot="1">
      <c r="A58" s="435" t="s">
        <v>87</v>
      </c>
      <c r="B58" s="436"/>
      <c r="C58" s="436"/>
      <c r="D58" s="436"/>
      <c r="E58" s="436"/>
      <c r="F58" s="436"/>
      <c r="G58" s="436"/>
      <c r="H58" s="436"/>
      <c r="I58" s="436"/>
      <c r="J58" s="436"/>
      <c r="K58" s="436"/>
      <c r="L58" s="437"/>
      <c r="M58" s="69">
        <f>SUM(M55:M57)</f>
        <v>35626.010000366994</v>
      </c>
    </row>
    <row r="59" spans="1:14" ht="15.75" thickBot="1">
      <c r="A59" s="30"/>
      <c r="B59" s="19"/>
      <c r="C59" s="19"/>
      <c r="D59" s="19"/>
      <c r="E59" s="19"/>
      <c r="F59" s="19"/>
      <c r="G59" s="19"/>
      <c r="H59" s="19"/>
      <c r="I59" s="19"/>
      <c r="J59" s="19"/>
      <c r="K59" s="19"/>
      <c r="L59" s="19"/>
      <c r="M59" s="24"/>
    </row>
    <row r="60" spans="1:14" ht="15.75" thickBot="1">
      <c r="A60" s="416" t="s">
        <v>101</v>
      </c>
      <c r="B60" s="417"/>
      <c r="C60" s="417"/>
      <c r="D60" s="417"/>
      <c r="E60" s="417"/>
      <c r="F60" s="417"/>
      <c r="G60" s="417"/>
      <c r="H60" s="417"/>
      <c r="I60" s="417"/>
      <c r="J60" s="417"/>
      <c r="K60" s="417"/>
      <c r="L60" s="418"/>
      <c r="M60" s="70">
        <f>ROUND(M58+M50+M43+M33,0)</f>
        <v>61240</v>
      </c>
      <c r="N60" s="155"/>
    </row>
    <row r="61" spans="1:14">
      <c r="A61" s="30"/>
      <c r="B61" s="19"/>
      <c r="C61" s="19"/>
      <c r="D61" s="19"/>
      <c r="E61" s="19"/>
      <c r="F61" s="19"/>
      <c r="G61" s="19"/>
      <c r="H61" s="19"/>
      <c r="I61" s="19"/>
      <c r="J61" s="19"/>
      <c r="K61" s="19"/>
      <c r="L61" s="19"/>
      <c r="M61" s="24"/>
    </row>
    <row r="62" spans="1:14">
      <c r="A62" s="51" t="s">
        <v>102</v>
      </c>
      <c r="B62" s="52"/>
      <c r="C62" s="52"/>
      <c r="D62" s="52"/>
      <c r="E62" s="52"/>
      <c r="F62" s="52"/>
      <c r="G62" s="52"/>
      <c r="H62" s="52"/>
      <c r="I62" s="52"/>
      <c r="J62" s="52"/>
      <c r="K62" s="52"/>
      <c r="L62" s="52"/>
      <c r="M62" s="53"/>
    </row>
    <row r="63" spans="1:14" ht="15.75" thickBot="1">
      <c r="A63" s="30"/>
      <c r="B63" s="19"/>
      <c r="C63" s="19"/>
      <c r="D63" s="19"/>
      <c r="E63" s="19"/>
      <c r="F63" s="19"/>
      <c r="G63" s="19"/>
      <c r="H63" s="19"/>
      <c r="I63" s="19"/>
      <c r="J63" s="19"/>
      <c r="K63" s="19"/>
      <c r="L63" s="19"/>
      <c r="M63" s="24"/>
    </row>
    <row r="64" spans="1:14" ht="15.75" thickBot="1">
      <c r="A64" s="438" t="s">
        <v>103</v>
      </c>
      <c r="B64" s="439"/>
      <c r="C64" s="439"/>
      <c r="D64" s="439"/>
      <c r="E64" s="439"/>
      <c r="F64" s="439"/>
      <c r="G64" s="439"/>
      <c r="H64" s="149"/>
      <c r="I64" s="150"/>
      <c r="J64" s="81" t="s">
        <v>104</v>
      </c>
      <c r="K64" s="440" t="s">
        <v>105</v>
      </c>
      <c r="L64" s="441"/>
      <c r="M64" s="82"/>
    </row>
    <row r="65" spans="1:13">
      <c r="A65" s="442" t="s">
        <v>106</v>
      </c>
      <c r="B65" s="443"/>
      <c r="C65" s="443"/>
      <c r="D65" s="443"/>
      <c r="E65" s="443"/>
      <c r="F65" s="443"/>
      <c r="G65" s="443"/>
      <c r="H65" s="83"/>
      <c r="I65" s="84"/>
      <c r="J65" s="85">
        <v>0.19</v>
      </c>
      <c r="K65" s="444">
        <f>M60*J65</f>
        <v>11635.6</v>
      </c>
      <c r="L65" s="444"/>
      <c r="M65" s="86"/>
    </row>
    <row r="66" spans="1:13">
      <c r="A66" s="447" t="s">
        <v>107</v>
      </c>
      <c r="B66" s="448"/>
      <c r="C66" s="448"/>
      <c r="D66" s="448"/>
      <c r="E66" s="448"/>
      <c r="F66" s="448"/>
      <c r="G66" s="449"/>
      <c r="H66" s="77"/>
      <c r="I66" s="78"/>
      <c r="J66" s="5">
        <v>0.01</v>
      </c>
      <c r="K66" s="445">
        <f>M60*J66</f>
        <v>612.4</v>
      </c>
      <c r="L66" s="445"/>
      <c r="M66" s="6"/>
    </row>
    <row r="67" spans="1:13">
      <c r="A67" s="447" t="s">
        <v>108</v>
      </c>
      <c r="B67" s="448"/>
      <c r="C67" s="448"/>
      <c r="D67" s="448"/>
      <c r="E67" s="448"/>
      <c r="F67" s="448"/>
      <c r="G67" s="449"/>
      <c r="H67" s="77"/>
      <c r="I67" s="78"/>
      <c r="J67" s="5">
        <v>0.05</v>
      </c>
      <c r="K67" s="445">
        <f>M60*J67</f>
        <v>3062</v>
      </c>
      <c r="L67" s="445"/>
      <c r="M67" s="6"/>
    </row>
    <row r="68" spans="1:13" ht="15.75" thickBot="1">
      <c r="A68" s="450" t="s">
        <v>117</v>
      </c>
      <c r="B68" s="451"/>
      <c r="C68" s="451"/>
      <c r="D68" s="451"/>
      <c r="E68" s="451"/>
      <c r="F68" s="451"/>
      <c r="G68" s="452"/>
      <c r="H68" s="87"/>
      <c r="I68" s="88"/>
      <c r="J68" s="89">
        <v>0.19</v>
      </c>
      <c r="K68" s="446">
        <f>K67*J68</f>
        <v>581.78</v>
      </c>
      <c r="L68" s="446"/>
      <c r="M68" s="90"/>
    </row>
    <row r="69" spans="1:13" ht="15.75" thickBot="1">
      <c r="A69" s="435" t="s">
        <v>87</v>
      </c>
      <c r="B69" s="436"/>
      <c r="C69" s="436"/>
      <c r="D69" s="436"/>
      <c r="E69" s="436"/>
      <c r="F69" s="436"/>
      <c r="G69" s="436"/>
      <c r="H69" s="436"/>
      <c r="I69" s="436"/>
      <c r="J69" s="436"/>
      <c r="K69" s="436"/>
      <c r="L69" s="437"/>
      <c r="M69" s="76">
        <f>SUM(K65:L68)</f>
        <v>15891.78</v>
      </c>
    </row>
    <row r="70" spans="1:13" ht="15.75" thickBot="1">
      <c r="A70" s="30"/>
      <c r="B70" s="19"/>
      <c r="C70" s="19"/>
      <c r="D70" s="19"/>
      <c r="E70" s="19"/>
      <c r="F70" s="19"/>
      <c r="G70" s="19"/>
      <c r="H70" s="19"/>
      <c r="I70" s="19"/>
      <c r="J70" s="19"/>
      <c r="K70" s="19"/>
      <c r="L70" s="19"/>
      <c r="M70" s="24"/>
    </row>
    <row r="71" spans="1:13" ht="15.75" thickBot="1">
      <c r="A71" s="416" t="s">
        <v>109</v>
      </c>
      <c r="B71" s="417"/>
      <c r="C71" s="417"/>
      <c r="D71" s="417"/>
      <c r="E71" s="417"/>
      <c r="F71" s="417"/>
      <c r="G71" s="417"/>
      <c r="H71" s="417"/>
      <c r="I71" s="417"/>
      <c r="J71" s="417"/>
      <c r="K71" s="417"/>
      <c r="L71" s="418"/>
      <c r="M71" s="71">
        <f>ROUND(M60+M69,0)</f>
        <v>77132</v>
      </c>
    </row>
  </sheetData>
  <mergeCells count="75">
    <mergeCell ref="A69:L69"/>
    <mergeCell ref="A71:L71"/>
    <mergeCell ref="A66:G66"/>
    <mergeCell ref="K66:L66"/>
    <mergeCell ref="A67:G67"/>
    <mergeCell ref="K67:L67"/>
    <mergeCell ref="A68:G68"/>
    <mergeCell ref="K68:L68"/>
    <mergeCell ref="A58:L58"/>
    <mergeCell ref="A60:L60"/>
    <mergeCell ref="A64:G64"/>
    <mergeCell ref="K64:L64"/>
    <mergeCell ref="A65:G65"/>
    <mergeCell ref="K65:L65"/>
    <mergeCell ref="A55:G55"/>
    <mergeCell ref="K55:L55"/>
    <mergeCell ref="A56:G56"/>
    <mergeCell ref="K56:L56"/>
    <mergeCell ref="A57:G57"/>
    <mergeCell ref="K57:L57"/>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38:H38"/>
    <mergeCell ref="K38:L38"/>
    <mergeCell ref="A39:H39"/>
    <mergeCell ref="K39:L39"/>
    <mergeCell ref="A40:H40"/>
    <mergeCell ref="K40:L40"/>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21:B21"/>
    <mergeCell ref="A23:M23"/>
    <mergeCell ref="B25:I25"/>
    <mergeCell ref="K25:L25"/>
    <mergeCell ref="B26:I26"/>
    <mergeCell ref="K26:L26"/>
    <mergeCell ref="A20:B20"/>
    <mergeCell ref="C20:M20"/>
    <mergeCell ref="A1:C7"/>
    <mergeCell ref="D1:J3"/>
    <mergeCell ref="K1:M7"/>
    <mergeCell ref="D4:J7"/>
    <mergeCell ref="A9:B9"/>
    <mergeCell ref="C9:H9"/>
    <mergeCell ref="K9:M9"/>
    <mergeCell ref="C12:F12"/>
    <mergeCell ref="H12:I12"/>
    <mergeCell ref="C13:M14"/>
    <mergeCell ref="C16:M16"/>
    <mergeCell ref="C18:M18"/>
  </mergeCells>
  <pageMargins left="0.7" right="0.7" top="0.75" bottom="0.75" header="0.3" footer="0.3"/>
  <pageSetup scale="57"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1"/>
  <sheetViews>
    <sheetView view="pageBreakPreview" topLeftCell="A49" zoomScale="80" zoomScaleNormal="100" zoomScaleSheetLayoutView="80" workbookViewId="0">
      <selection activeCell="M60" sqref="M60"/>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78"/>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79"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79"/>
      <c r="D17" s="179"/>
      <c r="E17" s="179"/>
      <c r="F17" s="179"/>
      <c r="G17" s="179"/>
      <c r="H17" s="179"/>
      <c r="I17" s="179"/>
      <c r="J17" s="179"/>
      <c r="K17" s="179"/>
      <c r="L17" s="179"/>
      <c r="M17" s="13"/>
    </row>
    <row r="18" spans="1:13">
      <c r="A18" s="25" t="s">
        <v>74</v>
      </c>
      <c r="B18" s="26"/>
      <c r="C18" s="379"/>
      <c r="D18" s="379"/>
      <c r="E18" s="379"/>
      <c r="F18" s="379"/>
      <c r="G18" s="379"/>
      <c r="H18" s="379"/>
      <c r="I18" s="379"/>
      <c r="J18" s="379"/>
      <c r="K18" s="379"/>
      <c r="L18" s="379"/>
      <c r="M18" s="380"/>
    </row>
    <row r="19" spans="1:13">
      <c r="A19" s="25"/>
      <c r="B19" s="26"/>
      <c r="C19" s="179"/>
      <c r="D19" s="179"/>
      <c r="E19" s="179"/>
      <c r="F19" s="179"/>
      <c r="G19" s="179"/>
      <c r="H19" s="179"/>
      <c r="I19" s="179"/>
      <c r="J19" s="179"/>
      <c r="K19" s="179"/>
      <c r="L19" s="179"/>
      <c r="M19" s="13"/>
    </row>
    <row r="20" spans="1:13" ht="31.5" customHeight="1">
      <c r="A20" s="464" t="s">
        <v>113</v>
      </c>
      <c r="B20" s="465"/>
      <c r="C20" s="379"/>
      <c r="D20" s="379"/>
      <c r="E20" s="379"/>
      <c r="F20" s="379"/>
      <c r="G20" s="379"/>
      <c r="H20" s="379"/>
      <c r="I20" s="379"/>
      <c r="J20" s="379"/>
      <c r="K20" s="379"/>
      <c r="L20" s="379"/>
      <c r="M20" s="380"/>
    </row>
    <row r="21" spans="1:13">
      <c r="A21" s="400"/>
      <c r="B21" s="401"/>
      <c r="C21" s="179"/>
      <c r="D21" s="179"/>
      <c r="E21" s="179"/>
      <c r="F21" s="179"/>
      <c r="G21" s="179"/>
      <c r="H21" s="179"/>
      <c r="I21" s="179"/>
      <c r="J21" s="179"/>
      <c r="K21" s="179"/>
      <c r="L21" s="179"/>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73" t="s">
        <v>78</v>
      </c>
      <c r="K25" s="408" t="s">
        <v>79</v>
      </c>
      <c r="L25" s="409"/>
      <c r="M25" s="31" t="s">
        <v>80</v>
      </c>
    </row>
    <row r="26" spans="1:13" ht="43.5" customHeight="1" thickBot="1">
      <c r="A26" s="205"/>
      <c r="B26" s="505" t="s">
        <v>172</v>
      </c>
      <c r="C26" s="506"/>
      <c r="D26" s="506"/>
      <c r="E26" s="506"/>
      <c r="F26" s="506"/>
      <c r="G26" s="506"/>
      <c r="H26" s="506"/>
      <c r="I26" s="507"/>
      <c r="J26" s="206">
        <v>1</v>
      </c>
      <c r="K26" s="508" t="s">
        <v>8</v>
      </c>
      <c r="L26" s="507"/>
      <c r="M26" s="207"/>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80" t="s">
        <v>83</v>
      </c>
      <c r="K30" s="421" t="s">
        <v>84</v>
      </c>
      <c r="L30" s="424"/>
      <c r="M30" s="44" t="s">
        <v>85</v>
      </c>
    </row>
    <row r="31" spans="1:13">
      <c r="A31" s="499" t="s">
        <v>124</v>
      </c>
      <c r="B31" s="500"/>
      <c r="C31" s="500"/>
      <c r="D31" s="500"/>
      <c r="E31" s="501"/>
      <c r="F31" s="482" t="s">
        <v>125</v>
      </c>
      <c r="G31" s="482"/>
      <c r="H31" s="472" t="s">
        <v>86</v>
      </c>
      <c r="I31" s="472"/>
      <c r="J31" s="208">
        <f>M58*10%</f>
        <v>1774.5121428571429</v>
      </c>
      <c r="K31" s="482">
        <v>1</v>
      </c>
      <c r="L31" s="482"/>
      <c r="M31" s="209">
        <f>K31*J31</f>
        <v>1774.5121428571429</v>
      </c>
    </row>
    <row r="32" spans="1:13" ht="15.75" thickBot="1">
      <c r="A32" s="499" t="s">
        <v>171</v>
      </c>
      <c r="B32" s="500"/>
      <c r="C32" s="500"/>
      <c r="D32" s="500"/>
      <c r="E32" s="501"/>
      <c r="F32" s="414" t="s">
        <v>110</v>
      </c>
      <c r="G32" s="415"/>
      <c r="H32" s="472" t="s">
        <v>86</v>
      </c>
      <c r="I32" s="472"/>
      <c r="J32" s="91">
        <v>33900</v>
      </c>
      <c r="K32" s="414">
        <v>0.05</v>
      </c>
      <c r="L32" s="415"/>
      <c r="M32" s="209">
        <f>K32*J32</f>
        <v>1695</v>
      </c>
    </row>
    <row r="33" spans="1:13" ht="15.75" thickBot="1">
      <c r="A33" s="416" t="s">
        <v>87</v>
      </c>
      <c r="B33" s="417"/>
      <c r="C33" s="417"/>
      <c r="D33" s="417"/>
      <c r="E33" s="417"/>
      <c r="F33" s="417"/>
      <c r="G33" s="417"/>
      <c r="H33" s="417"/>
      <c r="I33" s="417"/>
      <c r="J33" s="417"/>
      <c r="K33" s="417"/>
      <c r="L33" s="418"/>
      <c r="M33" s="210">
        <f>SUM(M31:M32)</f>
        <v>3469.5121428571429</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75" t="s">
        <v>79</v>
      </c>
      <c r="J37" s="180" t="s">
        <v>80</v>
      </c>
      <c r="K37" s="421" t="s">
        <v>89</v>
      </c>
      <c r="L37" s="424"/>
      <c r="M37" s="44" t="s">
        <v>85</v>
      </c>
    </row>
    <row r="38" spans="1:13">
      <c r="A38" s="502" t="s">
        <v>173</v>
      </c>
      <c r="B38" s="503"/>
      <c r="C38" s="503"/>
      <c r="D38" s="503"/>
      <c r="E38" s="503"/>
      <c r="F38" s="503"/>
      <c r="G38" s="503"/>
      <c r="H38" s="504"/>
      <c r="I38" s="73" t="s">
        <v>10</v>
      </c>
      <c r="J38" s="194">
        <v>3.3000000000000002E-2</v>
      </c>
      <c r="K38" s="456">
        <v>374278</v>
      </c>
      <c r="L38" s="457"/>
      <c r="M38" s="56">
        <f>K38*J38</f>
        <v>12351.174000000001</v>
      </c>
    </row>
    <row r="39" spans="1:13">
      <c r="A39" s="502" t="s">
        <v>174</v>
      </c>
      <c r="B39" s="503"/>
      <c r="C39" s="503"/>
      <c r="D39" s="503"/>
      <c r="E39" s="503"/>
      <c r="F39" s="503"/>
      <c r="G39" s="503"/>
      <c r="H39" s="504"/>
      <c r="I39" s="73" t="s">
        <v>111</v>
      </c>
      <c r="J39" s="194">
        <v>0.1</v>
      </c>
      <c r="K39" s="456">
        <v>2825.63</v>
      </c>
      <c r="L39" s="457"/>
      <c r="M39" s="56">
        <f t="shared" ref="M39:M42" si="0">K39*J39</f>
        <v>282.56300000000005</v>
      </c>
    </row>
    <row r="40" spans="1:13">
      <c r="A40" s="502" t="s">
        <v>175</v>
      </c>
      <c r="B40" s="503"/>
      <c r="C40" s="503"/>
      <c r="D40" s="503"/>
      <c r="E40" s="503"/>
      <c r="F40" s="503"/>
      <c r="G40" s="503"/>
      <c r="H40" s="504"/>
      <c r="I40" s="73" t="s">
        <v>8</v>
      </c>
      <c r="J40" s="194">
        <v>0.1</v>
      </c>
      <c r="K40" s="456">
        <v>2916.67</v>
      </c>
      <c r="L40" s="457"/>
      <c r="M40" s="56">
        <f t="shared" si="0"/>
        <v>291.66700000000003</v>
      </c>
    </row>
    <row r="41" spans="1:13">
      <c r="A41" s="502" t="s">
        <v>176</v>
      </c>
      <c r="B41" s="503"/>
      <c r="C41" s="503"/>
      <c r="D41" s="503"/>
      <c r="E41" s="503"/>
      <c r="F41" s="503"/>
      <c r="G41" s="503"/>
      <c r="H41" s="504"/>
      <c r="I41" s="73" t="s">
        <v>8</v>
      </c>
      <c r="J41" s="194">
        <v>0.25</v>
      </c>
      <c r="K41" s="456">
        <v>4482.75</v>
      </c>
      <c r="L41" s="457"/>
      <c r="M41" s="56">
        <f t="shared" si="0"/>
        <v>1120.6875</v>
      </c>
    </row>
    <row r="42" spans="1:13" ht="15.75" thickBot="1">
      <c r="A42" s="410" t="s">
        <v>177</v>
      </c>
      <c r="B42" s="411"/>
      <c r="C42" s="411"/>
      <c r="D42" s="411"/>
      <c r="E42" s="411"/>
      <c r="F42" s="411"/>
      <c r="G42" s="411"/>
      <c r="H42" s="412"/>
      <c r="I42" s="73" t="s">
        <v>115</v>
      </c>
      <c r="J42" s="211">
        <v>5.0000000000000001E-3</v>
      </c>
      <c r="K42" s="466">
        <v>117800</v>
      </c>
      <c r="L42" s="467"/>
      <c r="M42" s="56">
        <f t="shared" si="0"/>
        <v>589</v>
      </c>
    </row>
    <row r="43" spans="1:13" ht="15.75" thickBot="1">
      <c r="A43" s="416" t="s">
        <v>87</v>
      </c>
      <c r="B43" s="417"/>
      <c r="C43" s="417"/>
      <c r="D43" s="417"/>
      <c r="E43" s="417"/>
      <c r="F43" s="417"/>
      <c r="G43" s="417"/>
      <c r="H43" s="417"/>
      <c r="I43" s="417"/>
      <c r="J43" s="417"/>
      <c r="K43" s="417"/>
      <c r="L43" s="418"/>
      <c r="M43" s="58">
        <f>SUM(M38:M42)</f>
        <v>14635.0915</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180" t="s">
        <v>92</v>
      </c>
      <c r="I47" s="174" t="s">
        <v>93</v>
      </c>
      <c r="J47" s="60" t="s">
        <v>94</v>
      </c>
      <c r="K47" s="421" t="s">
        <v>95</v>
      </c>
      <c r="L47" s="424"/>
      <c r="M47" s="44" t="s">
        <v>85</v>
      </c>
    </row>
    <row r="48" spans="1:13">
      <c r="A48" s="425"/>
      <c r="B48" s="426"/>
      <c r="C48" s="426"/>
      <c r="D48" s="426"/>
      <c r="E48" s="426"/>
      <c r="F48" s="426"/>
      <c r="G48" s="426"/>
      <c r="H48" s="61"/>
      <c r="I48" s="55"/>
      <c r="J48" s="61"/>
      <c r="K48" s="428"/>
      <c r="L48" s="429"/>
      <c r="M48" s="62"/>
    </row>
    <row r="49" spans="1:14" ht="15.75" thickBot="1">
      <c r="A49" s="410"/>
      <c r="B49" s="411"/>
      <c r="C49" s="411"/>
      <c r="D49" s="411"/>
      <c r="E49" s="411"/>
      <c r="F49" s="411"/>
      <c r="G49" s="411"/>
      <c r="H49" s="47"/>
      <c r="I49" s="15"/>
      <c r="J49" s="47"/>
      <c r="K49" s="414"/>
      <c r="L49" s="415"/>
      <c r="M49" s="48"/>
    </row>
    <row r="50" spans="1:14" ht="15.75" thickBot="1">
      <c r="A50" s="416" t="s">
        <v>87</v>
      </c>
      <c r="B50" s="417"/>
      <c r="C50" s="417"/>
      <c r="D50" s="417"/>
      <c r="E50" s="417"/>
      <c r="F50" s="417"/>
      <c r="G50" s="417"/>
      <c r="H50" s="417"/>
      <c r="I50" s="417"/>
      <c r="J50" s="417"/>
      <c r="K50" s="417"/>
      <c r="L50" s="418"/>
      <c r="M50" s="63">
        <f>SUM(M48:M49)</f>
        <v>0</v>
      </c>
    </row>
    <row r="51" spans="1:14">
      <c r="A51" s="30"/>
      <c r="B51" s="19"/>
      <c r="C51" s="19"/>
      <c r="D51" s="19"/>
      <c r="E51" s="19"/>
      <c r="F51" s="19"/>
      <c r="G51" s="19"/>
      <c r="H51" s="19"/>
      <c r="I51" s="19"/>
      <c r="J51" s="19"/>
      <c r="K51" s="19"/>
      <c r="L51" s="19"/>
      <c r="M51" s="24"/>
    </row>
    <row r="52" spans="1:14">
      <c r="A52" s="51" t="s">
        <v>96</v>
      </c>
      <c r="B52" s="52"/>
      <c r="C52" s="52"/>
      <c r="D52" s="52"/>
      <c r="E52" s="52"/>
      <c r="F52" s="52"/>
      <c r="G52" s="52"/>
      <c r="H52" s="52"/>
      <c r="I52" s="52"/>
      <c r="J52" s="52"/>
      <c r="K52" s="52"/>
      <c r="L52" s="52"/>
      <c r="M52" s="53"/>
    </row>
    <row r="53" spans="1:14" ht="15.75" thickBot="1">
      <c r="A53" s="30"/>
      <c r="B53" s="19"/>
      <c r="C53" s="19"/>
      <c r="D53" s="19"/>
      <c r="E53" s="19"/>
      <c r="F53" s="19"/>
      <c r="G53" s="19"/>
      <c r="H53" s="19"/>
      <c r="I53" s="19"/>
      <c r="J53" s="19"/>
      <c r="K53" s="19"/>
      <c r="L53" s="19"/>
      <c r="M53" s="24"/>
    </row>
    <row r="54" spans="1:14" ht="26.25">
      <c r="A54" s="453" t="s">
        <v>97</v>
      </c>
      <c r="B54" s="454"/>
      <c r="C54" s="454"/>
      <c r="D54" s="454"/>
      <c r="E54" s="454"/>
      <c r="F54" s="454"/>
      <c r="G54" s="454"/>
      <c r="H54" s="180" t="s">
        <v>98</v>
      </c>
      <c r="I54" s="181" t="s">
        <v>99</v>
      </c>
      <c r="J54" s="181" t="s">
        <v>100</v>
      </c>
      <c r="K54" s="455" t="s">
        <v>84</v>
      </c>
      <c r="L54" s="455"/>
      <c r="M54" s="65" t="s">
        <v>85</v>
      </c>
    </row>
    <row r="55" spans="1:14">
      <c r="A55" s="471" t="s">
        <v>126</v>
      </c>
      <c r="B55" s="472"/>
      <c r="C55" s="472"/>
      <c r="D55" s="472"/>
      <c r="E55" s="472"/>
      <c r="F55" s="472"/>
      <c r="G55" s="472"/>
      <c r="H55" s="1">
        <v>112923.49999999999</v>
      </c>
      <c r="I55" s="2">
        <v>2.2000000000000002</v>
      </c>
      <c r="J55" s="66">
        <f>(I55*H55)</f>
        <v>248431.69999999998</v>
      </c>
      <c r="K55" s="473">
        <v>14</v>
      </c>
      <c r="L55" s="473"/>
      <c r="M55" s="56">
        <f>J55/K55</f>
        <v>17745.121428571427</v>
      </c>
    </row>
    <row r="56" spans="1:14">
      <c r="A56" s="471"/>
      <c r="B56" s="472"/>
      <c r="C56" s="472"/>
      <c r="D56" s="472"/>
      <c r="E56" s="472"/>
      <c r="F56" s="472"/>
      <c r="G56" s="472"/>
      <c r="H56" s="1"/>
      <c r="I56" s="2"/>
      <c r="J56" s="66"/>
      <c r="K56" s="473"/>
      <c r="L56" s="473"/>
      <c r="M56" s="56"/>
    </row>
    <row r="57" spans="1:14" ht="15.75" thickBot="1">
      <c r="A57" s="432"/>
      <c r="B57" s="433"/>
      <c r="C57" s="433"/>
      <c r="D57" s="433"/>
      <c r="E57" s="433"/>
      <c r="F57" s="433"/>
      <c r="G57" s="433"/>
      <c r="H57" s="3"/>
      <c r="I57" s="4"/>
      <c r="J57" s="67"/>
      <c r="K57" s="434"/>
      <c r="L57" s="434"/>
      <c r="M57" s="68"/>
    </row>
    <row r="58" spans="1:14" ht="15.75" thickBot="1">
      <c r="A58" s="435" t="s">
        <v>87</v>
      </c>
      <c r="B58" s="436"/>
      <c r="C58" s="436"/>
      <c r="D58" s="436"/>
      <c r="E58" s="436"/>
      <c r="F58" s="436"/>
      <c r="G58" s="436"/>
      <c r="H58" s="436"/>
      <c r="I58" s="436"/>
      <c r="J58" s="436"/>
      <c r="K58" s="436"/>
      <c r="L58" s="437"/>
      <c r="M58" s="69">
        <f>SUM(M55:M57)</f>
        <v>17745.121428571427</v>
      </c>
    </row>
    <row r="59" spans="1:14" ht="15.75" thickBot="1">
      <c r="A59" s="30"/>
      <c r="B59" s="19"/>
      <c r="C59" s="19"/>
      <c r="D59" s="19"/>
      <c r="E59" s="19"/>
      <c r="F59" s="19"/>
      <c r="G59" s="19"/>
      <c r="H59" s="19"/>
      <c r="I59" s="19"/>
      <c r="J59" s="19"/>
      <c r="K59" s="19"/>
      <c r="L59" s="19"/>
      <c r="M59" s="24"/>
    </row>
    <row r="60" spans="1:14" ht="15.75" thickBot="1">
      <c r="A60" s="416" t="s">
        <v>101</v>
      </c>
      <c r="B60" s="417"/>
      <c r="C60" s="417"/>
      <c r="D60" s="417"/>
      <c r="E60" s="417"/>
      <c r="F60" s="417"/>
      <c r="G60" s="417"/>
      <c r="H60" s="417"/>
      <c r="I60" s="417"/>
      <c r="J60" s="417"/>
      <c r="K60" s="417"/>
      <c r="L60" s="418"/>
      <c r="M60" s="70">
        <f>ROUND(M58+M50+M43+M33,0)</f>
        <v>35850</v>
      </c>
      <c r="N60" s="155"/>
    </row>
    <row r="61" spans="1:14">
      <c r="A61" s="30"/>
      <c r="B61" s="19"/>
      <c r="C61" s="19"/>
      <c r="D61" s="19"/>
      <c r="E61" s="19"/>
      <c r="F61" s="19"/>
      <c r="G61" s="19"/>
      <c r="H61" s="19"/>
      <c r="I61" s="19"/>
      <c r="J61" s="19"/>
      <c r="K61" s="19"/>
      <c r="L61" s="19"/>
      <c r="M61" s="24"/>
    </row>
    <row r="62" spans="1:14">
      <c r="A62" s="51" t="s">
        <v>102</v>
      </c>
      <c r="B62" s="52"/>
      <c r="C62" s="52"/>
      <c r="D62" s="52"/>
      <c r="E62" s="52"/>
      <c r="F62" s="52"/>
      <c r="G62" s="52"/>
      <c r="H62" s="52"/>
      <c r="I62" s="52"/>
      <c r="J62" s="52"/>
      <c r="K62" s="52"/>
      <c r="L62" s="52"/>
      <c r="M62" s="53"/>
    </row>
    <row r="63" spans="1:14" ht="15.75" thickBot="1">
      <c r="A63" s="30"/>
      <c r="B63" s="19"/>
      <c r="C63" s="19"/>
      <c r="D63" s="19"/>
      <c r="E63" s="19"/>
      <c r="F63" s="19"/>
      <c r="G63" s="19"/>
      <c r="H63" s="19"/>
      <c r="I63" s="19"/>
      <c r="J63" s="19"/>
      <c r="K63" s="19"/>
      <c r="L63" s="19"/>
      <c r="M63" s="24"/>
    </row>
    <row r="64" spans="1:14" ht="15.75" thickBot="1">
      <c r="A64" s="438" t="s">
        <v>103</v>
      </c>
      <c r="B64" s="439"/>
      <c r="C64" s="439"/>
      <c r="D64" s="439"/>
      <c r="E64" s="439"/>
      <c r="F64" s="439"/>
      <c r="G64" s="439"/>
      <c r="H64" s="176"/>
      <c r="I64" s="177"/>
      <c r="J64" s="81" t="s">
        <v>104</v>
      </c>
      <c r="K64" s="440" t="s">
        <v>105</v>
      </c>
      <c r="L64" s="441"/>
      <c r="M64" s="82"/>
    </row>
    <row r="65" spans="1:13">
      <c r="A65" s="442" t="s">
        <v>106</v>
      </c>
      <c r="B65" s="443"/>
      <c r="C65" s="443"/>
      <c r="D65" s="443"/>
      <c r="E65" s="443"/>
      <c r="F65" s="443"/>
      <c r="G65" s="443"/>
      <c r="H65" s="83"/>
      <c r="I65" s="84"/>
      <c r="J65" s="85">
        <v>0.19</v>
      </c>
      <c r="K65" s="444">
        <f>M60*J65</f>
        <v>6811.5</v>
      </c>
      <c r="L65" s="444"/>
      <c r="M65" s="86"/>
    </row>
    <row r="66" spans="1:13">
      <c r="A66" s="447" t="s">
        <v>107</v>
      </c>
      <c r="B66" s="448"/>
      <c r="C66" s="448"/>
      <c r="D66" s="448"/>
      <c r="E66" s="448"/>
      <c r="F66" s="448"/>
      <c r="G66" s="449"/>
      <c r="H66" s="77"/>
      <c r="I66" s="78"/>
      <c r="J66" s="5">
        <v>0.01</v>
      </c>
      <c r="K66" s="445">
        <f>M60*J66</f>
        <v>358.5</v>
      </c>
      <c r="L66" s="445"/>
      <c r="M66" s="6"/>
    </row>
    <row r="67" spans="1:13">
      <c r="A67" s="447" t="s">
        <v>108</v>
      </c>
      <c r="B67" s="448"/>
      <c r="C67" s="448"/>
      <c r="D67" s="448"/>
      <c r="E67" s="448"/>
      <c r="F67" s="448"/>
      <c r="G67" s="449"/>
      <c r="H67" s="77"/>
      <c r="I67" s="78"/>
      <c r="J67" s="5">
        <v>0.05</v>
      </c>
      <c r="K67" s="445">
        <f>M60*J67</f>
        <v>1792.5</v>
      </c>
      <c r="L67" s="445"/>
      <c r="M67" s="6"/>
    </row>
    <row r="68" spans="1:13" ht="15.75" thickBot="1">
      <c r="A68" s="450" t="s">
        <v>117</v>
      </c>
      <c r="B68" s="451"/>
      <c r="C68" s="451"/>
      <c r="D68" s="451"/>
      <c r="E68" s="451"/>
      <c r="F68" s="451"/>
      <c r="G68" s="452"/>
      <c r="H68" s="87"/>
      <c r="I68" s="88"/>
      <c r="J68" s="89">
        <v>0.19</v>
      </c>
      <c r="K68" s="446">
        <f>K67*J68</f>
        <v>340.57499999999999</v>
      </c>
      <c r="L68" s="446"/>
      <c r="M68" s="90"/>
    </row>
    <row r="69" spans="1:13" ht="15.75" thickBot="1">
      <c r="A69" s="435" t="s">
        <v>87</v>
      </c>
      <c r="B69" s="436"/>
      <c r="C69" s="436"/>
      <c r="D69" s="436"/>
      <c r="E69" s="436"/>
      <c r="F69" s="436"/>
      <c r="G69" s="436"/>
      <c r="H69" s="436"/>
      <c r="I69" s="436"/>
      <c r="J69" s="436"/>
      <c r="K69" s="436"/>
      <c r="L69" s="437"/>
      <c r="M69" s="76">
        <f>SUM(K65:L68)</f>
        <v>9303.0750000000007</v>
      </c>
    </row>
    <row r="70" spans="1:13" ht="15.75" thickBot="1">
      <c r="A70" s="30"/>
      <c r="B70" s="19"/>
      <c r="C70" s="19"/>
      <c r="D70" s="19"/>
      <c r="E70" s="19"/>
      <c r="F70" s="19"/>
      <c r="G70" s="19"/>
      <c r="H70" s="19"/>
      <c r="I70" s="19"/>
      <c r="J70" s="19"/>
      <c r="K70" s="19"/>
      <c r="L70" s="19"/>
      <c r="M70" s="24"/>
    </row>
    <row r="71" spans="1:13" ht="15.75" thickBot="1">
      <c r="A71" s="416" t="s">
        <v>109</v>
      </c>
      <c r="B71" s="417"/>
      <c r="C71" s="417"/>
      <c r="D71" s="417"/>
      <c r="E71" s="417"/>
      <c r="F71" s="417"/>
      <c r="G71" s="417"/>
      <c r="H71" s="417"/>
      <c r="I71" s="417"/>
      <c r="J71" s="417"/>
      <c r="K71" s="417"/>
      <c r="L71" s="418"/>
      <c r="M71" s="71">
        <f>ROUND(M60+M69,0)</f>
        <v>45153</v>
      </c>
    </row>
  </sheetData>
  <mergeCells count="75">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2:E32"/>
    <mergeCell ref="F32:G32"/>
    <mergeCell ref="H32:I32"/>
    <mergeCell ref="K32:L32"/>
    <mergeCell ref="A33:L33"/>
    <mergeCell ref="A38:H38"/>
    <mergeCell ref="K38:L38"/>
    <mergeCell ref="A39:H39"/>
    <mergeCell ref="K39:L39"/>
    <mergeCell ref="A40:H40"/>
    <mergeCell ref="K40:L40"/>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65:G65"/>
    <mergeCell ref="K65:L65"/>
    <mergeCell ref="A55:G55"/>
    <mergeCell ref="K55:L55"/>
    <mergeCell ref="A56:G56"/>
    <mergeCell ref="K56:L56"/>
    <mergeCell ref="A57:G57"/>
    <mergeCell ref="K57:L57"/>
    <mergeCell ref="A69:L69"/>
    <mergeCell ref="A71:L71"/>
    <mergeCell ref="A31:E31"/>
    <mergeCell ref="F31:G31"/>
    <mergeCell ref="H31:I31"/>
    <mergeCell ref="K31:L31"/>
    <mergeCell ref="A66:G66"/>
    <mergeCell ref="K66:L66"/>
    <mergeCell ref="A67:G67"/>
    <mergeCell ref="K67:L67"/>
    <mergeCell ref="A68:G68"/>
    <mergeCell ref="K68:L68"/>
    <mergeCell ref="A58:L58"/>
    <mergeCell ref="A60:L60"/>
    <mergeCell ref="A64:G64"/>
    <mergeCell ref="K64:L64"/>
  </mergeCells>
  <pageMargins left="0.7" right="0.7" top="0.75" bottom="0.75" header="0.3" footer="0.3"/>
  <pageSetup scale="5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topLeftCell="A46" zoomScale="80" zoomScaleNormal="100" zoomScaleSheetLayoutView="80" workbookViewId="0">
      <selection activeCell="M58" sqref="M58"/>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08"/>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09" t="s">
        <v>71</v>
      </c>
      <c r="H12" s="394"/>
      <c r="I12" s="394"/>
      <c r="J12" s="23"/>
      <c r="K12" s="23"/>
      <c r="L12" s="23"/>
      <c r="M12" s="24"/>
    </row>
    <row r="13" spans="1:13">
      <c r="A13" s="25" t="s">
        <v>72</v>
      </c>
      <c r="B13" s="26"/>
      <c r="C13" s="395" t="s">
        <v>136</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09"/>
      <c r="D17" s="109"/>
      <c r="E17" s="109"/>
      <c r="F17" s="109"/>
      <c r="G17" s="109"/>
      <c r="H17" s="109"/>
      <c r="I17" s="109"/>
      <c r="J17" s="109"/>
      <c r="K17" s="109"/>
      <c r="L17" s="109"/>
      <c r="M17" s="13"/>
    </row>
    <row r="18" spans="1:13">
      <c r="A18" s="25" t="s">
        <v>74</v>
      </c>
      <c r="B18" s="26"/>
      <c r="C18" s="379"/>
      <c r="D18" s="379"/>
      <c r="E18" s="379"/>
      <c r="F18" s="379"/>
      <c r="G18" s="379"/>
      <c r="H18" s="379"/>
      <c r="I18" s="379"/>
      <c r="J18" s="379"/>
      <c r="K18" s="379"/>
      <c r="L18" s="379"/>
      <c r="M18" s="380"/>
    </row>
    <row r="19" spans="1:13">
      <c r="A19" s="25"/>
      <c r="B19" s="26"/>
      <c r="C19" s="109"/>
      <c r="D19" s="109"/>
      <c r="E19" s="109"/>
      <c r="F19" s="109"/>
      <c r="G19" s="109"/>
      <c r="H19" s="109"/>
      <c r="I19" s="109"/>
      <c r="J19" s="109"/>
      <c r="K19" s="109"/>
      <c r="L19" s="109"/>
      <c r="M19" s="13"/>
    </row>
    <row r="20" spans="1:13" ht="31.5" customHeight="1">
      <c r="A20" s="464" t="s">
        <v>113</v>
      </c>
      <c r="B20" s="465"/>
      <c r="C20" s="379"/>
      <c r="D20" s="379"/>
      <c r="E20" s="379"/>
      <c r="F20" s="379"/>
      <c r="G20" s="379"/>
      <c r="H20" s="379"/>
      <c r="I20" s="379"/>
      <c r="J20" s="379"/>
      <c r="K20" s="379"/>
      <c r="L20" s="379"/>
      <c r="M20" s="380"/>
    </row>
    <row r="21" spans="1:13">
      <c r="A21" s="400"/>
      <c r="B21" s="401"/>
      <c r="C21" s="109"/>
      <c r="D21" s="109"/>
      <c r="E21" s="109"/>
      <c r="F21" s="109"/>
      <c r="G21" s="109"/>
      <c r="H21" s="109"/>
      <c r="I21" s="109"/>
      <c r="J21" s="109"/>
      <c r="K21" s="109"/>
      <c r="L21" s="109"/>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03" t="s">
        <v>78</v>
      </c>
      <c r="K25" s="408" t="s">
        <v>79</v>
      </c>
      <c r="L25" s="409"/>
      <c r="M25" s="31" t="s">
        <v>80</v>
      </c>
    </row>
    <row r="26" spans="1:13" ht="15.75" thickBot="1">
      <c r="A26" s="33"/>
      <c r="B26" s="391" t="s">
        <v>138</v>
      </c>
      <c r="C26" s="392"/>
      <c r="D26" s="392"/>
      <c r="E26" s="392"/>
      <c r="F26" s="392"/>
      <c r="G26" s="392"/>
      <c r="H26" s="392"/>
      <c r="I26" s="393"/>
      <c r="J26" s="100">
        <v>1</v>
      </c>
      <c r="K26" s="391" t="s">
        <v>115</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10" t="s">
        <v>83</v>
      </c>
      <c r="K30" s="421" t="s">
        <v>84</v>
      </c>
      <c r="L30" s="424"/>
      <c r="M30" s="44" t="s">
        <v>85</v>
      </c>
    </row>
    <row r="31" spans="1:13">
      <c r="A31" s="425" t="s">
        <v>134</v>
      </c>
      <c r="B31" s="426"/>
      <c r="C31" s="426"/>
      <c r="D31" s="426"/>
      <c r="E31" s="427"/>
      <c r="F31" s="428" t="s">
        <v>123</v>
      </c>
      <c r="G31" s="429"/>
      <c r="H31" s="430" t="s">
        <v>86</v>
      </c>
      <c r="I31" s="427"/>
      <c r="J31" s="72">
        <v>70067</v>
      </c>
      <c r="K31" s="468">
        <v>10.403916650385929</v>
      </c>
      <c r="L31" s="469"/>
      <c r="M31" s="46">
        <f>J31/K31</f>
        <v>6734.6752530356816</v>
      </c>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6734.6752530356816</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05" t="s">
        <v>79</v>
      </c>
      <c r="J37" s="110" t="s">
        <v>80</v>
      </c>
      <c r="K37" s="421" t="s">
        <v>89</v>
      </c>
      <c r="L37" s="424"/>
      <c r="M37" s="44" t="s">
        <v>85</v>
      </c>
    </row>
    <row r="38" spans="1:13">
      <c r="A38" s="425"/>
      <c r="B38" s="426"/>
      <c r="C38" s="426"/>
      <c r="D38" s="426"/>
      <c r="E38" s="426"/>
      <c r="F38" s="426"/>
      <c r="G38" s="426"/>
      <c r="H38" s="427"/>
      <c r="I38" s="73"/>
      <c r="J38" s="45"/>
      <c r="K38" s="456"/>
      <c r="L38" s="457"/>
      <c r="M38" s="56"/>
    </row>
    <row r="39" spans="1:13">
      <c r="A39" s="425"/>
      <c r="B39" s="426"/>
      <c r="C39" s="426"/>
      <c r="D39" s="426"/>
      <c r="E39" s="426"/>
      <c r="F39" s="426"/>
      <c r="G39" s="426"/>
      <c r="H39" s="427"/>
      <c r="I39" s="73"/>
      <c r="J39" s="45"/>
      <c r="K39" s="456"/>
      <c r="L39" s="457"/>
      <c r="M39" s="56"/>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ht="15.75" thickBot="1">
      <c r="A42" s="410"/>
      <c r="B42" s="411"/>
      <c r="C42" s="411"/>
      <c r="D42" s="411"/>
      <c r="E42" s="411"/>
      <c r="F42" s="411"/>
      <c r="G42" s="411"/>
      <c r="H42" s="412"/>
      <c r="I42" s="74"/>
      <c r="J42" s="57"/>
      <c r="K42" s="466"/>
      <c r="L42" s="467"/>
      <c r="M42" s="75"/>
    </row>
    <row r="43" spans="1:13" ht="15.75" thickBot="1">
      <c r="A43" s="416" t="s">
        <v>87</v>
      </c>
      <c r="B43" s="417"/>
      <c r="C43" s="417"/>
      <c r="D43" s="417"/>
      <c r="E43" s="417"/>
      <c r="F43" s="417"/>
      <c r="G43" s="417"/>
      <c r="H43" s="417"/>
      <c r="I43" s="417"/>
      <c r="J43" s="417"/>
      <c r="K43" s="417"/>
      <c r="L43" s="418"/>
      <c r="M43" s="58">
        <f>SUM(M38:M42)</f>
        <v>0</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110" t="s">
        <v>92</v>
      </c>
      <c r="I47" s="104" t="s">
        <v>93</v>
      </c>
      <c r="J47" s="60" t="s">
        <v>94</v>
      </c>
      <c r="K47" s="421" t="s">
        <v>95</v>
      </c>
      <c r="L47" s="424"/>
      <c r="M47" s="44" t="s">
        <v>85</v>
      </c>
    </row>
    <row r="48" spans="1:13">
      <c r="A48" s="425"/>
      <c r="B48" s="426"/>
      <c r="C48" s="426"/>
      <c r="D48" s="426"/>
      <c r="E48" s="426"/>
      <c r="F48" s="426"/>
      <c r="G48" s="426"/>
      <c r="H48" s="61"/>
      <c r="I48" s="55"/>
      <c r="J48" s="61"/>
      <c r="K48" s="428"/>
      <c r="L48" s="429"/>
      <c r="M48" s="62"/>
    </row>
    <row r="49" spans="1:15" ht="15.75" thickBot="1">
      <c r="A49" s="410"/>
      <c r="B49" s="411"/>
      <c r="C49" s="411"/>
      <c r="D49" s="411"/>
      <c r="E49" s="411"/>
      <c r="F49" s="411"/>
      <c r="G49" s="411"/>
      <c r="H49" s="47"/>
      <c r="I49" s="15"/>
      <c r="J49" s="47"/>
      <c r="K49" s="414"/>
      <c r="L49" s="415"/>
      <c r="M49" s="48"/>
    </row>
    <row r="50" spans="1:15" ht="15.75" thickBot="1">
      <c r="A50" s="416" t="s">
        <v>87</v>
      </c>
      <c r="B50" s="417"/>
      <c r="C50" s="417"/>
      <c r="D50" s="417"/>
      <c r="E50" s="417"/>
      <c r="F50" s="417"/>
      <c r="G50" s="417"/>
      <c r="H50" s="417"/>
      <c r="I50" s="417"/>
      <c r="J50" s="417"/>
      <c r="K50" s="417"/>
      <c r="L50" s="418"/>
      <c r="M50" s="63">
        <f>SUM(M48:M49)</f>
        <v>0</v>
      </c>
    </row>
    <row r="51" spans="1:15">
      <c r="A51" s="30"/>
      <c r="B51" s="19"/>
      <c r="C51" s="19"/>
      <c r="D51" s="19"/>
      <c r="E51" s="19"/>
      <c r="F51" s="19"/>
      <c r="G51" s="19"/>
      <c r="H51" s="19"/>
      <c r="I51" s="19"/>
      <c r="J51" s="19"/>
      <c r="K51" s="19"/>
      <c r="L51" s="19"/>
      <c r="M51" s="24"/>
    </row>
    <row r="52" spans="1:15">
      <c r="A52" s="51" t="s">
        <v>96</v>
      </c>
      <c r="B52" s="52"/>
      <c r="C52" s="52"/>
      <c r="D52" s="52"/>
      <c r="E52" s="52"/>
      <c r="F52" s="52"/>
      <c r="G52" s="52"/>
      <c r="H52" s="52"/>
      <c r="I52" s="52"/>
      <c r="J52" s="52"/>
      <c r="K52" s="52"/>
      <c r="L52" s="52"/>
      <c r="M52" s="53"/>
    </row>
    <row r="53" spans="1:15" ht="15.75" thickBot="1">
      <c r="A53" s="30"/>
      <c r="B53" s="19"/>
      <c r="C53" s="19"/>
      <c r="D53" s="19"/>
      <c r="E53" s="19"/>
      <c r="F53" s="19"/>
      <c r="G53" s="19"/>
      <c r="H53" s="19"/>
      <c r="I53" s="19"/>
      <c r="J53" s="19"/>
      <c r="K53" s="19"/>
      <c r="L53" s="19"/>
      <c r="M53" s="24"/>
    </row>
    <row r="54" spans="1:15" ht="26.25">
      <c r="A54" s="453" t="s">
        <v>97</v>
      </c>
      <c r="B54" s="454"/>
      <c r="C54" s="454"/>
      <c r="D54" s="454"/>
      <c r="E54" s="454"/>
      <c r="F54" s="454"/>
      <c r="G54" s="454"/>
      <c r="H54" s="110" t="s">
        <v>98</v>
      </c>
      <c r="I54" s="111" t="s">
        <v>99</v>
      </c>
      <c r="J54" s="111" t="s">
        <v>100</v>
      </c>
      <c r="K54" s="455" t="s">
        <v>84</v>
      </c>
      <c r="L54" s="455"/>
      <c r="M54" s="65" t="s">
        <v>85</v>
      </c>
    </row>
    <row r="55" spans="1:15" ht="15.75" thickBot="1">
      <c r="A55" s="432" t="s">
        <v>122</v>
      </c>
      <c r="B55" s="433"/>
      <c r="C55" s="433"/>
      <c r="D55" s="433"/>
      <c r="E55" s="433"/>
      <c r="F55" s="433"/>
      <c r="G55" s="433"/>
      <c r="H55" s="3">
        <v>85839.318181818162</v>
      </c>
      <c r="I55" s="4">
        <v>2.2000000000000002</v>
      </c>
      <c r="J55" s="67">
        <f>(I55*H55)</f>
        <v>188846.49999999997</v>
      </c>
      <c r="K55" s="434">
        <v>20</v>
      </c>
      <c r="L55" s="434"/>
      <c r="M55" s="68">
        <f>J55/K55</f>
        <v>9442.3249999999989</v>
      </c>
    </row>
    <row r="56" spans="1:15" ht="15.75" thickBot="1">
      <c r="A56" s="435" t="s">
        <v>87</v>
      </c>
      <c r="B56" s="436"/>
      <c r="C56" s="436"/>
      <c r="D56" s="436"/>
      <c r="E56" s="436"/>
      <c r="F56" s="436"/>
      <c r="G56" s="436"/>
      <c r="H56" s="436"/>
      <c r="I56" s="436"/>
      <c r="J56" s="436"/>
      <c r="K56" s="436"/>
      <c r="L56" s="437"/>
      <c r="M56" s="69">
        <f>SUM(M55:M55)</f>
        <v>9442.3249999999989</v>
      </c>
      <c r="O56" s="155"/>
    </row>
    <row r="57" spans="1:15" ht="15.75" thickBot="1">
      <c r="A57" s="30"/>
      <c r="B57" s="19"/>
      <c r="C57" s="19"/>
      <c r="D57" s="19"/>
      <c r="E57" s="19"/>
      <c r="F57" s="19"/>
      <c r="G57" s="19"/>
      <c r="H57" s="19"/>
      <c r="I57" s="19"/>
      <c r="J57" s="19"/>
      <c r="K57" s="19"/>
      <c r="L57" s="19"/>
      <c r="M57" s="24"/>
    </row>
    <row r="58" spans="1:15" ht="15.75" thickBot="1">
      <c r="A58" s="416" t="s">
        <v>101</v>
      </c>
      <c r="B58" s="417"/>
      <c r="C58" s="417"/>
      <c r="D58" s="417"/>
      <c r="E58" s="417"/>
      <c r="F58" s="417"/>
      <c r="G58" s="417"/>
      <c r="H58" s="417"/>
      <c r="I58" s="417"/>
      <c r="J58" s="417"/>
      <c r="K58" s="417"/>
      <c r="L58" s="418"/>
      <c r="M58" s="70">
        <f>ROUND(M56+M50+M43+M33,0)</f>
        <v>16177</v>
      </c>
    </row>
    <row r="59" spans="1:15">
      <c r="A59" s="30"/>
      <c r="B59" s="19"/>
      <c r="C59" s="19"/>
      <c r="D59" s="19"/>
      <c r="E59" s="19"/>
      <c r="F59" s="19"/>
      <c r="G59" s="19"/>
      <c r="H59" s="19"/>
      <c r="I59" s="19"/>
      <c r="J59" s="19"/>
      <c r="K59" s="19"/>
      <c r="L59" s="19"/>
      <c r="M59" s="24"/>
    </row>
    <row r="60" spans="1:15">
      <c r="A60" s="51" t="s">
        <v>102</v>
      </c>
      <c r="B60" s="52"/>
      <c r="C60" s="52"/>
      <c r="D60" s="52"/>
      <c r="E60" s="52"/>
      <c r="F60" s="52"/>
      <c r="G60" s="52"/>
      <c r="H60" s="52"/>
      <c r="I60" s="52"/>
      <c r="J60" s="52"/>
      <c r="K60" s="52"/>
      <c r="L60" s="52"/>
      <c r="M60" s="53"/>
    </row>
    <row r="61" spans="1:15" ht="15.75" thickBot="1">
      <c r="A61" s="30"/>
      <c r="B61" s="19"/>
      <c r="C61" s="19"/>
      <c r="D61" s="19"/>
      <c r="E61" s="19"/>
      <c r="F61" s="19"/>
      <c r="G61" s="19"/>
      <c r="H61" s="19"/>
      <c r="I61" s="19"/>
      <c r="J61" s="19"/>
      <c r="K61" s="19"/>
      <c r="L61" s="19"/>
      <c r="M61" s="24"/>
    </row>
    <row r="62" spans="1:15" ht="15.75" thickBot="1">
      <c r="A62" s="438" t="s">
        <v>103</v>
      </c>
      <c r="B62" s="439"/>
      <c r="C62" s="439"/>
      <c r="D62" s="439"/>
      <c r="E62" s="439"/>
      <c r="F62" s="439"/>
      <c r="G62" s="439"/>
      <c r="H62" s="106"/>
      <c r="I62" s="107"/>
      <c r="J62" s="81" t="s">
        <v>104</v>
      </c>
      <c r="K62" s="440" t="s">
        <v>105</v>
      </c>
      <c r="L62" s="441"/>
      <c r="M62" s="82"/>
    </row>
    <row r="63" spans="1:15">
      <c r="A63" s="442" t="s">
        <v>106</v>
      </c>
      <c r="B63" s="443"/>
      <c r="C63" s="443"/>
      <c r="D63" s="443"/>
      <c r="E63" s="443"/>
      <c r="F63" s="443"/>
      <c r="G63" s="443"/>
      <c r="H63" s="83"/>
      <c r="I63" s="84"/>
      <c r="J63" s="85">
        <v>0.19</v>
      </c>
      <c r="K63" s="444">
        <f>M58*J63</f>
        <v>3073.63</v>
      </c>
      <c r="L63" s="444"/>
      <c r="M63" s="86"/>
    </row>
    <row r="64" spans="1:15">
      <c r="A64" s="447" t="s">
        <v>107</v>
      </c>
      <c r="B64" s="448"/>
      <c r="C64" s="448"/>
      <c r="D64" s="448"/>
      <c r="E64" s="448"/>
      <c r="F64" s="448"/>
      <c r="G64" s="449"/>
      <c r="H64" s="77"/>
      <c r="I64" s="78"/>
      <c r="J64" s="5">
        <v>0.01</v>
      </c>
      <c r="K64" s="445">
        <f>M58*J64</f>
        <v>161.77000000000001</v>
      </c>
      <c r="L64" s="445"/>
      <c r="M64" s="6"/>
    </row>
    <row r="65" spans="1:13">
      <c r="A65" s="447" t="s">
        <v>108</v>
      </c>
      <c r="B65" s="448"/>
      <c r="C65" s="448"/>
      <c r="D65" s="448"/>
      <c r="E65" s="448"/>
      <c r="F65" s="448"/>
      <c r="G65" s="449"/>
      <c r="H65" s="77"/>
      <c r="I65" s="78"/>
      <c r="J65" s="5">
        <v>0.05</v>
      </c>
      <c r="K65" s="445">
        <f>M58*J65</f>
        <v>808.85</v>
      </c>
      <c r="L65" s="445"/>
      <c r="M65" s="6"/>
    </row>
    <row r="66" spans="1:13" ht="15.75" thickBot="1">
      <c r="A66" s="450" t="s">
        <v>117</v>
      </c>
      <c r="B66" s="451"/>
      <c r="C66" s="451"/>
      <c r="D66" s="451"/>
      <c r="E66" s="451"/>
      <c r="F66" s="451"/>
      <c r="G66" s="452"/>
      <c r="H66" s="87"/>
      <c r="I66" s="88"/>
      <c r="J66" s="89">
        <v>0.19</v>
      </c>
      <c r="K66" s="446">
        <f>K65*J66</f>
        <v>153.6815</v>
      </c>
      <c r="L66" s="446"/>
      <c r="M66" s="90"/>
    </row>
    <row r="67" spans="1:13" ht="15.75" thickBot="1">
      <c r="A67" s="435" t="s">
        <v>87</v>
      </c>
      <c r="B67" s="436"/>
      <c r="C67" s="436"/>
      <c r="D67" s="436"/>
      <c r="E67" s="436"/>
      <c r="F67" s="436"/>
      <c r="G67" s="436"/>
      <c r="H67" s="436"/>
      <c r="I67" s="436"/>
      <c r="J67" s="436"/>
      <c r="K67" s="436"/>
      <c r="L67" s="437"/>
      <c r="M67" s="76">
        <f>SUM(K63:L66)</f>
        <v>4197.9314999999997</v>
      </c>
    </row>
    <row r="68" spans="1:13" ht="15.75" thickBot="1">
      <c r="A68" s="30"/>
      <c r="B68" s="19"/>
      <c r="C68" s="19"/>
      <c r="D68" s="19"/>
      <c r="E68" s="19"/>
      <c r="F68" s="19"/>
      <c r="G68" s="19"/>
      <c r="H68" s="19"/>
      <c r="I68" s="19"/>
      <c r="J68" s="19"/>
      <c r="K68" s="19"/>
      <c r="L68" s="19"/>
      <c r="M68" s="24"/>
    </row>
    <row r="69" spans="1:13" ht="15.75" thickBot="1">
      <c r="A69" s="416" t="s">
        <v>109</v>
      </c>
      <c r="B69" s="417"/>
      <c r="C69" s="417"/>
      <c r="D69" s="417"/>
      <c r="E69" s="417"/>
      <c r="F69" s="417"/>
      <c r="G69" s="417"/>
      <c r="H69" s="417"/>
      <c r="I69" s="417"/>
      <c r="J69" s="417"/>
      <c r="K69" s="417"/>
      <c r="L69" s="418"/>
      <c r="M69" s="71">
        <f>ROUND(M58+M67,0)</f>
        <v>20375</v>
      </c>
    </row>
  </sheetData>
  <mergeCells count="71">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L56"/>
    <mergeCell ref="A58:L58"/>
    <mergeCell ref="A62:G62"/>
    <mergeCell ref="K62:L62"/>
    <mergeCell ref="A66:G66"/>
    <mergeCell ref="K66:L66"/>
    <mergeCell ref="A67:L67"/>
    <mergeCell ref="A69:L69"/>
    <mergeCell ref="A63:G63"/>
    <mergeCell ref="K63:L63"/>
    <mergeCell ref="A64:G64"/>
    <mergeCell ref="K64:L64"/>
    <mergeCell ref="A65:G65"/>
    <mergeCell ref="K65:L65"/>
  </mergeCells>
  <pageMargins left="0.7" right="0.7" top="0.75" bottom="0.75" header="0.3" footer="0.3"/>
  <pageSetup scale="57"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view="pageBreakPreview" topLeftCell="A52" zoomScale="80" zoomScaleNormal="100" zoomScaleSheetLayoutView="80" workbookViewId="0">
      <selection activeCell="M64" sqref="M64"/>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92"/>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93"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93"/>
      <c r="D17" s="193"/>
      <c r="E17" s="193"/>
      <c r="F17" s="193"/>
      <c r="G17" s="193"/>
      <c r="H17" s="193"/>
      <c r="I17" s="193"/>
      <c r="J17" s="193"/>
      <c r="K17" s="193"/>
      <c r="L17" s="193"/>
      <c r="M17" s="13"/>
    </row>
    <row r="18" spans="1:13">
      <c r="A18" s="25" t="s">
        <v>74</v>
      </c>
      <c r="B18" s="26"/>
      <c r="C18" s="379"/>
      <c r="D18" s="379"/>
      <c r="E18" s="379"/>
      <c r="F18" s="379"/>
      <c r="G18" s="379"/>
      <c r="H18" s="379"/>
      <c r="I18" s="379"/>
      <c r="J18" s="379"/>
      <c r="K18" s="379"/>
      <c r="L18" s="379"/>
      <c r="M18" s="380"/>
    </row>
    <row r="19" spans="1:13">
      <c r="A19" s="25"/>
      <c r="B19" s="26"/>
      <c r="C19" s="193"/>
      <c r="D19" s="193"/>
      <c r="E19" s="193"/>
      <c r="F19" s="193"/>
      <c r="G19" s="193"/>
      <c r="H19" s="193"/>
      <c r="I19" s="193"/>
      <c r="J19" s="193"/>
      <c r="K19" s="193"/>
      <c r="L19" s="193"/>
      <c r="M19" s="13"/>
    </row>
    <row r="20" spans="1:13" ht="31.5" customHeight="1">
      <c r="A20" s="464" t="s">
        <v>113</v>
      </c>
      <c r="B20" s="465"/>
      <c r="C20" s="379"/>
      <c r="D20" s="379"/>
      <c r="E20" s="379"/>
      <c r="F20" s="379"/>
      <c r="G20" s="379"/>
      <c r="H20" s="379"/>
      <c r="I20" s="379"/>
      <c r="J20" s="379"/>
      <c r="K20" s="379"/>
      <c r="L20" s="379"/>
      <c r="M20" s="380"/>
    </row>
    <row r="21" spans="1:13">
      <c r="A21" s="400"/>
      <c r="B21" s="401"/>
      <c r="C21" s="193"/>
      <c r="D21" s="193"/>
      <c r="E21" s="193"/>
      <c r="F21" s="193"/>
      <c r="G21" s="193"/>
      <c r="H21" s="193"/>
      <c r="I21" s="193"/>
      <c r="J21" s="193"/>
      <c r="K21" s="193"/>
      <c r="L21" s="193"/>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85" t="s">
        <v>78</v>
      </c>
      <c r="K25" s="408" t="s">
        <v>79</v>
      </c>
      <c r="L25" s="409"/>
      <c r="M25" s="31" t="s">
        <v>80</v>
      </c>
    </row>
    <row r="26" spans="1:13" ht="43.5" customHeight="1" thickBot="1">
      <c r="A26" s="205"/>
      <c r="B26" s="505" t="s">
        <v>178</v>
      </c>
      <c r="C26" s="506"/>
      <c r="D26" s="506"/>
      <c r="E26" s="506"/>
      <c r="F26" s="506"/>
      <c r="G26" s="506"/>
      <c r="H26" s="506"/>
      <c r="I26" s="507"/>
      <c r="J26" s="206">
        <v>1</v>
      </c>
      <c r="K26" s="508" t="s">
        <v>9</v>
      </c>
      <c r="L26" s="507"/>
      <c r="M26" s="207"/>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90" t="s">
        <v>83</v>
      </c>
      <c r="K30" s="421" t="s">
        <v>84</v>
      </c>
      <c r="L30" s="424"/>
      <c r="M30" s="44" t="s">
        <v>85</v>
      </c>
    </row>
    <row r="31" spans="1:13">
      <c r="A31" s="499"/>
      <c r="B31" s="500"/>
      <c r="C31" s="500"/>
      <c r="D31" s="500"/>
      <c r="E31" s="501"/>
      <c r="F31" s="482"/>
      <c r="G31" s="482"/>
      <c r="H31" s="472"/>
      <c r="I31" s="472"/>
      <c r="J31" s="208"/>
      <c r="K31" s="482"/>
      <c r="L31" s="482"/>
      <c r="M31" s="209">
        <f>K31*J31</f>
        <v>0</v>
      </c>
    </row>
    <row r="32" spans="1:13" ht="15.75" thickBot="1">
      <c r="A32" s="499"/>
      <c r="B32" s="500"/>
      <c r="C32" s="500"/>
      <c r="D32" s="500"/>
      <c r="E32" s="501"/>
      <c r="F32" s="414"/>
      <c r="G32" s="415"/>
      <c r="H32" s="472"/>
      <c r="I32" s="472"/>
      <c r="J32" s="91"/>
      <c r="K32" s="414"/>
      <c r="L32" s="415"/>
      <c r="M32" s="209">
        <f>K32*J32</f>
        <v>0</v>
      </c>
    </row>
    <row r="33" spans="1:13" ht="15.75" thickBot="1">
      <c r="A33" s="416" t="s">
        <v>87</v>
      </c>
      <c r="B33" s="417"/>
      <c r="C33" s="417"/>
      <c r="D33" s="417"/>
      <c r="E33" s="417"/>
      <c r="F33" s="417"/>
      <c r="G33" s="417"/>
      <c r="H33" s="417"/>
      <c r="I33" s="417"/>
      <c r="J33" s="417"/>
      <c r="K33" s="417"/>
      <c r="L33" s="418"/>
      <c r="M33" s="210">
        <f>SUM(M31:M32)</f>
        <v>0</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86" t="s">
        <v>79</v>
      </c>
      <c r="J37" s="190" t="s">
        <v>80</v>
      </c>
      <c r="K37" s="421" t="s">
        <v>89</v>
      </c>
      <c r="L37" s="424"/>
      <c r="M37" s="44" t="s">
        <v>85</v>
      </c>
    </row>
    <row r="38" spans="1:13">
      <c r="A38" s="502" t="s">
        <v>179</v>
      </c>
      <c r="B38" s="503"/>
      <c r="C38" s="503"/>
      <c r="D38" s="503"/>
      <c r="E38" s="503"/>
      <c r="F38" s="503"/>
      <c r="G38" s="503"/>
      <c r="H38" s="504"/>
      <c r="I38" s="73" t="s">
        <v>11</v>
      </c>
      <c r="J38" s="194">
        <v>0.35</v>
      </c>
      <c r="K38" s="456">
        <v>9622</v>
      </c>
      <c r="L38" s="457"/>
      <c r="M38" s="56">
        <f>K38*J38</f>
        <v>3367.7</v>
      </c>
    </row>
    <row r="39" spans="1:13">
      <c r="A39" s="502" t="s">
        <v>180</v>
      </c>
      <c r="B39" s="503"/>
      <c r="C39" s="503"/>
      <c r="D39" s="503"/>
      <c r="E39" s="503"/>
      <c r="F39" s="503"/>
      <c r="G39" s="503"/>
      <c r="H39" s="504"/>
      <c r="I39" s="73" t="s">
        <v>11</v>
      </c>
      <c r="J39" s="194">
        <v>1.61</v>
      </c>
      <c r="K39" s="456">
        <v>465</v>
      </c>
      <c r="L39" s="457"/>
      <c r="M39" s="56">
        <f t="shared" ref="M39:M46" si="0">K39*J39</f>
        <v>748.65000000000009</v>
      </c>
    </row>
    <row r="40" spans="1:13">
      <c r="A40" s="502" t="s">
        <v>181</v>
      </c>
      <c r="B40" s="503"/>
      <c r="C40" s="503"/>
      <c r="D40" s="503"/>
      <c r="E40" s="503"/>
      <c r="F40" s="503"/>
      <c r="G40" s="503"/>
      <c r="H40" s="504"/>
      <c r="I40" s="73" t="s">
        <v>188</v>
      </c>
      <c r="J40" s="194">
        <v>7.0000000000000007E-2</v>
      </c>
      <c r="K40" s="456">
        <v>8990</v>
      </c>
      <c r="L40" s="457"/>
      <c r="M40" s="56">
        <f t="shared" si="0"/>
        <v>629.30000000000007</v>
      </c>
    </row>
    <row r="41" spans="1:13">
      <c r="A41" s="502" t="s">
        <v>182</v>
      </c>
      <c r="B41" s="503"/>
      <c r="C41" s="503"/>
      <c r="D41" s="503"/>
      <c r="E41" s="503"/>
      <c r="F41" s="503"/>
      <c r="G41" s="503"/>
      <c r="H41" s="504"/>
      <c r="I41" s="73" t="s">
        <v>11</v>
      </c>
      <c r="J41" s="194">
        <v>0.71</v>
      </c>
      <c r="K41" s="456">
        <v>57533</v>
      </c>
      <c r="L41" s="457"/>
      <c r="M41" s="56">
        <f t="shared" si="0"/>
        <v>40848.43</v>
      </c>
    </row>
    <row r="42" spans="1:13">
      <c r="A42" s="502" t="s">
        <v>183</v>
      </c>
      <c r="B42" s="503"/>
      <c r="C42" s="503"/>
      <c r="D42" s="503"/>
      <c r="E42" s="503"/>
      <c r="F42" s="503"/>
      <c r="G42" s="503"/>
      <c r="H42" s="504"/>
      <c r="I42" s="73" t="s">
        <v>11</v>
      </c>
      <c r="J42" s="194">
        <v>0.42</v>
      </c>
      <c r="K42" s="456">
        <v>1438</v>
      </c>
      <c r="L42" s="457"/>
      <c r="M42" s="56">
        <f t="shared" ref="M42:M45" si="1">K42*J42</f>
        <v>603.95999999999992</v>
      </c>
    </row>
    <row r="43" spans="1:13">
      <c r="A43" s="502" t="s">
        <v>184</v>
      </c>
      <c r="B43" s="503"/>
      <c r="C43" s="503"/>
      <c r="D43" s="503"/>
      <c r="E43" s="503"/>
      <c r="F43" s="503"/>
      <c r="G43" s="503"/>
      <c r="H43" s="504"/>
      <c r="I43" s="73" t="s">
        <v>125</v>
      </c>
      <c r="J43" s="194">
        <v>0.09</v>
      </c>
      <c r="K43" s="456">
        <v>66019</v>
      </c>
      <c r="L43" s="457"/>
      <c r="M43" s="56">
        <f t="shared" si="1"/>
        <v>5941.71</v>
      </c>
    </row>
    <row r="44" spans="1:13">
      <c r="A44" s="502" t="s">
        <v>185</v>
      </c>
      <c r="B44" s="503"/>
      <c r="C44" s="503"/>
      <c r="D44" s="503"/>
      <c r="E44" s="503"/>
      <c r="F44" s="503"/>
      <c r="G44" s="503"/>
      <c r="H44" s="504"/>
      <c r="I44" s="73" t="s">
        <v>11</v>
      </c>
      <c r="J44" s="194">
        <v>0.71</v>
      </c>
      <c r="K44" s="456">
        <v>13233</v>
      </c>
      <c r="L44" s="457"/>
      <c r="M44" s="56">
        <f t="shared" si="1"/>
        <v>9395.43</v>
      </c>
    </row>
    <row r="45" spans="1:13">
      <c r="A45" s="502" t="s">
        <v>186</v>
      </c>
      <c r="B45" s="503"/>
      <c r="C45" s="503"/>
      <c r="D45" s="503"/>
      <c r="E45" s="503"/>
      <c r="F45" s="503"/>
      <c r="G45" s="503"/>
      <c r="H45" s="504"/>
      <c r="I45" s="73" t="s">
        <v>11</v>
      </c>
      <c r="J45" s="194">
        <v>2.82</v>
      </c>
      <c r="K45" s="456">
        <v>24</v>
      </c>
      <c r="L45" s="457"/>
      <c r="M45" s="56">
        <f t="shared" si="1"/>
        <v>67.679999999999993</v>
      </c>
    </row>
    <row r="46" spans="1:13" ht="15.75" thickBot="1">
      <c r="A46" s="410" t="s">
        <v>187</v>
      </c>
      <c r="B46" s="411"/>
      <c r="C46" s="411"/>
      <c r="D46" s="411"/>
      <c r="E46" s="411"/>
      <c r="F46" s="411"/>
      <c r="G46" s="411"/>
      <c r="H46" s="412"/>
      <c r="I46" s="73" t="s">
        <v>11</v>
      </c>
      <c r="J46" s="211">
        <v>27.22</v>
      </c>
      <c r="K46" s="466">
        <v>24</v>
      </c>
      <c r="L46" s="467"/>
      <c r="M46" s="56">
        <f t="shared" si="0"/>
        <v>653.28</v>
      </c>
    </row>
    <row r="47" spans="1:13" ht="15.75" thickBot="1">
      <c r="A47" s="416" t="s">
        <v>87</v>
      </c>
      <c r="B47" s="417"/>
      <c r="C47" s="417"/>
      <c r="D47" s="417"/>
      <c r="E47" s="417"/>
      <c r="F47" s="417"/>
      <c r="G47" s="417"/>
      <c r="H47" s="417"/>
      <c r="I47" s="417"/>
      <c r="J47" s="417"/>
      <c r="K47" s="417"/>
      <c r="L47" s="418"/>
      <c r="M47" s="58">
        <f>SUM(M38:M46)</f>
        <v>62256.14</v>
      </c>
    </row>
    <row r="48" spans="1:13">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190" t="s">
        <v>92</v>
      </c>
      <c r="I51" s="187" t="s">
        <v>93</v>
      </c>
      <c r="J51" s="60" t="s">
        <v>94</v>
      </c>
      <c r="K51" s="421" t="s">
        <v>95</v>
      </c>
      <c r="L51" s="424"/>
      <c r="M51" s="44" t="s">
        <v>85</v>
      </c>
    </row>
    <row r="52" spans="1:14">
      <c r="A52" s="425"/>
      <c r="B52" s="426"/>
      <c r="C52" s="426"/>
      <c r="D52" s="426"/>
      <c r="E52" s="426"/>
      <c r="F52" s="426"/>
      <c r="G52" s="426"/>
      <c r="H52" s="61"/>
      <c r="I52" s="55"/>
      <c r="J52" s="61"/>
      <c r="K52" s="428"/>
      <c r="L52" s="429"/>
      <c r="M52" s="62"/>
    </row>
    <row r="53" spans="1:14" ht="15.75" thickBot="1">
      <c r="A53" s="410"/>
      <c r="B53" s="411"/>
      <c r="C53" s="411"/>
      <c r="D53" s="411"/>
      <c r="E53" s="411"/>
      <c r="F53" s="411"/>
      <c r="G53" s="411"/>
      <c r="H53" s="47"/>
      <c r="I53" s="15"/>
      <c r="J53" s="47"/>
      <c r="K53" s="414"/>
      <c r="L53" s="415"/>
      <c r="M53" s="48"/>
    </row>
    <row r="54" spans="1:14" ht="15.75" thickBot="1">
      <c r="A54" s="416" t="s">
        <v>87</v>
      </c>
      <c r="B54" s="417"/>
      <c r="C54" s="417"/>
      <c r="D54" s="417"/>
      <c r="E54" s="417"/>
      <c r="F54" s="417"/>
      <c r="G54" s="417"/>
      <c r="H54" s="417"/>
      <c r="I54" s="417"/>
      <c r="J54" s="417"/>
      <c r="K54" s="417"/>
      <c r="L54" s="418"/>
      <c r="M54" s="63">
        <f>SUM(M52:M53)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190" t="s">
        <v>98</v>
      </c>
      <c r="I58" s="191" t="s">
        <v>99</v>
      </c>
      <c r="J58" s="191" t="s">
        <v>100</v>
      </c>
      <c r="K58" s="455" t="s">
        <v>84</v>
      </c>
      <c r="L58" s="455"/>
      <c r="M58" s="65" t="s">
        <v>85</v>
      </c>
    </row>
    <row r="59" spans="1:14">
      <c r="A59" s="471" t="s">
        <v>126</v>
      </c>
      <c r="B59" s="472"/>
      <c r="C59" s="472"/>
      <c r="D59" s="472"/>
      <c r="E59" s="472"/>
      <c r="F59" s="472"/>
      <c r="G59" s="472"/>
      <c r="H59" s="1">
        <v>112923.49999999999</v>
      </c>
      <c r="I59" s="2">
        <v>2.2000000000000002</v>
      </c>
      <c r="J59" s="66">
        <f>(I59*H59)</f>
        <v>248431.69999999998</v>
      </c>
      <c r="K59" s="483">
        <v>5.4272519894448825</v>
      </c>
      <c r="L59" s="483"/>
      <c r="M59" s="56">
        <f>J59/K59</f>
        <v>45774.859999712382</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45774.859999712382</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ROUND(M62+M54+M47+M33,0)</f>
        <v>108031</v>
      </c>
      <c r="N64" s="155"/>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188"/>
      <c r="I68" s="189"/>
      <c r="J68" s="81" t="s">
        <v>104</v>
      </c>
      <c r="K68" s="440" t="s">
        <v>105</v>
      </c>
      <c r="L68" s="441"/>
      <c r="M68" s="82"/>
    </row>
    <row r="69" spans="1:13">
      <c r="A69" s="442" t="s">
        <v>106</v>
      </c>
      <c r="B69" s="443"/>
      <c r="C69" s="443"/>
      <c r="D69" s="443"/>
      <c r="E69" s="443"/>
      <c r="F69" s="443"/>
      <c r="G69" s="443"/>
      <c r="H69" s="83"/>
      <c r="I69" s="84"/>
      <c r="J69" s="85">
        <v>0.19</v>
      </c>
      <c r="K69" s="444">
        <f>M64*J69</f>
        <v>20525.89</v>
      </c>
      <c r="L69" s="444"/>
      <c r="M69" s="86"/>
    </row>
    <row r="70" spans="1:13">
      <c r="A70" s="447" t="s">
        <v>107</v>
      </c>
      <c r="B70" s="448"/>
      <c r="C70" s="448"/>
      <c r="D70" s="448"/>
      <c r="E70" s="448"/>
      <c r="F70" s="448"/>
      <c r="G70" s="449"/>
      <c r="H70" s="77"/>
      <c r="I70" s="78"/>
      <c r="J70" s="5">
        <v>0.01</v>
      </c>
      <c r="K70" s="445">
        <f>M64*J70</f>
        <v>1080.31</v>
      </c>
      <c r="L70" s="445"/>
      <c r="M70" s="6"/>
    </row>
    <row r="71" spans="1:13">
      <c r="A71" s="447" t="s">
        <v>108</v>
      </c>
      <c r="B71" s="448"/>
      <c r="C71" s="448"/>
      <c r="D71" s="448"/>
      <c r="E71" s="448"/>
      <c r="F71" s="448"/>
      <c r="G71" s="449"/>
      <c r="H71" s="77"/>
      <c r="I71" s="78"/>
      <c r="J71" s="5">
        <v>0.05</v>
      </c>
      <c r="K71" s="445">
        <f>M64*J71</f>
        <v>5401.55</v>
      </c>
      <c r="L71" s="445"/>
      <c r="M71" s="6"/>
    </row>
    <row r="72" spans="1:13" ht="15.75" thickBot="1">
      <c r="A72" s="450" t="s">
        <v>117</v>
      </c>
      <c r="B72" s="451"/>
      <c r="C72" s="451"/>
      <c r="D72" s="451"/>
      <c r="E72" s="451"/>
      <c r="F72" s="451"/>
      <c r="G72" s="452"/>
      <c r="H72" s="87"/>
      <c r="I72" s="88"/>
      <c r="J72" s="89">
        <v>0.19</v>
      </c>
      <c r="K72" s="446">
        <f>K71*J72</f>
        <v>1026.2945</v>
      </c>
      <c r="L72" s="446"/>
      <c r="M72" s="90"/>
    </row>
    <row r="73" spans="1:13" ht="15.75" thickBot="1">
      <c r="A73" s="435" t="s">
        <v>87</v>
      </c>
      <c r="B73" s="436"/>
      <c r="C73" s="436"/>
      <c r="D73" s="436"/>
      <c r="E73" s="436"/>
      <c r="F73" s="436"/>
      <c r="G73" s="436"/>
      <c r="H73" s="436"/>
      <c r="I73" s="436"/>
      <c r="J73" s="436"/>
      <c r="K73" s="436"/>
      <c r="L73" s="437"/>
      <c r="M73" s="76">
        <f>SUM(K69:L72)</f>
        <v>28034.0445</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136065</v>
      </c>
    </row>
  </sheetData>
  <mergeCells count="83">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58:G58"/>
    <mergeCell ref="K58:L58"/>
    <mergeCell ref="A41:H41"/>
    <mergeCell ref="K41:L41"/>
    <mergeCell ref="A46:H46"/>
    <mergeCell ref="K46:L46"/>
    <mergeCell ref="A47:L47"/>
    <mergeCell ref="A51:G51"/>
    <mergeCell ref="K51:L51"/>
    <mergeCell ref="A52:G52"/>
    <mergeCell ref="K52:L52"/>
    <mergeCell ref="A53:G53"/>
    <mergeCell ref="K53:L53"/>
    <mergeCell ref="A54:L54"/>
    <mergeCell ref="A59:G59"/>
    <mergeCell ref="K59:L59"/>
    <mergeCell ref="A60:G60"/>
    <mergeCell ref="K60:L60"/>
    <mergeCell ref="A61:G61"/>
    <mergeCell ref="K61:L61"/>
    <mergeCell ref="A62:L62"/>
    <mergeCell ref="A64:L64"/>
    <mergeCell ref="A68:G68"/>
    <mergeCell ref="K68:L68"/>
    <mergeCell ref="A69:G69"/>
    <mergeCell ref="K69:L69"/>
    <mergeCell ref="A73:L73"/>
    <mergeCell ref="A75:L75"/>
    <mergeCell ref="A42:H42"/>
    <mergeCell ref="K42:L42"/>
    <mergeCell ref="A43:H43"/>
    <mergeCell ref="K43:L43"/>
    <mergeCell ref="A44:H44"/>
    <mergeCell ref="K44:L44"/>
    <mergeCell ref="A45:H45"/>
    <mergeCell ref="K45:L45"/>
    <mergeCell ref="A70:G70"/>
    <mergeCell ref="K70:L70"/>
    <mergeCell ref="A71:G71"/>
    <mergeCell ref="K71:L71"/>
    <mergeCell ref="A72:G72"/>
    <mergeCell ref="K72:L72"/>
  </mergeCells>
  <pageMargins left="0.7" right="0.7" top="0.75" bottom="0.75" header="0.3" footer="0.3"/>
  <pageSetup scale="57"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view="pageBreakPreview" topLeftCell="A52" zoomScale="80" zoomScaleNormal="100" zoomScaleSheetLayoutView="80" workbookViewId="0">
      <selection activeCell="M65" sqref="M65"/>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92"/>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93"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93"/>
      <c r="D17" s="193"/>
      <c r="E17" s="193"/>
      <c r="F17" s="193"/>
      <c r="G17" s="193"/>
      <c r="H17" s="193"/>
      <c r="I17" s="193"/>
      <c r="J17" s="193"/>
      <c r="K17" s="193"/>
      <c r="L17" s="193"/>
      <c r="M17" s="13"/>
    </row>
    <row r="18" spans="1:13">
      <c r="A18" s="25" t="s">
        <v>74</v>
      </c>
      <c r="B18" s="26"/>
      <c r="C18" s="379"/>
      <c r="D18" s="379"/>
      <c r="E18" s="379"/>
      <c r="F18" s="379"/>
      <c r="G18" s="379"/>
      <c r="H18" s="379"/>
      <c r="I18" s="379"/>
      <c r="J18" s="379"/>
      <c r="K18" s="379"/>
      <c r="L18" s="379"/>
      <c r="M18" s="380"/>
    </row>
    <row r="19" spans="1:13">
      <c r="A19" s="25"/>
      <c r="B19" s="26"/>
      <c r="C19" s="193"/>
      <c r="D19" s="193"/>
      <c r="E19" s="193"/>
      <c r="F19" s="193"/>
      <c r="G19" s="193"/>
      <c r="H19" s="193"/>
      <c r="I19" s="193"/>
      <c r="J19" s="193"/>
      <c r="K19" s="193"/>
      <c r="L19" s="193"/>
      <c r="M19" s="13"/>
    </row>
    <row r="20" spans="1:13" ht="31.5" customHeight="1">
      <c r="A20" s="464" t="s">
        <v>113</v>
      </c>
      <c r="B20" s="465"/>
      <c r="C20" s="379"/>
      <c r="D20" s="379"/>
      <c r="E20" s="379"/>
      <c r="F20" s="379"/>
      <c r="G20" s="379"/>
      <c r="H20" s="379"/>
      <c r="I20" s="379"/>
      <c r="J20" s="379"/>
      <c r="K20" s="379"/>
      <c r="L20" s="379"/>
      <c r="M20" s="380"/>
    </row>
    <row r="21" spans="1:13">
      <c r="A21" s="400"/>
      <c r="B21" s="401"/>
      <c r="C21" s="193"/>
      <c r="D21" s="193"/>
      <c r="E21" s="193"/>
      <c r="F21" s="193"/>
      <c r="G21" s="193"/>
      <c r="H21" s="193"/>
      <c r="I21" s="193"/>
      <c r="J21" s="193"/>
      <c r="K21" s="193"/>
      <c r="L21" s="193"/>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85" t="s">
        <v>78</v>
      </c>
      <c r="K25" s="408" t="s">
        <v>79</v>
      </c>
      <c r="L25" s="409"/>
      <c r="M25" s="31" t="s">
        <v>80</v>
      </c>
    </row>
    <row r="26" spans="1:13" ht="43.5" customHeight="1" thickBot="1">
      <c r="A26" s="205"/>
      <c r="B26" s="505" t="s">
        <v>406</v>
      </c>
      <c r="C26" s="506"/>
      <c r="D26" s="506"/>
      <c r="E26" s="506"/>
      <c r="F26" s="506"/>
      <c r="G26" s="506"/>
      <c r="H26" s="506"/>
      <c r="I26" s="507"/>
      <c r="J26" s="206">
        <v>1</v>
      </c>
      <c r="K26" s="508" t="s">
        <v>8</v>
      </c>
      <c r="L26" s="507"/>
      <c r="M26" s="207"/>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90" t="s">
        <v>83</v>
      </c>
      <c r="K30" s="421" t="s">
        <v>84</v>
      </c>
      <c r="L30" s="424"/>
      <c r="M30" s="44" t="s">
        <v>85</v>
      </c>
    </row>
    <row r="31" spans="1:13">
      <c r="A31" s="499"/>
      <c r="B31" s="500"/>
      <c r="C31" s="500"/>
      <c r="D31" s="500"/>
      <c r="E31" s="501"/>
      <c r="F31" s="482"/>
      <c r="G31" s="482"/>
      <c r="H31" s="472"/>
      <c r="I31" s="472"/>
      <c r="J31" s="208"/>
      <c r="K31" s="482"/>
      <c r="L31" s="482"/>
      <c r="M31" s="209">
        <f>K31*J31</f>
        <v>0</v>
      </c>
    </row>
    <row r="32" spans="1:13" ht="15.75" thickBot="1">
      <c r="A32" s="499"/>
      <c r="B32" s="500"/>
      <c r="C32" s="500"/>
      <c r="D32" s="500"/>
      <c r="E32" s="501"/>
      <c r="F32" s="414"/>
      <c r="G32" s="415"/>
      <c r="H32" s="472"/>
      <c r="I32" s="472"/>
      <c r="J32" s="91"/>
      <c r="K32" s="414"/>
      <c r="L32" s="415"/>
      <c r="M32" s="209">
        <f>K32*J32</f>
        <v>0</v>
      </c>
    </row>
    <row r="33" spans="1:13" ht="15.75" thickBot="1">
      <c r="A33" s="416" t="s">
        <v>87</v>
      </c>
      <c r="B33" s="417"/>
      <c r="C33" s="417"/>
      <c r="D33" s="417"/>
      <c r="E33" s="417"/>
      <c r="F33" s="417"/>
      <c r="G33" s="417"/>
      <c r="H33" s="417"/>
      <c r="I33" s="417"/>
      <c r="J33" s="417"/>
      <c r="K33" s="417"/>
      <c r="L33" s="418"/>
      <c r="M33" s="210">
        <f>SUM(M31:M32)</f>
        <v>0</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86" t="s">
        <v>79</v>
      </c>
      <c r="J37" s="190" t="s">
        <v>80</v>
      </c>
      <c r="K37" s="421" t="s">
        <v>89</v>
      </c>
      <c r="L37" s="424"/>
      <c r="M37" s="44" t="s">
        <v>85</v>
      </c>
    </row>
    <row r="38" spans="1:13">
      <c r="A38" s="502" t="s">
        <v>179</v>
      </c>
      <c r="B38" s="503"/>
      <c r="C38" s="503"/>
      <c r="D38" s="503"/>
      <c r="E38" s="503"/>
      <c r="F38" s="503"/>
      <c r="G38" s="503"/>
      <c r="H38" s="504"/>
      <c r="I38" s="73" t="s">
        <v>11</v>
      </c>
      <c r="J38" s="194">
        <v>0.18</v>
      </c>
      <c r="K38" s="456">
        <v>9622</v>
      </c>
      <c r="L38" s="457"/>
      <c r="M38" s="56">
        <f>K38*J38</f>
        <v>1731.96</v>
      </c>
    </row>
    <row r="39" spans="1:13">
      <c r="A39" s="502" t="s">
        <v>180</v>
      </c>
      <c r="B39" s="503"/>
      <c r="C39" s="503"/>
      <c r="D39" s="503"/>
      <c r="E39" s="503"/>
      <c r="F39" s="503"/>
      <c r="G39" s="503"/>
      <c r="H39" s="504"/>
      <c r="I39" s="73" t="s">
        <v>11</v>
      </c>
      <c r="J39" s="194">
        <v>0.81</v>
      </c>
      <c r="K39" s="456">
        <v>465</v>
      </c>
      <c r="L39" s="457"/>
      <c r="M39" s="56">
        <f t="shared" ref="M39:M46" si="0">K39*J39</f>
        <v>376.65000000000003</v>
      </c>
    </row>
    <row r="40" spans="1:13">
      <c r="A40" s="502" t="s">
        <v>181</v>
      </c>
      <c r="B40" s="503"/>
      <c r="C40" s="503"/>
      <c r="D40" s="503"/>
      <c r="E40" s="503"/>
      <c r="F40" s="503"/>
      <c r="G40" s="503"/>
      <c r="H40" s="504"/>
      <c r="I40" s="73" t="s">
        <v>188</v>
      </c>
      <c r="J40" s="194">
        <v>0.04</v>
      </c>
      <c r="K40" s="456">
        <v>8990</v>
      </c>
      <c r="L40" s="457"/>
      <c r="M40" s="56">
        <f t="shared" si="0"/>
        <v>359.6</v>
      </c>
    </row>
    <row r="41" spans="1:13">
      <c r="A41" s="502" t="s">
        <v>182</v>
      </c>
      <c r="B41" s="503"/>
      <c r="C41" s="503"/>
      <c r="D41" s="503"/>
      <c r="E41" s="503"/>
      <c r="F41" s="503"/>
      <c r="G41" s="503"/>
      <c r="H41" s="504"/>
      <c r="I41" s="73" t="s">
        <v>11</v>
      </c>
      <c r="J41" s="194">
        <v>0.36</v>
      </c>
      <c r="K41" s="456">
        <v>57533</v>
      </c>
      <c r="L41" s="457"/>
      <c r="M41" s="56">
        <f t="shared" si="0"/>
        <v>20711.88</v>
      </c>
    </row>
    <row r="42" spans="1:13">
      <c r="A42" s="502" t="s">
        <v>183</v>
      </c>
      <c r="B42" s="503"/>
      <c r="C42" s="503"/>
      <c r="D42" s="503"/>
      <c r="E42" s="503"/>
      <c r="F42" s="503"/>
      <c r="G42" s="503"/>
      <c r="H42" s="504"/>
      <c r="I42" s="73" t="s">
        <v>11</v>
      </c>
      <c r="J42" s="194">
        <v>0.21</v>
      </c>
      <c r="K42" s="456">
        <v>1438</v>
      </c>
      <c r="L42" s="457"/>
      <c r="M42" s="56">
        <f t="shared" si="0"/>
        <v>301.97999999999996</v>
      </c>
    </row>
    <row r="43" spans="1:13">
      <c r="A43" s="502" t="s">
        <v>184</v>
      </c>
      <c r="B43" s="503"/>
      <c r="C43" s="503"/>
      <c r="D43" s="503"/>
      <c r="E43" s="503"/>
      <c r="F43" s="503"/>
      <c r="G43" s="503"/>
      <c r="H43" s="504"/>
      <c r="I43" s="73" t="s">
        <v>125</v>
      </c>
      <c r="J43" s="194">
        <v>0.05</v>
      </c>
      <c r="K43" s="456">
        <v>66019</v>
      </c>
      <c r="L43" s="457"/>
      <c r="M43" s="56">
        <f t="shared" si="0"/>
        <v>3300.9500000000003</v>
      </c>
    </row>
    <row r="44" spans="1:13">
      <c r="A44" s="502" t="s">
        <v>185</v>
      </c>
      <c r="B44" s="503"/>
      <c r="C44" s="503"/>
      <c r="D44" s="503"/>
      <c r="E44" s="503"/>
      <c r="F44" s="503"/>
      <c r="G44" s="503"/>
      <c r="H44" s="504"/>
      <c r="I44" s="73" t="s">
        <v>11</v>
      </c>
      <c r="J44" s="194">
        <v>0.36</v>
      </c>
      <c r="K44" s="456">
        <v>13233</v>
      </c>
      <c r="L44" s="457"/>
      <c r="M44" s="56">
        <f t="shared" si="0"/>
        <v>4763.88</v>
      </c>
    </row>
    <row r="45" spans="1:13">
      <c r="A45" s="502" t="s">
        <v>186</v>
      </c>
      <c r="B45" s="503"/>
      <c r="C45" s="503"/>
      <c r="D45" s="503"/>
      <c r="E45" s="503"/>
      <c r="F45" s="503"/>
      <c r="G45" s="503"/>
      <c r="H45" s="504"/>
      <c r="I45" s="73" t="s">
        <v>11</v>
      </c>
      <c r="J45" s="194">
        <v>1.41</v>
      </c>
      <c r="K45" s="456">
        <v>24</v>
      </c>
      <c r="L45" s="457"/>
      <c r="M45" s="56">
        <f t="shared" si="0"/>
        <v>33.839999999999996</v>
      </c>
    </row>
    <row r="46" spans="1:13" ht="15.75" thickBot="1">
      <c r="A46" s="410" t="s">
        <v>187</v>
      </c>
      <c r="B46" s="411"/>
      <c r="C46" s="411"/>
      <c r="D46" s="411"/>
      <c r="E46" s="411"/>
      <c r="F46" s="411"/>
      <c r="G46" s="411"/>
      <c r="H46" s="412"/>
      <c r="I46" s="73" t="s">
        <v>11</v>
      </c>
      <c r="J46" s="211">
        <v>13.61</v>
      </c>
      <c r="K46" s="466">
        <v>24</v>
      </c>
      <c r="L46" s="467"/>
      <c r="M46" s="56">
        <f t="shared" si="0"/>
        <v>326.64</v>
      </c>
    </row>
    <row r="47" spans="1:13" ht="15.75" thickBot="1">
      <c r="A47" s="416" t="s">
        <v>87</v>
      </c>
      <c r="B47" s="417"/>
      <c r="C47" s="417"/>
      <c r="D47" s="417"/>
      <c r="E47" s="417"/>
      <c r="F47" s="417"/>
      <c r="G47" s="417"/>
      <c r="H47" s="417"/>
      <c r="I47" s="417"/>
      <c r="J47" s="417"/>
      <c r="K47" s="417"/>
      <c r="L47" s="418"/>
      <c r="M47" s="58">
        <f>SUM(M38:M46)</f>
        <v>31907.38</v>
      </c>
    </row>
    <row r="48" spans="1:13">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190" t="s">
        <v>92</v>
      </c>
      <c r="I51" s="187" t="s">
        <v>93</v>
      </c>
      <c r="J51" s="60" t="s">
        <v>94</v>
      </c>
      <c r="K51" s="421" t="s">
        <v>95</v>
      </c>
      <c r="L51" s="424"/>
      <c r="M51" s="44" t="s">
        <v>85</v>
      </c>
    </row>
    <row r="52" spans="1:14">
      <c r="A52" s="425"/>
      <c r="B52" s="426"/>
      <c r="C52" s="426"/>
      <c r="D52" s="426"/>
      <c r="E52" s="426"/>
      <c r="F52" s="426"/>
      <c r="G52" s="426"/>
      <c r="H52" s="61"/>
      <c r="I52" s="55"/>
      <c r="J52" s="61"/>
      <c r="K52" s="428"/>
      <c r="L52" s="429"/>
      <c r="M52" s="62"/>
    </row>
    <row r="53" spans="1:14" ht="15.75" thickBot="1">
      <c r="A53" s="410"/>
      <c r="B53" s="411"/>
      <c r="C53" s="411"/>
      <c r="D53" s="411"/>
      <c r="E53" s="411"/>
      <c r="F53" s="411"/>
      <c r="G53" s="411"/>
      <c r="H53" s="47"/>
      <c r="I53" s="15"/>
      <c r="J53" s="47"/>
      <c r="K53" s="414"/>
      <c r="L53" s="415"/>
      <c r="M53" s="48"/>
    </row>
    <row r="54" spans="1:14" ht="15.75" thickBot="1">
      <c r="A54" s="416" t="s">
        <v>87</v>
      </c>
      <c r="B54" s="417"/>
      <c r="C54" s="417"/>
      <c r="D54" s="417"/>
      <c r="E54" s="417"/>
      <c r="F54" s="417"/>
      <c r="G54" s="417"/>
      <c r="H54" s="417"/>
      <c r="I54" s="417"/>
      <c r="J54" s="417"/>
      <c r="K54" s="417"/>
      <c r="L54" s="418"/>
      <c r="M54" s="63">
        <f>SUM(M52:M53)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190" t="s">
        <v>98</v>
      </c>
      <c r="I58" s="191" t="s">
        <v>99</v>
      </c>
      <c r="J58" s="191" t="s">
        <v>100</v>
      </c>
      <c r="K58" s="455" t="s">
        <v>84</v>
      </c>
      <c r="L58" s="455"/>
      <c r="M58" s="65" t="s">
        <v>85</v>
      </c>
    </row>
    <row r="59" spans="1:14">
      <c r="A59" s="471" t="s">
        <v>126</v>
      </c>
      <c r="B59" s="472"/>
      <c r="C59" s="472"/>
      <c r="D59" s="472"/>
      <c r="E59" s="472"/>
      <c r="F59" s="472"/>
      <c r="G59" s="472"/>
      <c r="H59" s="1">
        <v>112923.49999999999</v>
      </c>
      <c r="I59" s="2">
        <v>2.2000000000000002</v>
      </c>
      <c r="J59" s="66">
        <f>(I59*H59)</f>
        <v>248431.69999999998</v>
      </c>
      <c r="K59" s="483">
        <v>7.7031604353047172</v>
      </c>
      <c r="L59" s="483"/>
      <c r="M59" s="56">
        <f>J59/K59</f>
        <v>32250.620000253526</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32250.620000253526</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ROUND(M62+M54+M47+M33,0)</f>
        <v>64158</v>
      </c>
      <c r="N64" s="155"/>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188"/>
      <c r="I68" s="189"/>
      <c r="J68" s="81" t="s">
        <v>104</v>
      </c>
      <c r="K68" s="440" t="s">
        <v>105</v>
      </c>
      <c r="L68" s="441"/>
      <c r="M68" s="82"/>
    </row>
    <row r="69" spans="1:13">
      <c r="A69" s="442" t="s">
        <v>106</v>
      </c>
      <c r="B69" s="443"/>
      <c r="C69" s="443"/>
      <c r="D69" s="443"/>
      <c r="E69" s="443"/>
      <c r="F69" s="443"/>
      <c r="G69" s="443"/>
      <c r="H69" s="83"/>
      <c r="I69" s="84"/>
      <c r="J69" s="85">
        <v>0.19</v>
      </c>
      <c r="K69" s="444">
        <f>M64*J69</f>
        <v>12190.02</v>
      </c>
      <c r="L69" s="444"/>
      <c r="M69" s="86"/>
    </row>
    <row r="70" spans="1:13">
      <c r="A70" s="447" t="s">
        <v>107</v>
      </c>
      <c r="B70" s="448"/>
      <c r="C70" s="448"/>
      <c r="D70" s="448"/>
      <c r="E70" s="448"/>
      <c r="F70" s="448"/>
      <c r="G70" s="449"/>
      <c r="H70" s="77"/>
      <c r="I70" s="78"/>
      <c r="J70" s="5">
        <v>0.01</v>
      </c>
      <c r="K70" s="445">
        <f>M64*J70</f>
        <v>641.58000000000004</v>
      </c>
      <c r="L70" s="445"/>
      <c r="M70" s="6"/>
    </row>
    <row r="71" spans="1:13">
      <c r="A71" s="447" t="s">
        <v>108</v>
      </c>
      <c r="B71" s="448"/>
      <c r="C71" s="448"/>
      <c r="D71" s="448"/>
      <c r="E71" s="448"/>
      <c r="F71" s="448"/>
      <c r="G71" s="449"/>
      <c r="H71" s="77"/>
      <c r="I71" s="78"/>
      <c r="J71" s="5">
        <v>0.05</v>
      </c>
      <c r="K71" s="445">
        <f>M64*J71</f>
        <v>3207.9</v>
      </c>
      <c r="L71" s="445"/>
      <c r="M71" s="6"/>
    </row>
    <row r="72" spans="1:13" ht="15.75" thickBot="1">
      <c r="A72" s="450" t="s">
        <v>117</v>
      </c>
      <c r="B72" s="451"/>
      <c r="C72" s="451"/>
      <c r="D72" s="451"/>
      <c r="E72" s="451"/>
      <c r="F72" s="451"/>
      <c r="G72" s="452"/>
      <c r="H72" s="87"/>
      <c r="I72" s="88"/>
      <c r="J72" s="89">
        <v>0.19</v>
      </c>
      <c r="K72" s="446">
        <f>K71*J72</f>
        <v>609.50099999999998</v>
      </c>
      <c r="L72" s="446"/>
      <c r="M72" s="90"/>
    </row>
    <row r="73" spans="1:13" ht="15.75" thickBot="1">
      <c r="A73" s="435" t="s">
        <v>87</v>
      </c>
      <c r="B73" s="436"/>
      <c r="C73" s="436"/>
      <c r="D73" s="436"/>
      <c r="E73" s="436"/>
      <c r="F73" s="436"/>
      <c r="G73" s="436"/>
      <c r="H73" s="436"/>
      <c r="I73" s="436"/>
      <c r="J73" s="436"/>
      <c r="K73" s="436"/>
      <c r="L73" s="437"/>
      <c r="M73" s="76">
        <f>SUM(K69:L72)</f>
        <v>16649.001</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80807</v>
      </c>
    </row>
  </sheetData>
  <mergeCells count="83">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61:G61"/>
    <mergeCell ref="K61:L61"/>
    <mergeCell ref="A62:L62"/>
    <mergeCell ref="A64:L64"/>
    <mergeCell ref="A68:G68"/>
    <mergeCell ref="K68:L68"/>
    <mergeCell ref="A72:G72"/>
    <mergeCell ref="K72:L72"/>
    <mergeCell ref="A73:L73"/>
    <mergeCell ref="A75:L75"/>
    <mergeCell ref="A69:G69"/>
    <mergeCell ref="K69:L69"/>
    <mergeCell ref="A70:G70"/>
    <mergeCell ref="K70:L70"/>
    <mergeCell ref="A71:G71"/>
    <mergeCell ref="K71:L71"/>
  </mergeCells>
  <pageMargins left="0.7" right="0.7" top="0.75" bottom="0.75" header="0.3" footer="0.3"/>
  <pageSetup scale="57"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view="pageBreakPreview" topLeftCell="A49" zoomScale="80" zoomScaleNormal="100" zoomScaleSheetLayoutView="80" workbookViewId="0">
      <selection activeCell="M64" sqref="M64"/>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92"/>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93"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93"/>
      <c r="D17" s="193"/>
      <c r="E17" s="193"/>
      <c r="F17" s="193"/>
      <c r="G17" s="193"/>
      <c r="H17" s="193"/>
      <c r="I17" s="193"/>
      <c r="J17" s="193"/>
      <c r="K17" s="193"/>
      <c r="L17" s="193"/>
      <c r="M17" s="13"/>
    </row>
    <row r="18" spans="1:13">
      <c r="A18" s="25" t="s">
        <v>74</v>
      </c>
      <c r="B18" s="26"/>
      <c r="C18" s="379"/>
      <c r="D18" s="379"/>
      <c r="E18" s="379"/>
      <c r="F18" s="379"/>
      <c r="G18" s="379"/>
      <c r="H18" s="379"/>
      <c r="I18" s="379"/>
      <c r="J18" s="379"/>
      <c r="K18" s="379"/>
      <c r="L18" s="379"/>
      <c r="M18" s="380"/>
    </row>
    <row r="19" spans="1:13">
      <c r="A19" s="25"/>
      <c r="B19" s="26"/>
      <c r="C19" s="193"/>
      <c r="D19" s="193"/>
      <c r="E19" s="193"/>
      <c r="F19" s="193"/>
      <c r="G19" s="193"/>
      <c r="H19" s="193"/>
      <c r="I19" s="193"/>
      <c r="J19" s="193"/>
      <c r="K19" s="193"/>
      <c r="L19" s="193"/>
      <c r="M19" s="13"/>
    </row>
    <row r="20" spans="1:13" ht="31.5" customHeight="1">
      <c r="A20" s="464" t="s">
        <v>113</v>
      </c>
      <c r="B20" s="465"/>
      <c r="C20" s="379"/>
      <c r="D20" s="379"/>
      <c r="E20" s="379"/>
      <c r="F20" s="379"/>
      <c r="G20" s="379"/>
      <c r="H20" s="379"/>
      <c r="I20" s="379"/>
      <c r="J20" s="379"/>
      <c r="K20" s="379"/>
      <c r="L20" s="379"/>
      <c r="M20" s="380"/>
    </row>
    <row r="21" spans="1:13">
      <c r="A21" s="400"/>
      <c r="B21" s="401"/>
      <c r="C21" s="193"/>
      <c r="D21" s="193"/>
      <c r="E21" s="193"/>
      <c r="F21" s="193"/>
      <c r="G21" s="193"/>
      <c r="H21" s="193"/>
      <c r="I21" s="193"/>
      <c r="J21" s="193"/>
      <c r="K21" s="193"/>
      <c r="L21" s="193"/>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85" t="s">
        <v>78</v>
      </c>
      <c r="K25" s="408" t="s">
        <v>79</v>
      </c>
      <c r="L25" s="409"/>
      <c r="M25" s="31" t="s">
        <v>80</v>
      </c>
    </row>
    <row r="26" spans="1:13" ht="43.5" customHeight="1" thickBot="1">
      <c r="A26" s="205"/>
      <c r="B26" s="505" t="s">
        <v>405</v>
      </c>
      <c r="C26" s="506"/>
      <c r="D26" s="506"/>
      <c r="E26" s="506"/>
      <c r="F26" s="506"/>
      <c r="G26" s="506"/>
      <c r="H26" s="506"/>
      <c r="I26" s="507"/>
      <c r="J26" s="206">
        <v>1</v>
      </c>
      <c r="K26" s="508" t="s">
        <v>9</v>
      </c>
      <c r="L26" s="507"/>
      <c r="M26" s="207"/>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90" t="s">
        <v>83</v>
      </c>
      <c r="K30" s="421" t="s">
        <v>84</v>
      </c>
      <c r="L30" s="424"/>
      <c r="M30" s="44" t="s">
        <v>85</v>
      </c>
    </row>
    <row r="31" spans="1:13">
      <c r="A31" s="499"/>
      <c r="B31" s="500"/>
      <c r="C31" s="500"/>
      <c r="D31" s="500"/>
      <c r="E31" s="501"/>
      <c r="F31" s="482"/>
      <c r="G31" s="482"/>
      <c r="H31" s="472"/>
      <c r="I31" s="472"/>
      <c r="J31" s="208"/>
      <c r="K31" s="482"/>
      <c r="L31" s="482"/>
      <c r="M31" s="209">
        <f>K31*J31</f>
        <v>0</v>
      </c>
    </row>
    <row r="32" spans="1:13" ht="15.75" thickBot="1">
      <c r="A32" s="499"/>
      <c r="B32" s="500"/>
      <c r="C32" s="500"/>
      <c r="D32" s="500"/>
      <c r="E32" s="501"/>
      <c r="F32" s="414"/>
      <c r="G32" s="415"/>
      <c r="H32" s="472"/>
      <c r="I32" s="472"/>
      <c r="J32" s="91"/>
      <c r="K32" s="414"/>
      <c r="L32" s="415"/>
      <c r="M32" s="209">
        <f>K32*J32</f>
        <v>0</v>
      </c>
    </row>
    <row r="33" spans="1:13" ht="15.75" thickBot="1">
      <c r="A33" s="416" t="s">
        <v>87</v>
      </c>
      <c r="B33" s="417"/>
      <c r="C33" s="417"/>
      <c r="D33" s="417"/>
      <c r="E33" s="417"/>
      <c r="F33" s="417"/>
      <c r="G33" s="417"/>
      <c r="H33" s="417"/>
      <c r="I33" s="417"/>
      <c r="J33" s="417"/>
      <c r="K33" s="417"/>
      <c r="L33" s="418"/>
      <c r="M33" s="210">
        <f>SUM(M31:M32)</f>
        <v>0</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86" t="s">
        <v>79</v>
      </c>
      <c r="J37" s="190" t="s">
        <v>80</v>
      </c>
      <c r="K37" s="421" t="s">
        <v>89</v>
      </c>
      <c r="L37" s="424"/>
      <c r="M37" s="44" t="s">
        <v>85</v>
      </c>
    </row>
    <row r="38" spans="1:13">
      <c r="A38" s="502" t="s">
        <v>179</v>
      </c>
      <c r="B38" s="503"/>
      <c r="C38" s="503"/>
      <c r="D38" s="503"/>
      <c r="E38" s="503"/>
      <c r="F38" s="503"/>
      <c r="G38" s="503"/>
      <c r="H38" s="504"/>
      <c r="I38" s="73" t="s">
        <v>11</v>
      </c>
      <c r="J38" s="194">
        <v>0.35</v>
      </c>
      <c r="K38" s="456">
        <v>9622</v>
      </c>
      <c r="L38" s="457"/>
      <c r="M38" s="56">
        <f>K38*J38</f>
        <v>3367.7</v>
      </c>
    </row>
    <row r="39" spans="1:13">
      <c r="A39" s="502" t="s">
        <v>180</v>
      </c>
      <c r="B39" s="503"/>
      <c r="C39" s="503"/>
      <c r="D39" s="503"/>
      <c r="E39" s="503"/>
      <c r="F39" s="503"/>
      <c r="G39" s="503"/>
      <c r="H39" s="504"/>
      <c r="I39" s="73" t="s">
        <v>11</v>
      </c>
      <c r="J39" s="194">
        <v>1.61</v>
      </c>
      <c r="K39" s="456">
        <v>465</v>
      </c>
      <c r="L39" s="457"/>
      <c r="M39" s="56">
        <f t="shared" ref="M39:M46" si="0">K39*J39</f>
        <v>748.65000000000009</v>
      </c>
    </row>
    <row r="40" spans="1:13">
      <c r="A40" s="502" t="s">
        <v>181</v>
      </c>
      <c r="B40" s="503"/>
      <c r="C40" s="503"/>
      <c r="D40" s="503"/>
      <c r="E40" s="503"/>
      <c r="F40" s="503"/>
      <c r="G40" s="503"/>
      <c r="H40" s="504"/>
      <c r="I40" s="73" t="s">
        <v>188</v>
      </c>
      <c r="J40" s="212">
        <f>0.07/2</f>
        <v>3.5000000000000003E-2</v>
      </c>
      <c r="K40" s="456">
        <v>8990</v>
      </c>
      <c r="L40" s="457"/>
      <c r="M40" s="56">
        <f t="shared" si="0"/>
        <v>314.65000000000003</v>
      </c>
    </row>
    <row r="41" spans="1:13">
      <c r="A41" s="502" t="s">
        <v>182</v>
      </c>
      <c r="B41" s="503"/>
      <c r="C41" s="503"/>
      <c r="D41" s="503"/>
      <c r="E41" s="503"/>
      <c r="F41" s="503"/>
      <c r="G41" s="503"/>
      <c r="H41" s="504"/>
      <c r="I41" s="73" t="s">
        <v>11</v>
      </c>
      <c r="J41" s="194">
        <f>0.71/2</f>
        <v>0.35499999999999998</v>
      </c>
      <c r="K41" s="456">
        <v>57533</v>
      </c>
      <c r="L41" s="457"/>
      <c r="M41" s="56">
        <f t="shared" si="0"/>
        <v>20424.215</v>
      </c>
    </row>
    <row r="42" spans="1:13">
      <c r="A42" s="502" t="s">
        <v>183</v>
      </c>
      <c r="B42" s="503"/>
      <c r="C42" s="503"/>
      <c r="D42" s="503"/>
      <c r="E42" s="503"/>
      <c r="F42" s="503"/>
      <c r="G42" s="503"/>
      <c r="H42" s="504"/>
      <c r="I42" s="73" t="s">
        <v>11</v>
      </c>
      <c r="J42" s="194">
        <f>0.42/2</f>
        <v>0.21</v>
      </c>
      <c r="K42" s="456">
        <v>1438</v>
      </c>
      <c r="L42" s="457"/>
      <c r="M42" s="56">
        <f t="shared" si="0"/>
        <v>301.97999999999996</v>
      </c>
    </row>
    <row r="43" spans="1:13">
      <c r="A43" s="502" t="s">
        <v>184</v>
      </c>
      <c r="B43" s="503"/>
      <c r="C43" s="503"/>
      <c r="D43" s="503"/>
      <c r="E43" s="503"/>
      <c r="F43" s="503"/>
      <c r="G43" s="503"/>
      <c r="H43" s="504"/>
      <c r="I43" s="73" t="s">
        <v>125</v>
      </c>
      <c r="J43" s="194">
        <f>0.09/2</f>
        <v>4.4999999999999998E-2</v>
      </c>
      <c r="K43" s="456">
        <v>66019</v>
      </c>
      <c r="L43" s="457"/>
      <c r="M43" s="56">
        <f t="shared" si="0"/>
        <v>2970.855</v>
      </c>
    </row>
    <row r="44" spans="1:13">
      <c r="A44" s="502" t="s">
        <v>185</v>
      </c>
      <c r="B44" s="503"/>
      <c r="C44" s="503"/>
      <c r="D44" s="503"/>
      <c r="E44" s="503"/>
      <c r="F44" s="503"/>
      <c r="G44" s="503"/>
      <c r="H44" s="504"/>
      <c r="I44" s="73" t="s">
        <v>11</v>
      </c>
      <c r="J44" s="194">
        <v>0.71</v>
      </c>
      <c r="K44" s="456">
        <v>13233</v>
      </c>
      <c r="L44" s="457"/>
      <c r="M44" s="56">
        <f t="shared" si="0"/>
        <v>9395.43</v>
      </c>
    </row>
    <row r="45" spans="1:13">
      <c r="A45" s="502" t="s">
        <v>186</v>
      </c>
      <c r="B45" s="503"/>
      <c r="C45" s="503"/>
      <c r="D45" s="503"/>
      <c r="E45" s="503"/>
      <c r="F45" s="503"/>
      <c r="G45" s="503"/>
      <c r="H45" s="504"/>
      <c r="I45" s="73" t="s">
        <v>11</v>
      </c>
      <c r="J45" s="194">
        <f>2.82/2</f>
        <v>1.41</v>
      </c>
      <c r="K45" s="456">
        <v>24</v>
      </c>
      <c r="L45" s="457"/>
      <c r="M45" s="56">
        <f t="shared" si="0"/>
        <v>33.839999999999996</v>
      </c>
    </row>
    <row r="46" spans="1:13" ht="15.75" thickBot="1">
      <c r="A46" s="410" t="s">
        <v>187</v>
      </c>
      <c r="B46" s="411"/>
      <c r="C46" s="411"/>
      <c r="D46" s="411"/>
      <c r="E46" s="411"/>
      <c r="F46" s="411"/>
      <c r="G46" s="411"/>
      <c r="H46" s="412"/>
      <c r="I46" s="73" t="s">
        <v>11</v>
      </c>
      <c r="J46" s="211">
        <f>27.22/2</f>
        <v>13.61</v>
      </c>
      <c r="K46" s="466">
        <v>24</v>
      </c>
      <c r="L46" s="467"/>
      <c r="M46" s="56">
        <f t="shared" si="0"/>
        <v>326.64</v>
      </c>
    </row>
    <row r="47" spans="1:13" ht="15.75" thickBot="1">
      <c r="A47" s="416" t="s">
        <v>87</v>
      </c>
      <c r="B47" s="417"/>
      <c r="C47" s="417"/>
      <c r="D47" s="417"/>
      <c r="E47" s="417"/>
      <c r="F47" s="417"/>
      <c r="G47" s="417"/>
      <c r="H47" s="417"/>
      <c r="I47" s="417"/>
      <c r="J47" s="417"/>
      <c r="K47" s="417"/>
      <c r="L47" s="418"/>
      <c r="M47" s="58">
        <f>SUM(M38:M46)</f>
        <v>37883.959999999992</v>
      </c>
    </row>
    <row r="48" spans="1:13">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190" t="s">
        <v>92</v>
      </c>
      <c r="I51" s="187" t="s">
        <v>93</v>
      </c>
      <c r="J51" s="60" t="s">
        <v>94</v>
      </c>
      <c r="K51" s="421" t="s">
        <v>95</v>
      </c>
      <c r="L51" s="424"/>
      <c r="M51" s="44" t="s">
        <v>85</v>
      </c>
    </row>
    <row r="52" spans="1:14">
      <c r="A52" s="425"/>
      <c r="B52" s="426"/>
      <c r="C52" s="426"/>
      <c r="D52" s="426"/>
      <c r="E52" s="426"/>
      <c r="F52" s="426"/>
      <c r="G52" s="426"/>
      <c r="H52" s="61"/>
      <c r="I52" s="55"/>
      <c r="J52" s="61"/>
      <c r="K52" s="428"/>
      <c r="L52" s="429"/>
      <c r="M52" s="62"/>
    </row>
    <row r="53" spans="1:14" ht="15.75" thickBot="1">
      <c r="A53" s="410"/>
      <c r="B53" s="411"/>
      <c r="C53" s="411"/>
      <c r="D53" s="411"/>
      <c r="E53" s="411"/>
      <c r="F53" s="411"/>
      <c r="G53" s="411"/>
      <c r="H53" s="47"/>
      <c r="I53" s="15"/>
      <c r="J53" s="47"/>
      <c r="K53" s="414"/>
      <c r="L53" s="415"/>
      <c r="M53" s="48"/>
    </row>
    <row r="54" spans="1:14" ht="15.75" thickBot="1">
      <c r="A54" s="416" t="s">
        <v>87</v>
      </c>
      <c r="B54" s="417"/>
      <c r="C54" s="417"/>
      <c r="D54" s="417"/>
      <c r="E54" s="417"/>
      <c r="F54" s="417"/>
      <c r="G54" s="417"/>
      <c r="H54" s="417"/>
      <c r="I54" s="417"/>
      <c r="J54" s="417"/>
      <c r="K54" s="417"/>
      <c r="L54" s="418"/>
      <c r="M54" s="63">
        <f>SUM(M52:M53)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190" t="s">
        <v>98</v>
      </c>
      <c r="I58" s="191" t="s">
        <v>99</v>
      </c>
      <c r="J58" s="191" t="s">
        <v>100</v>
      </c>
      <c r="K58" s="455" t="s">
        <v>84</v>
      </c>
      <c r="L58" s="455"/>
      <c r="M58" s="65" t="s">
        <v>85</v>
      </c>
    </row>
    <row r="59" spans="1:14">
      <c r="A59" s="471" t="s">
        <v>126</v>
      </c>
      <c r="B59" s="472"/>
      <c r="C59" s="472"/>
      <c r="D59" s="472"/>
      <c r="E59" s="472"/>
      <c r="F59" s="472"/>
      <c r="G59" s="472"/>
      <c r="H59" s="1">
        <v>112923.49999999999</v>
      </c>
      <c r="I59" s="2">
        <v>2.2000000000000002</v>
      </c>
      <c r="J59" s="66">
        <f>(I59*H59)</f>
        <v>248431.69999999998</v>
      </c>
      <c r="K59" s="483">
        <v>7</v>
      </c>
      <c r="L59" s="483"/>
      <c r="M59" s="56">
        <f>J59/K59</f>
        <v>35490.242857142854</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35490.242857142854</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ROUND(M62+M54+M47+M33,0)</f>
        <v>73374</v>
      </c>
      <c r="N64" s="155"/>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188"/>
      <c r="I68" s="189"/>
      <c r="J68" s="81" t="s">
        <v>104</v>
      </c>
      <c r="K68" s="440" t="s">
        <v>105</v>
      </c>
      <c r="L68" s="441"/>
      <c r="M68" s="82"/>
    </row>
    <row r="69" spans="1:13">
      <c r="A69" s="442" t="s">
        <v>106</v>
      </c>
      <c r="B69" s="443"/>
      <c r="C69" s="443"/>
      <c r="D69" s="443"/>
      <c r="E69" s="443"/>
      <c r="F69" s="443"/>
      <c r="G69" s="443"/>
      <c r="H69" s="83"/>
      <c r="I69" s="84"/>
      <c r="J69" s="85">
        <v>0.19</v>
      </c>
      <c r="K69" s="444">
        <f>M64*J69</f>
        <v>13941.06</v>
      </c>
      <c r="L69" s="444"/>
      <c r="M69" s="86"/>
    </row>
    <row r="70" spans="1:13">
      <c r="A70" s="447" t="s">
        <v>107</v>
      </c>
      <c r="B70" s="448"/>
      <c r="C70" s="448"/>
      <c r="D70" s="448"/>
      <c r="E70" s="448"/>
      <c r="F70" s="448"/>
      <c r="G70" s="449"/>
      <c r="H70" s="77"/>
      <c r="I70" s="78"/>
      <c r="J70" s="5">
        <v>0.01</v>
      </c>
      <c r="K70" s="445">
        <f>M64*J70</f>
        <v>733.74</v>
      </c>
      <c r="L70" s="445"/>
      <c r="M70" s="6"/>
    </row>
    <row r="71" spans="1:13">
      <c r="A71" s="447" t="s">
        <v>108</v>
      </c>
      <c r="B71" s="448"/>
      <c r="C71" s="448"/>
      <c r="D71" s="448"/>
      <c r="E71" s="448"/>
      <c r="F71" s="448"/>
      <c r="G71" s="449"/>
      <c r="H71" s="77"/>
      <c r="I71" s="78"/>
      <c r="J71" s="5">
        <v>0.05</v>
      </c>
      <c r="K71" s="445">
        <f>M64*J71</f>
        <v>3668.7000000000003</v>
      </c>
      <c r="L71" s="445"/>
      <c r="M71" s="6"/>
    </row>
    <row r="72" spans="1:13" ht="15.75" thickBot="1">
      <c r="A72" s="450" t="s">
        <v>117</v>
      </c>
      <c r="B72" s="451"/>
      <c r="C72" s="451"/>
      <c r="D72" s="451"/>
      <c r="E72" s="451"/>
      <c r="F72" s="451"/>
      <c r="G72" s="452"/>
      <c r="H72" s="87"/>
      <c r="I72" s="88"/>
      <c r="J72" s="89">
        <v>0.19</v>
      </c>
      <c r="K72" s="446">
        <f>K71*J72</f>
        <v>697.05300000000011</v>
      </c>
      <c r="L72" s="446"/>
      <c r="M72" s="90"/>
    </row>
    <row r="73" spans="1:13" ht="15.75" thickBot="1">
      <c r="A73" s="435" t="s">
        <v>87</v>
      </c>
      <c r="B73" s="436"/>
      <c r="C73" s="436"/>
      <c r="D73" s="436"/>
      <c r="E73" s="436"/>
      <c r="F73" s="436"/>
      <c r="G73" s="436"/>
      <c r="H73" s="436"/>
      <c r="I73" s="436"/>
      <c r="J73" s="436"/>
      <c r="K73" s="436"/>
      <c r="L73" s="437"/>
      <c r="M73" s="76">
        <f>SUM(K69:L72)</f>
        <v>19040.553</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92415</v>
      </c>
    </row>
  </sheetData>
  <mergeCells count="83">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61:G61"/>
    <mergeCell ref="K61:L61"/>
    <mergeCell ref="A62:L62"/>
    <mergeCell ref="A64:L64"/>
    <mergeCell ref="A68:G68"/>
    <mergeCell ref="K68:L68"/>
    <mergeCell ref="A72:G72"/>
    <mergeCell ref="K72:L72"/>
    <mergeCell ref="A73:L73"/>
    <mergeCell ref="A75:L75"/>
    <mergeCell ref="A69:G69"/>
    <mergeCell ref="K69:L69"/>
    <mergeCell ref="A70:G70"/>
    <mergeCell ref="K70:L70"/>
    <mergeCell ref="A71:G71"/>
    <mergeCell ref="K71:L71"/>
  </mergeCells>
  <pageMargins left="0.7" right="0.7" top="0.75" bottom="0.75" header="0.3" footer="0.3"/>
  <pageSetup scale="57"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view="pageBreakPreview" topLeftCell="A46" zoomScale="80" zoomScaleNormal="100" zoomScaleSheetLayoutView="80" workbookViewId="0">
      <selection activeCell="M64" sqref="M64"/>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92"/>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93"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93"/>
      <c r="D17" s="193"/>
      <c r="E17" s="193"/>
      <c r="F17" s="193"/>
      <c r="G17" s="193"/>
      <c r="H17" s="193"/>
      <c r="I17" s="193"/>
      <c r="J17" s="193"/>
      <c r="K17" s="193"/>
      <c r="L17" s="193"/>
      <c r="M17" s="13"/>
    </row>
    <row r="18" spans="1:13">
      <c r="A18" s="25" t="s">
        <v>74</v>
      </c>
      <c r="B18" s="26"/>
      <c r="C18" s="379"/>
      <c r="D18" s="379"/>
      <c r="E18" s="379"/>
      <c r="F18" s="379"/>
      <c r="G18" s="379"/>
      <c r="H18" s="379"/>
      <c r="I18" s="379"/>
      <c r="J18" s="379"/>
      <c r="K18" s="379"/>
      <c r="L18" s="379"/>
      <c r="M18" s="380"/>
    </row>
    <row r="19" spans="1:13">
      <c r="A19" s="25"/>
      <c r="B19" s="26"/>
      <c r="C19" s="193"/>
      <c r="D19" s="193"/>
      <c r="E19" s="193"/>
      <c r="F19" s="193"/>
      <c r="G19" s="193"/>
      <c r="H19" s="193"/>
      <c r="I19" s="193"/>
      <c r="J19" s="193"/>
      <c r="K19" s="193"/>
      <c r="L19" s="193"/>
      <c r="M19" s="13"/>
    </row>
    <row r="20" spans="1:13" ht="31.5" customHeight="1">
      <c r="A20" s="464" t="s">
        <v>113</v>
      </c>
      <c r="B20" s="465"/>
      <c r="C20" s="379"/>
      <c r="D20" s="379"/>
      <c r="E20" s="379"/>
      <c r="F20" s="379"/>
      <c r="G20" s="379"/>
      <c r="H20" s="379"/>
      <c r="I20" s="379"/>
      <c r="J20" s="379"/>
      <c r="K20" s="379"/>
      <c r="L20" s="379"/>
      <c r="M20" s="380"/>
    </row>
    <row r="21" spans="1:13">
      <c r="A21" s="400"/>
      <c r="B21" s="401"/>
      <c r="C21" s="193"/>
      <c r="D21" s="193"/>
      <c r="E21" s="193"/>
      <c r="F21" s="193"/>
      <c r="G21" s="193"/>
      <c r="H21" s="193"/>
      <c r="I21" s="193"/>
      <c r="J21" s="193"/>
      <c r="K21" s="193"/>
      <c r="L21" s="193"/>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85" t="s">
        <v>78</v>
      </c>
      <c r="K25" s="408" t="s">
        <v>79</v>
      </c>
      <c r="L25" s="409"/>
      <c r="M25" s="31" t="s">
        <v>80</v>
      </c>
    </row>
    <row r="26" spans="1:13" ht="43.5" customHeight="1" thickBot="1">
      <c r="A26" s="205"/>
      <c r="B26" s="505" t="s">
        <v>189</v>
      </c>
      <c r="C26" s="506"/>
      <c r="D26" s="506"/>
      <c r="E26" s="506"/>
      <c r="F26" s="506"/>
      <c r="G26" s="506"/>
      <c r="H26" s="506"/>
      <c r="I26" s="507"/>
      <c r="J26" s="206">
        <v>1</v>
      </c>
      <c r="K26" s="508" t="s">
        <v>9</v>
      </c>
      <c r="L26" s="507"/>
      <c r="M26" s="207"/>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90" t="s">
        <v>83</v>
      </c>
      <c r="K30" s="421" t="s">
        <v>84</v>
      </c>
      <c r="L30" s="424"/>
      <c r="M30" s="44" t="s">
        <v>85</v>
      </c>
    </row>
    <row r="31" spans="1:13">
      <c r="A31" s="499"/>
      <c r="B31" s="500"/>
      <c r="C31" s="500"/>
      <c r="D31" s="500"/>
      <c r="E31" s="501"/>
      <c r="F31" s="482"/>
      <c r="G31" s="482"/>
      <c r="H31" s="472"/>
      <c r="I31" s="472"/>
      <c r="J31" s="208"/>
      <c r="K31" s="482"/>
      <c r="L31" s="482"/>
      <c r="M31" s="209">
        <f>K31*J31</f>
        <v>0</v>
      </c>
    </row>
    <row r="32" spans="1:13" ht="15.75" thickBot="1">
      <c r="A32" s="499"/>
      <c r="B32" s="500"/>
      <c r="C32" s="500"/>
      <c r="D32" s="500"/>
      <c r="E32" s="501"/>
      <c r="F32" s="414"/>
      <c r="G32" s="415"/>
      <c r="H32" s="472"/>
      <c r="I32" s="472"/>
      <c r="J32" s="91"/>
      <c r="K32" s="414"/>
      <c r="L32" s="415"/>
      <c r="M32" s="209">
        <f>K32*J32</f>
        <v>0</v>
      </c>
    </row>
    <row r="33" spans="1:13" ht="15.75" thickBot="1">
      <c r="A33" s="416" t="s">
        <v>87</v>
      </c>
      <c r="B33" s="417"/>
      <c r="C33" s="417"/>
      <c r="D33" s="417"/>
      <c r="E33" s="417"/>
      <c r="F33" s="417"/>
      <c r="G33" s="417"/>
      <c r="H33" s="417"/>
      <c r="I33" s="417"/>
      <c r="J33" s="417"/>
      <c r="K33" s="417"/>
      <c r="L33" s="418"/>
      <c r="M33" s="210">
        <f>SUM(M31:M32)</f>
        <v>0</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86" t="s">
        <v>79</v>
      </c>
      <c r="J37" s="190" t="s">
        <v>80</v>
      </c>
      <c r="K37" s="421" t="s">
        <v>89</v>
      </c>
      <c r="L37" s="424"/>
      <c r="M37" s="44" t="s">
        <v>85</v>
      </c>
    </row>
    <row r="38" spans="1:13">
      <c r="A38" s="502" t="s">
        <v>190</v>
      </c>
      <c r="B38" s="503"/>
      <c r="C38" s="503"/>
      <c r="D38" s="503"/>
      <c r="E38" s="503"/>
      <c r="F38" s="503"/>
      <c r="G38" s="503"/>
      <c r="H38" s="504"/>
      <c r="I38" s="73" t="s">
        <v>9</v>
      </c>
      <c r="J38" s="194">
        <v>1.05</v>
      </c>
      <c r="K38" s="456">
        <v>10668</v>
      </c>
      <c r="L38" s="457"/>
      <c r="M38" s="56">
        <f>K38*J38</f>
        <v>11201.4</v>
      </c>
    </row>
    <row r="39" spans="1:13">
      <c r="A39" s="502"/>
      <c r="B39" s="503"/>
      <c r="C39" s="503"/>
      <c r="D39" s="503"/>
      <c r="E39" s="503"/>
      <c r="F39" s="503"/>
      <c r="G39" s="503"/>
      <c r="H39" s="504"/>
      <c r="I39" s="73"/>
      <c r="J39" s="194"/>
      <c r="K39" s="456"/>
      <c r="L39" s="457"/>
      <c r="M39" s="56"/>
    </row>
    <row r="40" spans="1:13">
      <c r="A40" s="502"/>
      <c r="B40" s="503"/>
      <c r="C40" s="503"/>
      <c r="D40" s="503"/>
      <c r="E40" s="503"/>
      <c r="F40" s="503"/>
      <c r="G40" s="503"/>
      <c r="H40" s="504"/>
      <c r="I40" s="73"/>
      <c r="J40" s="212"/>
      <c r="K40" s="456"/>
      <c r="L40" s="457"/>
      <c r="M40" s="56"/>
    </row>
    <row r="41" spans="1:13">
      <c r="A41" s="502"/>
      <c r="B41" s="503"/>
      <c r="C41" s="503"/>
      <c r="D41" s="503"/>
      <c r="E41" s="503"/>
      <c r="F41" s="503"/>
      <c r="G41" s="503"/>
      <c r="H41" s="504"/>
      <c r="I41" s="73"/>
      <c r="J41" s="194"/>
      <c r="K41" s="456"/>
      <c r="L41" s="457"/>
      <c r="M41" s="56"/>
    </row>
    <row r="42" spans="1:13">
      <c r="A42" s="502"/>
      <c r="B42" s="503"/>
      <c r="C42" s="503"/>
      <c r="D42" s="503"/>
      <c r="E42" s="503"/>
      <c r="F42" s="503"/>
      <c r="G42" s="503"/>
      <c r="H42" s="504"/>
      <c r="I42" s="73"/>
      <c r="J42" s="194"/>
      <c r="K42" s="456"/>
      <c r="L42" s="457"/>
      <c r="M42" s="56"/>
    </row>
    <row r="43" spans="1:13">
      <c r="A43" s="502"/>
      <c r="B43" s="503"/>
      <c r="C43" s="503"/>
      <c r="D43" s="503"/>
      <c r="E43" s="503"/>
      <c r="F43" s="503"/>
      <c r="G43" s="503"/>
      <c r="H43" s="504"/>
      <c r="I43" s="73"/>
      <c r="J43" s="194"/>
      <c r="K43" s="456"/>
      <c r="L43" s="457"/>
      <c r="M43" s="56"/>
    </row>
    <row r="44" spans="1:13">
      <c r="A44" s="502"/>
      <c r="B44" s="503"/>
      <c r="C44" s="503"/>
      <c r="D44" s="503"/>
      <c r="E44" s="503"/>
      <c r="F44" s="503"/>
      <c r="G44" s="503"/>
      <c r="H44" s="504"/>
      <c r="I44" s="73"/>
      <c r="J44" s="194"/>
      <c r="K44" s="456"/>
      <c r="L44" s="457"/>
      <c r="M44" s="56"/>
    </row>
    <row r="45" spans="1:13">
      <c r="A45" s="502"/>
      <c r="B45" s="503"/>
      <c r="C45" s="503"/>
      <c r="D45" s="503"/>
      <c r="E45" s="503"/>
      <c r="F45" s="503"/>
      <c r="G45" s="503"/>
      <c r="H45" s="504"/>
      <c r="I45" s="73"/>
      <c r="J45" s="194"/>
      <c r="K45" s="456"/>
      <c r="L45" s="457"/>
      <c r="M45" s="56"/>
    </row>
    <row r="46" spans="1:13" ht="15.75" thickBot="1">
      <c r="A46" s="410"/>
      <c r="B46" s="411"/>
      <c r="C46" s="411"/>
      <c r="D46" s="411"/>
      <c r="E46" s="411"/>
      <c r="F46" s="411"/>
      <c r="G46" s="411"/>
      <c r="H46" s="412"/>
      <c r="I46" s="73"/>
      <c r="J46" s="211"/>
      <c r="K46" s="466"/>
      <c r="L46" s="467"/>
      <c r="M46" s="56"/>
    </row>
    <row r="47" spans="1:13" ht="15.75" thickBot="1">
      <c r="A47" s="416" t="s">
        <v>87</v>
      </c>
      <c r="B47" s="417"/>
      <c r="C47" s="417"/>
      <c r="D47" s="417"/>
      <c r="E47" s="417"/>
      <c r="F47" s="417"/>
      <c r="G47" s="417"/>
      <c r="H47" s="417"/>
      <c r="I47" s="417"/>
      <c r="J47" s="417"/>
      <c r="K47" s="417"/>
      <c r="L47" s="418"/>
      <c r="M47" s="58">
        <f>SUM(M38:M46)</f>
        <v>11201.4</v>
      </c>
    </row>
    <row r="48" spans="1:13">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190" t="s">
        <v>92</v>
      </c>
      <c r="I51" s="187" t="s">
        <v>93</v>
      </c>
      <c r="J51" s="60" t="s">
        <v>94</v>
      </c>
      <c r="K51" s="421" t="s">
        <v>95</v>
      </c>
      <c r="L51" s="424"/>
      <c r="M51" s="44" t="s">
        <v>85</v>
      </c>
    </row>
    <row r="52" spans="1:14">
      <c r="A52" s="425"/>
      <c r="B52" s="426"/>
      <c r="C52" s="426"/>
      <c r="D52" s="426"/>
      <c r="E52" s="426"/>
      <c r="F52" s="426"/>
      <c r="G52" s="426"/>
      <c r="H52" s="61"/>
      <c r="I52" s="55"/>
      <c r="J52" s="61"/>
      <c r="K52" s="428"/>
      <c r="L52" s="429"/>
      <c r="M52" s="62"/>
    </row>
    <row r="53" spans="1:14" ht="15.75" thickBot="1">
      <c r="A53" s="410"/>
      <c r="B53" s="411"/>
      <c r="C53" s="411"/>
      <c r="D53" s="411"/>
      <c r="E53" s="411"/>
      <c r="F53" s="411"/>
      <c r="G53" s="411"/>
      <c r="H53" s="47"/>
      <c r="I53" s="15"/>
      <c r="J53" s="47"/>
      <c r="K53" s="414"/>
      <c r="L53" s="415"/>
      <c r="M53" s="48"/>
    </row>
    <row r="54" spans="1:14" ht="15.75" thickBot="1">
      <c r="A54" s="416" t="s">
        <v>87</v>
      </c>
      <c r="B54" s="417"/>
      <c r="C54" s="417"/>
      <c r="D54" s="417"/>
      <c r="E54" s="417"/>
      <c r="F54" s="417"/>
      <c r="G54" s="417"/>
      <c r="H54" s="417"/>
      <c r="I54" s="417"/>
      <c r="J54" s="417"/>
      <c r="K54" s="417"/>
      <c r="L54" s="418"/>
      <c r="M54" s="63">
        <f>SUM(M52:M53)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190" t="s">
        <v>98</v>
      </c>
      <c r="I58" s="191" t="s">
        <v>99</v>
      </c>
      <c r="J58" s="191" t="s">
        <v>100</v>
      </c>
      <c r="K58" s="455" t="s">
        <v>84</v>
      </c>
      <c r="L58" s="455"/>
      <c r="M58" s="65" t="s">
        <v>85</v>
      </c>
    </row>
    <row r="59" spans="1:14">
      <c r="A59" s="471" t="s">
        <v>126</v>
      </c>
      <c r="B59" s="472"/>
      <c r="C59" s="472"/>
      <c r="D59" s="472"/>
      <c r="E59" s="472"/>
      <c r="F59" s="472"/>
      <c r="G59" s="472"/>
      <c r="H59" s="1">
        <v>112923.49999999999</v>
      </c>
      <c r="I59" s="2">
        <v>2.2000000000000002</v>
      </c>
      <c r="J59" s="66">
        <f>(I59*H59)</f>
        <v>248431.69999999998</v>
      </c>
      <c r="K59" s="483">
        <v>150</v>
      </c>
      <c r="L59" s="483"/>
      <c r="M59" s="56">
        <f>J59/K59</f>
        <v>1656.2113333333332</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1656.2113333333332</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ROUND(M62+M54+M47+M33,0)</f>
        <v>12858</v>
      </c>
      <c r="N64" s="155"/>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188"/>
      <c r="I68" s="189"/>
      <c r="J68" s="81" t="s">
        <v>104</v>
      </c>
      <c r="K68" s="440" t="s">
        <v>105</v>
      </c>
      <c r="L68" s="441"/>
      <c r="M68" s="82"/>
    </row>
    <row r="69" spans="1:13">
      <c r="A69" s="442" t="s">
        <v>106</v>
      </c>
      <c r="B69" s="443"/>
      <c r="C69" s="443"/>
      <c r="D69" s="443"/>
      <c r="E69" s="443"/>
      <c r="F69" s="443"/>
      <c r="G69" s="443"/>
      <c r="H69" s="83"/>
      <c r="I69" s="84"/>
      <c r="J69" s="85">
        <v>0.19</v>
      </c>
      <c r="K69" s="444">
        <f>M64*J69</f>
        <v>2443.02</v>
      </c>
      <c r="L69" s="444"/>
      <c r="M69" s="86"/>
    </row>
    <row r="70" spans="1:13">
      <c r="A70" s="447" t="s">
        <v>107</v>
      </c>
      <c r="B70" s="448"/>
      <c r="C70" s="448"/>
      <c r="D70" s="448"/>
      <c r="E70" s="448"/>
      <c r="F70" s="448"/>
      <c r="G70" s="449"/>
      <c r="H70" s="77"/>
      <c r="I70" s="78"/>
      <c r="J70" s="5">
        <v>0.01</v>
      </c>
      <c r="K70" s="445">
        <f>M64*J70</f>
        <v>128.58000000000001</v>
      </c>
      <c r="L70" s="445"/>
      <c r="M70" s="6"/>
    </row>
    <row r="71" spans="1:13">
      <c r="A71" s="447" t="s">
        <v>108</v>
      </c>
      <c r="B71" s="448"/>
      <c r="C71" s="448"/>
      <c r="D71" s="448"/>
      <c r="E71" s="448"/>
      <c r="F71" s="448"/>
      <c r="G71" s="449"/>
      <c r="H71" s="77"/>
      <c r="I71" s="78"/>
      <c r="J71" s="5">
        <v>0.05</v>
      </c>
      <c r="K71" s="445">
        <f>M64*J71</f>
        <v>642.90000000000009</v>
      </c>
      <c r="L71" s="445"/>
      <c r="M71" s="6"/>
    </row>
    <row r="72" spans="1:13" ht="15.75" thickBot="1">
      <c r="A72" s="450" t="s">
        <v>117</v>
      </c>
      <c r="B72" s="451"/>
      <c r="C72" s="451"/>
      <c r="D72" s="451"/>
      <c r="E72" s="451"/>
      <c r="F72" s="451"/>
      <c r="G72" s="452"/>
      <c r="H72" s="87"/>
      <c r="I72" s="88"/>
      <c r="J72" s="89">
        <v>0.19</v>
      </c>
      <c r="K72" s="446">
        <f>K71*J72</f>
        <v>122.15100000000002</v>
      </c>
      <c r="L72" s="446"/>
      <c r="M72" s="90"/>
    </row>
    <row r="73" spans="1:13" ht="15.75" thickBot="1">
      <c r="A73" s="435" t="s">
        <v>87</v>
      </c>
      <c r="B73" s="436"/>
      <c r="C73" s="436"/>
      <c r="D73" s="436"/>
      <c r="E73" s="436"/>
      <c r="F73" s="436"/>
      <c r="G73" s="436"/>
      <c r="H73" s="436"/>
      <c r="I73" s="436"/>
      <c r="J73" s="436"/>
      <c r="K73" s="436"/>
      <c r="L73" s="437"/>
      <c r="M73" s="76">
        <f>SUM(K69:L72)</f>
        <v>3336.6509999999998</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16195</v>
      </c>
    </row>
  </sheetData>
  <mergeCells count="83">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61:G61"/>
    <mergeCell ref="K61:L61"/>
    <mergeCell ref="A62:L62"/>
    <mergeCell ref="A64:L64"/>
    <mergeCell ref="A68:G68"/>
    <mergeCell ref="K68:L68"/>
    <mergeCell ref="A72:G72"/>
    <mergeCell ref="K72:L72"/>
    <mergeCell ref="A73:L73"/>
    <mergeCell ref="A75:L75"/>
    <mergeCell ref="A69:G69"/>
    <mergeCell ref="K69:L69"/>
    <mergeCell ref="A70:G70"/>
    <mergeCell ref="K70:L70"/>
    <mergeCell ref="A71:G71"/>
    <mergeCell ref="K71:L71"/>
  </mergeCells>
  <pageMargins left="0.7" right="0.7" top="0.75" bottom="0.75" header="0.3" footer="0.3"/>
  <pageSetup scale="57"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view="pageBreakPreview" topLeftCell="A47" zoomScale="80" zoomScaleNormal="100" zoomScaleSheetLayoutView="80" workbookViewId="0">
      <selection activeCell="M65" sqref="M65"/>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491" t="s">
        <v>67</v>
      </c>
      <c r="E1" s="491"/>
      <c r="F1" s="491"/>
      <c r="G1" s="491"/>
      <c r="H1" s="491"/>
      <c r="I1" s="491"/>
      <c r="J1" s="491"/>
      <c r="K1" s="493"/>
      <c r="L1" s="493"/>
      <c r="M1" s="494"/>
    </row>
    <row r="2" spans="1:13">
      <c r="A2" s="460"/>
      <c r="B2" s="389"/>
      <c r="C2" s="389"/>
      <c r="D2" s="492"/>
      <c r="E2" s="492"/>
      <c r="F2" s="492"/>
      <c r="G2" s="492"/>
      <c r="H2" s="492"/>
      <c r="I2" s="492"/>
      <c r="J2" s="492"/>
      <c r="K2" s="495"/>
      <c r="L2" s="495"/>
      <c r="M2" s="496"/>
    </row>
    <row r="3" spans="1:13">
      <c r="A3" s="460"/>
      <c r="B3" s="389"/>
      <c r="C3" s="389"/>
      <c r="D3" s="492"/>
      <c r="E3" s="492"/>
      <c r="F3" s="492"/>
      <c r="G3" s="492"/>
      <c r="H3" s="492"/>
      <c r="I3" s="492"/>
      <c r="J3" s="492"/>
      <c r="K3" s="495"/>
      <c r="L3" s="495"/>
      <c r="M3" s="496"/>
    </row>
    <row r="4" spans="1:13" ht="15" customHeight="1">
      <c r="A4" s="460"/>
      <c r="B4" s="389"/>
      <c r="C4" s="389"/>
      <c r="D4" s="389" t="s">
        <v>112</v>
      </c>
      <c r="E4" s="389"/>
      <c r="F4" s="389"/>
      <c r="G4" s="389"/>
      <c r="H4" s="389"/>
      <c r="I4" s="389"/>
      <c r="J4" s="389"/>
      <c r="K4" s="495"/>
      <c r="L4" s="495"/>
      <c r="M4" s="496"/>
    </row>
    <row r="5" spans="1:13">
      <c r="A5" s="460"/>
      <c r="B5" s="389"/>
      <c r="C5" s="389"/>
      <c r="D5" s="389"/>
      <c r="E5" s="389"/>
      <c r="F5" s="389"/>
      <c r="G5" s="389"/>
      <c r="H5" s="389"/>
      <c r="I5" s="389"/>
      <c r="J5" s="389"/>
      <c r="K5" s="495"/>
      <c r="L5" s="495"/>
      <c r="M5" s="496"/>
    </row>
    <row r="6" spans="1:13">
      <c r="A6" s="460"/>
      <c r="B6" s="389"/>
      <c r="C6" s="389"/>
      <c r="D6" s="389"/>
      <c r="E6" s="389"/>
      <c r="F6" s="389"/>
      <c r="G6" s="389"/>
      <c r="H6" s="389"/>
      <c r="I6" s="389"/>
      <c r="J6" s="389"/>
      <c r="K6" s="495"/>
      <c r="L6" s="495"/>
      <c r="M6" s="496"/>
    </row>
    <row r="7" spans="1:13" ht="15.75" thickBot="1">
      <c r="A7" s="461"/>
      <c r="B7" s="390"/>
      <c r="C7" s="390"/>
      <c r="D7" s="390"/>
      <c r="E7" s="390"/>
      <c r="F7" s="390"/>
      <c r="G7" s="390"/>
      <c r="H7" s="390"/>
      <c r="I7" s="390"/>
      <c r="J7" s="390"/>
      <c r="K7" s="497"/>
      <c r="L7" s="497"/>
      <c r="M7" s="498"/>
    </row>
    <row r="8" spans="1:13">
      <c r="A8" s="192"/>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93"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93"/>
      <c r="D17" s="193"/>
      <c r="E17" s="193"/>
      <c r="F17" s="193"/>
      <c r="G17" s="193"/>
      <c r="H17" s="193"/>
      <c r="I17" s="193"/>
      <c r="J17" s="193"/>
      <c r="K17" s="193"/>
      <c r="L17" s="193"/>
      <c r="M17" s="13"/>
    </row>
    <row r="18" spans="1:13">
      <c r="A18" s="25" t="s">
        <v>74</v>
      </c>
      <c r="B18" s="26"/>
      <c r="C18" s="379"/>
      <c r="D18" s="379"/>
      <c r="E18" s="379"/>
      <c r="F18" s="379"/>
      <c r="G18" s="379"/>
      <c r="H18" s="379"/>
      <c r="I18" s="379"/>
      <c r="J18" s="379"/>
      <c r="K18" s="379"/>
      <c r="L18" s="379"/>
      <c r="M18" s="380"/>
    </row>
    <row r="19" spans="1:13">
      <c r="A19" s="25"/>
      <c r="B19" s="26"/>
      <c r="C19" s="193"/>
      <c r="D19" s="193"/>
      <c r="E19" s="193"/>
      <c r="F19" s="193"/>
      <c r="G19" s="193"/>
      <c r="H19" s="193"/>
      <c r="I19" s="193"/>
      <c r="J19" s="193"/>
      <c r="K19" s="193"/>
      <c r="L19" s="193"/>
      <c r="M19" s="13"/>
    </row>
    <row r="20" spans="1:13" ht="31.5" customHeight="1">
      <c r="A20" s="464" t="s">
        <v>113</v>
      </c>
      <c r="B20" s="465"/>
      <c r="C20" s="379"/>
      <c r="D20" s="379"/>
      <c r="E20" s="379"/>
      <c r="F20" s="379"/>
      <c r="G20" s="379"/>
      <c r="H20" s="379"/>
      <c r="I20" s="379"/>
      <c r="J20" s="379"/>
      <c r="K20" s="379"/>
      <c r="L20" s="379"/>
      <c r="M20" s="380"/>
    </row>
    <row r="21" spans="1:13">
      <c r="A21" s="400"/>
      <c r="B21" s="401"/>
      <c r="C21" s="193"/>
      <c r="D21" s="193"/>
      <c r="E21" s="193"/>
      <c r="F21" s="193"/>
      <c r="G21" s="193"/>
      <c r="H21" s="193"/>
      <c r="I21" s="193"/>
      <c r="J21" s="193"/>
      <c r="K21" s="193"/>
      <c r="L21" s="193"/>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85" t="s">
        <v>78</v>
      </c>
      <c r="K25" s="408" t="s">
        <v>79</v>
      </c>
      <c r="L25" s="409"/>
      <c r="M25" s="31" t="s">
        <v>80</v>
      </c>
    </row>
    <row r="26" spans="1:13" ht="15.75" thickBot="1">
      <c r="A26" s="33"/>
      <c r="B26" s="391" t="s">
        <v>196</v>
      </c>
      <c r="C26" s="392"/>
      <c r="D26" s="392"/>
      <c r="E26" s="392"/>
      <c r="F26" s="392"/>
      <c r="G26" s="392"/>
      <c r="H26" s="392"/>
      <c r="I26" s="393"/>
      <c r="J26" s="184">
        <v>1</v>
      </c>
      <c r="K26" s="391" t="s">
        <v>9</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90" t="s">
        <v>83</v>
      </c>
      <c r="K30" s="421" t="s">
        <v>84</v>
      </c>
      <c r="L30" s="424"/>
      <c r="M30" s="44" t="s">
        <v>85</v>
      </c>
    </row>
    <row r="31" spans="1:13">
      <c r="A31" s="425"/>
      <c r="B31" s="426"/>
      <c r="C31" s="426"/>
      <c r="D31" s="426"/>
      <c r="E31" s="427"/>
      <c r="F31" s="428"/>
      <c r="G31" s="429"/>
      <c r="H31" s="430"/>
      <c r="I31" s="427"/>
      <c r="J31" s="72"/>
      <c r="K31" s="428"/>
      <c r="L31" s="429"/>
      <c r="M31" s="46"/>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0</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86" t="s">
        <v>79</v>
      </c>
      <c r="J37" s="190" t="s">
        <v>80</v>
      </c>
      <c r="K37" s="421" t="s">
        <v>89</v>
      </c>
      <c r="L37" s="424"/>
      <c r="M37" s="44" t="s">
        <v>85</v>
      </c>
    </row>
    <row r="38" spans="1:13">
      <c r="A38" s="425" t="s">
        <v>192</v>
      </c>
      <c r="B38" s="426"/>
      <c r="C38" s="426"/>
      <c r="D38" s="426"/>
      <c r="E38" s="426"/>
      <c r="F38" s="426"/>
      <c r="G38" s="426"/>
      <c r="H38" s="427"/>
      <c r="I38" s="73" t="s">
        <v>193</v>
      </c>
      <c r="J38" s="45">
        <v>0.09</v>
      </c>
      <c r="K38" s="456">
        <v>14527</v>
      </c>
      <c r="L38" s="457"/>
      <c r="M38" s="56">
        <f t="shared" ref="M38:M42" si="0">K38*J38</f>
        <v>1307.43</v>
      </c>
    </row>
    <row r="39" spans="1:13">
      <c r="A39" s="425" t="s">
        <v>128</v>
      </c>
      <c r="B39" s="426"/>
      <c r="C39" s="426"/>
      <c r="D39" s="426"/>
      <c r="E39" s="426"/>
      <c r="F39" s="426"/>
      <c r="G39" s="426"/>
      <c r="H39" s="427"/>
      <c r="I39" s="73" t="s">
        <v>25</v>
      </c>
      <c r="J39" s="45">
        <v>0.26</v>
      </c>
      <c r="K39" s="456">
        <v>690</v>
      </c>
      <c r="L39" s="457"/>
      <c r="M39" s="56">
        <f t="shared" si="0"/>
        <v>179.4</v>
      </c>
    </row>
    <row r="40" spans="1:13">
      <c r="A40" s="425" t="s">
        <v>183</v>
      </c>
      <c r="B40" s="426"/>
      <c r="C40" s="426"/>
      <c r="D40" s="426"/>
      <c r="E40" s="426"/>
      <c r="F40" s="426"/>
      <c r="G40" s="426"/>
      <c r="H40" s="427"/>
      <c r="I40" s="73" t="s">
        <v>11</v>
      </c>
      <c r="J40" s="45">
        <v>0.02</v>
      </c>
      <c r="K40" s="456">
        <v>1438</v>
      </c>
      <c r="L40" s="457"/>
      <c r="M40" s="56">
        <f t="shared" si="0"/>
        <v>28.76</v>
      </c>
    </row>
    <row r="41" spans="1:13">
      <c r="A41" s="425" t="s">
        <v>194</v>
      </c>
      <c r="B41" s="426"/>
      <c r="C41" s="426"/>
      <c r="D41" s="426"/>
      <c r="E41" s="426"/>
      <c r="F41" s="426"/>
      <c r="G41" s="426"/>
      <c r="H41" s="427"/>
      <c r="I41" s="73" t="s">
        <v>193</v>
      </c>
      <c r="J41" s="45">
        <v>0.01</v>
      </c>
      <c r="K41" s="456">
        <v>32938</v>
      </c>
      <c r="L41" s="457"/>
      <c r="M41" s="56">
        <f t="shared" si="0"/>
        <v>329.38</v>
      </c>
    </row>
    <row r="42" spans="1:13">
      <c r="A42" s="425" t="s">
        <v>197</v>
      </c>
      <c r="B42" s="426"/>
      <c r="C42" s="426"/>
      <c r="D42" s="426"/>
      <c r="E42" s="426"/>
      <c r="F42" s="426"/>
      <c r="G42" s="426"/>
      <c r="H42" s="427"/>
      <c r="I42" s="73" t="s">
        <v>125</v>
      </c>
      <c r="J42" s="45">
        <v>0.06</v>
      </c>
      <c r="K42" s="456">
        <v>76735</v>
      </c>
      <c r="L42" s="457"/>
      <c r="M42" s="56">
        <f t="shared" si="0"/>
        <v>4604.0999999999995</v>
      </c>
    </row>
    <row r="43" spans="1:13">
      <c r="A43" s="425"/>
      <c r="B43" s="426"/>
      <c r="C43" s="426"/>
      <c r="D43" s="426"/>
      <c r="E43" s="426"/>
      <c r="F43" s="426"/>
      <c r="G43" s="426"/>
      <c r="H43" s="427"/>
      <c r="I43" s="73"/>
      <c r="J43" s="45"/>
      <c r="K43" s="456"/>
      <c r="L43" s="457"/>
      <c r="M43" s="56"/>
    </row>
    <row r="44" spans="1:13">
      <c r="A44" s="425"/>
      <c r="B44" s="426"/>
      <c r="C44" s="426"/>
      <c r="D44" s="426"/>
      <c r="E44" s="426"/>
      <c r="F44" s="426"/>
      <c r="G44" s="426"/>
      <c r="H44" s="427"/>
      <c r="I44" s="73"/>
      <c r="J44" s="45"/>
      <c r="K44" s="456"/>
      <c r="L44" s="457"/>
      <c r="M44" s="56"/>
    </row>
    <row r="45" spans="1:13">
      <c r="A45" s="425"/>
      <c r="B45" s="426"/>
      <c r="C45" s="426"/>
      <c r="D45" s="426"/>
      <c r="E45" s="426"/>
      <c r="F45" s="426"/>
      <c r="G45" s="426"/>
      <c r="H45" s="427"/>
      <c r="I45" s="73"/>
      <c r="J45" s="45"/>
      <c r="K45" s="456"/>
      <c r="L45" s="457"/>
      <c r="M45" s="56"/>
    </row>
    <row r="46" spans="1:13" ht="15.75" thickBot="1">
      <c r="A46" s="410"/>
      <c r="B46" s="411"/>
      <c r="C46" s="411"/>
      <c r="D46" s="411"/>
      <c r="E46" s="411"/>
      <c r="F46" s="411"/>
      <c r="G46" s="411"/>
      <c r="H46" s="412"/>
      <c r="I46" s="74"/>
      <c r="J46" s="57"/>
      <c r="K46" s="466"/>
      <c r="L46" s="467"/>
      <c r="M46" s="75"/>
    </row>
    <row r="47" spans="1:13" ht="15.75" thickBot="1">
      <c r="A47" s="416" t="s">
        <v>87</v>
      </c>
      <c r="B47" s="417"/>
      <c r="C47" s="417"/>
      <c r="D47" s="417"/>
      <c r="E47" s="417"/>
      <c r="F47" s="417"/>
      <c r="G47" s="417"/>
      <c r="H47" s="417"/>
      <c r="I47" s="417"/>
      <c r="J47" s="417"/>
      <c r="K47" s="417"/>
      <c r="L47" s="418"/>
      <c r="M47" s="58">
        <f>SUM(M38:M46)</f>
        <v>6449.07</v>
      </c>
    </row>
    <row r="48" spans="1:13">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190" t="s">
        <v>92</v>
      </c>
      <c r="I51" s="187" t="s">
        <v>93</v>
      </c>
      <c r="J51" s="60" t="s">
        <v>94</v>
      </c>
      <c r="K51" s="421" t="s">
        <v>95</v>
      </c>
      <c r="L51" s="424"/>
      <c r="M51" s="44" t="s">
        <v>85</v>
      </c>
    </row>
    <row r="52" spans="1:14">
      <c r="A52" s="425"/>
      <c r="B52" s="426"/>
      <c r="C52" s="426"/>
      <c r="D52" s="426"/>
      <c r="E52" s="426"/>
      <c r="F52" s="426"/>
      <c r="G52" s="426"/>
      <c r="H52" s="61"/>
      <c r="I52" s="55"/>
      <c r="J52" s="61"/>
      <c r="K52" s="428"/>
      <c r="L52" s="429"/>
      <c r="M52" s="62"/>
    </row>
    <row r="53" spans="1:14" ht="15.75" thickBot="1">
      <c r="A53" s="410"/>
      <c r="B53" s="411"/>
      <c r="C53" s="411"/>
      <c r="D53" s="411"/>
      <c r="E53" s="411"/>
      <c r="F53" s="411"/>
      <c r="G53" s="411"/>
      <c r="H53" s="47"/>
      <c r="I53" s="15"/>
      <c r="J53" s="47"/>
      <c r="K53" s="414"/>
      <c r="L53" s="415"/>
      <c r="M53" s="48"/>
    </row>
    <row r="54" spans="1:14" ht="15.75" thickBot="1">
      <c r="A54" s="416" t="s">
        <v>87</v>
      </c>
      <c r="B54" s="417"/>
      <c r="C54" s="417"/>
      <c r="D54" s="417"/>
      <c r="E54" s="417"/>
      <c r="F54" s="417"/>
      <c r="G54" s="417"/>
      <c r="H54" s="417"/>
      <c r="I54" s="417"/>
      <c r="J54" s="417"/>
      <c r="K54" s="417"/>
      <c r="L54" s="418"/>
      <c r="M54" s="63">
        <f>SUM(M52:M53)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190" t="s">
        <v>98</v>
      </c>
      <c r="I58" s="191" t="s">
        <v>99</v>
      </c>
      <c r="J58" s="191" t="s">
        <v>100</v>
      </c>
      <c r="K58" s="455" t="s">
        <v>84</v>
      </c>
      <c r="L58" s="455"/>
      <c r="M58" s="65" t="s">
        <v>85</v>
      </c>
    </row>
    <row r="59" spans="1:14">
      <c r="A59" s="471" t="s">
        <v>195</v>
      </c>
      <c r="B59" s="472"/>
      <c r="C59" s="472"/>
      <c r="D59" s="472"/>
      <c r="E59" s="472"/>
      <c r="F59" s="472"/>
      <c r="G59" s="472"/>
      <c r="H59" s="1">
        <v>127380.493</v>
      </c>
      <c r="I59" s="2">
        <v>2.2000000000000002</v>
      </c>
      <c r="J59" s="66">
        <f>(I59*H59)</f>
        <v>280237.0846</v>
      </c>
      <c r="K59" s="483">
        <v>22.22</v>
      </c>
      <c r="L59" s="483"/>
      <c r="M59" s="56">
        <f>J59/K59</f>
        <v>12611.93</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12611.93</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ROUND(M62+M54+M47+M33,0)</f>
        <v>19061</v>
      </c>
      <c r="N64" s="155"/>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188"/>
      <c r="I68" s="189"/>
      <c r="J68" s="81" t="s">
        <v>104</v>
      </c>
      <c r="K68" s="440" t="s">
        <v>105</v>
      </c>
      <c r="L68" s="441"/>
      <c r="M68" s="82"/>
    </row>
    <row r="69" spans="1:13">
      <c r="A69" s="442" t="s">
        <v>106</v>
      </c>
      <c r="B69" s="443"/>
      <c r="C69" s="443"/>
      <c r="D69" s="443"/>
      <c r="E69" s="443"/>
      <c r="F69" s="443"/>
      <c r="G69" s="443"/>
      <c r="H69" s="83"/>
      <c r="I69" s="84"/>
      <c r="J69" s="85">
        <v>0.19</v>
      </c>
      <c r="K69" s="444">
        <f>M64*J69</f>
        <v>3621.59</v>
      </c>
      <c r="L69" s="444"/>
      <c r="M69" s="86"/>
    </row>
    <row r="70" spans="1:13">
      <c r="A70" s="447" t="s">
        <v>107</v>
      </c>
      <c r="B70" s="448"/>
      <c r="C70" s="448"/>
      <c r="D70" s="448"/>
      <c r="E70" s="448"/>
      <c r="F70" s="448"/>
      <c r="G70" s="449"/>
      <c r="H70" s="77"/>
      <c r="I70" s="78"/>
      <c r="J70" s="5">
        <v>0.01</v>
      </c>
      <c r="K70" s="445">
        <f>M64*J70</f>
        <v>190.61</v>
      </c>
      <c r="L70" s="445"/>
      <c r="M70" s="6"/>
    </row>
    <row r="71" spans="1:13">
      <c r="A71" s="447" t="s">
        <v>108</v>
      </c>
      <c r="B71" s="448"/>
      <c r="C71" s="448"/>
      <c r="D71" s="448"/>
      <c r="E71" s="448"/>
      <c r="F71" s="448"/>
      <c r="G71" s="449"/>
      <c r="H71" s="77"/>
      <c r="I71" s="78"/>
      <c r="J71" s="5">
        <v>0.05</v>
      </c>
      <c r="K71" s="445">
        <f>M64*J71</f>
        <v>953.05000000000007</v>
      </c>
      <c r="L71" s="445"/>
      <c r="M71" s="6"/>
    </row>
    <row r="72" spans="1:13" ht="15.75" thickBot="1">
      <c r="A72" s="450" t="s">
        <v>117</v>
      </c>
      <c r="B72" s="451"/>
      <c r="C72" s="451"/>
      <c r="D72" s="451"/>
      <c r="E72" s="451"/>
      <c r="F72" s="451"/>
      <c r="G72" s="452"/>
      <c r="H72" s="87"/>
      <c r="I72" s="88"/>
      <c r="J72" s="89">
        <v>0.19</v>
      </c>
      <c r="K72" s="446">
        <f>K71*J72</f>
        <v>181.07950000000002</v>
      </c>
      <c r="L72" s="446"/>
      <c r="M72" s="90"/>
    </row>
    <row r="73" spans="1:13" ht="15.75" thickBot="1">
      <c r="A73" s="435" t="s">
        <v>87</v>
      </c>
      <c r="B73" s="436"/>
      <c r="C73" s="436"/>
      <c r="D73" s="436"/>
      <c r="E73" s="436"/>
      <c r="F73" s="436"/>
      <c r="G73" s="436"/>
      <c r="H73" s="436"/>
      <c r="I73" s="436"/>
      <c r="J73" s="436"/>
      <c r="K73" s="436"/>
      <c r="L73" s="437"/>
      <c r="M73" s="76">
        <f>SUM(K69:L72)</f>
        <v>4946.3294999999998</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24007</v>
      </c>
    </row>
  </sheetData>
  <mergeCells count="83">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61:G61"/>
    <mergeCell ref="K61:L61"/>
    <mergeCell ref="A62:L62"/>
    <mergeCell ref="A64:L64"/>
    <mergeCell ref="A68:G68"/>
    <mergeCell ref="K68:L68"/>
    <mergeCell ref="A72:G72"/>
    <mergeCell ref="K72:L72"/>
    <mergeCell ref="A73:L73"/>
    <mergeCell ref="A75:L75"/>
    <mergeCell ref="A69:G69"/>
    <mergeCell ref="K69:L69"/>
    <mergeCell ref="A70:G70"/>
    <mergeCell ref="K70:L70"/>
    <mergeCell ref="A71:G71"/>
    <mergeCell ref="K71:L71"/>
  </mergeCells>
  <pageMargins left="0.7" right="0.7" top="0.75" bottom="0.75" header="0.3" footer="0.3"/>
  <pageSetup scale="57"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view="pageBreakPreview" topLeftCell="A52" zoomScale="80" zoomScaleNormal="100" zoomScaleSheetLayoutView="80" workbookViewId="0">
      <selection activeCell="M65" sqref="M65"/>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491" t="s">
        <v>67</v>
      </c>
      <c r="E1" s="491"/>
      <c r="F1" s="491"/>
      <c r="G1" s="491"/>
      <c r="H1" s="491"/>
      <c r="I1" s="491"/>
      <c r="J1" s="491"/>
      <c r="K1" s="493"/>
      <c r="L1" s="493"/>
      <c r="M1" s="494"/>
    </row>
    <row r="2" spans="1:13">
      <c r="A2" s="460"/>
      <c r="B2" s="389"/>
      <c r="C2" s="389"/>
      <c r="D2" s="492"/>
      <c r="E2" s="492"/>
      <c r="F2" s="492"/>
      <c r="G2" s="492"/>
      <c r="H2" s="492"/>
      <c r="I2" s="492"/>
      <c r="J2" s="492"/>
      <c r="K2" s="495"/>
      <c r="L2" s="495"/>
      <c r="M2" s="496"/>
    </row>
    <row r="3" spans="1:13">
      <c r="A3" s="460"/>
      <c r="B3" s="389"/>
      <c r="C3" s="389"/>
      <c r="D3" s="492"/>
      <c r="E3" s="492"/>
      <c r="F3" s="492"/>
      <c r="G3" s="492"/>
      <c r="H3" s="492"/>
      <c r="I3" s="492"/>
      <c r="J3" s="492"/>
      <c r="K3" s="495"/>
      <c r="L3" s="495"/>
      <c r="M3" s="496"/>
    </row>
    <row r="4" spans="1:13" ht="15" customHeight="1">
      <c r="A4" s="460"/>
      <c r="B4" s="389"/>
      <c r="C4" s="389"/>
      <c r="D4" s="389" t="s">
        <v>112</v>
      </c>
      <c r="E4" s="389"/>
      <c r="F4" s="389"/>
      <c r="G4" s="389"/>
      <c r="H4" s="389"/>
      <c r="I4" s="389"/>
      <c r="J4" s="389"/>
      <c r="K4" s="495"/>
      <c r="L4" s="495"/>
      <c r="M4" s="496"/>
    </row>
    <row r="5" spans="1:13">
      <c r="A5" s="460"/>
      <c r="B5" s="389"/>
      <c r="C5" s="389"/>
      <c r="D5" s="389"/>
      <c r="E5" s="389"/>
      <c r="F5" s="389"/>
      <c r="G5" s="389"/>
      <c r="H5" s="389"/>
      <c r="I5" s="389"/>
      <c r="J5" s="389"/>
      <c r="K5" s="495"/>
      <c r="L5" s="495"/>
      <c r="M5" s="496"/>
    </row>
    <row r="6" spans="1:13">
      <c r="A6" s="460"/>
      <c r="B6" s="389"/>
      <c r="C6" s="389"/>
      <c r="D6" s="389"/>
      <c r="E6" s="389"/>
      <c r="F6" s="389"/>
      <c r="G6" s="389"/>
      <c r="H6" s="389"/>
      <c r="I6" s="389"/>
      <c r="J6" s="389"/>
      <c r="K6" s="495"/>
      <c r="L6" s="495"/>
      <c r="M6" s="496"/>
    </row>
    <row r="7" spans="1:13" ht="15.75" thickBot="1">
      <c r="A7" s="461"/>
      <c r="B7" s="390"/>
      <c r="C7" s="390"/>
      <c r="D7" s="390"/>
      <c r="E7" s="390"/>
      <c r="F7" s="390"/>
      <c r="G7" s="390"/>
      <c r="H7" s="390"/>
      <c r="I7" s="390"/>
      <c r="J7" s="390"/>
      <c r="K7" s="497"/>
      <c r="L7" s="497"/>
      <c r="M7" s="498"/>
    </row>
    <row r="8" spans="1:13">
      <c r="A8" s="192"/>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93"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93"/>
      <c r="D17" s="193"/>
      <c r="E17" s="193"/>
      <c r="F17" s="193"/>
      <c r="G17" s="193"/>
      <c r="H17" s="193"/>
      <c r="I17" s="193"/>
      <c r="J17" s="193"/>
      <c r="K17" s="193"/>
      <c r="L17" s="193"/>
      <c r="M17" s="13"/>
    </row>
    <row r="18" spans="1:13">
      <c r="A18" s="25" t="s">
        <v>74</v>
      </c>
      <c r="B18" s="26"/>
      <c r="C18" s="379"/>
      <c r="D18" s="379"/>
      <c r="E18" s="379"/>
      <c r="F18" s="379"/>
      <c r="G18" s="379"/>
      <c r="H18" s="379"/>
      <c r="I18" s="379"/>
      <c r="J18" s="379"/>
      <c r="K18" s="379"/>
      <c r="L18" s="379"/>
      <c r="M18" s="380"/>
    </row>
    <row r="19" spans="1:13">
      <c r="A19" s="25"/>
      <c r="B19" s="26"/>
      <c r="C19" s="193"/>
      <c r="D19" s="193"/>
      <c r="E19" s="193"/>
      <c r="F19" s="193"/>
      <c r="G19" s="193"/>
      <c r="H19" s="193"/>
      <c r="I19" s="193"/>
      <c r="J19" s="193"/>
      <c r="K19" s="193"/>
      <c r="L19" s="193"/>
      <c r="M19" s="13"/>
    </row>
    <row r="20" spans="1:13" ht="31.5" customHeight="1">
      <c r="A20" s="464" t="s">
        <v>113</v>
      </c>
      <c r="B20" s="465"/>
      <c r="C20" s="379"/>
      <c r="D20" s="379"/>
      <c r="E20" s="379"/>
      <c r="F20" s="379"/>
      <c r="G20" s="379"/>
      <c r="H20" s="379"/>
      <c r="I20" s="379"/>
      <c r="J20" s="379"/>
      <c r="K20" s="379"/>
      <c r="L20" s="379"/>
      <c r="M20" s="380"/>
    </row>
    <row r="21" spans="1:13">
      <c r="A21" s="400"/>
      <c r="B21" s="401"/>
      <c r="C21" s="193"/>
      <c r="D21" s="193"/>
      <c r="E21" s="193"/>
      <c r="F21" s="193"/>
      <c r="G21" s="193"/>
      <c r="H21" s="193"/>
      <c r="I21" s="193"/>
      <c r="J21" s="193"/>
      <c r="K21" s="193"/>
      <c r="L21" s="193"/>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85" t="s">
        <v>78</v>
      </c>
      <c r="K25" s="408" t="s">
        <v>79</v>
      </c>
      <c r="L25" s="409"/>
      <c r="M25" s="31" t="s">
        <v>80</v>
      </c>
    </row>
    <row r="26" spans="1:13" ht="15.75" thickBot="1">
      <c r="A26" s="33"/>
      <c r="B26" s="391" t="s">
        <v>198</v>
      </c>
      <c r="C26" s="392"/>
      <c r="D26" s="392"/>
      <c r="E26" s="392"/>
      <c r="F26" s="392"/>
      <c r="G26" s="392"/>
      <c r="H26" s="392"/>
      <c r="I26" s="393"/>
      <c r="J26" s="184">
        <v>1</v>
      </c>
      <c r="K26" s="391" t="s">
        <v>8</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90" t="s">
        <v>83</v>
      </c>
      <c r="K30" s="421" t="s">
        <v>84</v>
      </c>
      <c r="L30" s="424"/>
      <c r="M30" s="44" t="s">
        <v>85</v>
      </c>
    </row>
    <row r="31" spans="1:13">
      <c r="A31" s="425"/>
      <c r="B31" s="426"/>
      <c r="C31" s="426"/>
      <c r="D31" s="426"/>
      <c r="E31" s="427"/>
      <c r="F31" s="428"/>
      <c r="G31" s="429"/>
      <c r="H31" s="430"/>
      <c r="I31" s="427"/>
      <c r="J31" s="72"/>
      <c r="K31" s="428"/>
      <c r="L31" s="429"/>
      <c r="M31" s="46"/>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0</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86" t="s">
        <v>79</v>
      </c>
      <c r="J37" s="190" t="s">
        <v>80</v>
      </c>
      <c r="K37" s="421" t="s">
        <v>89</v>
      </c>
      <c r="L37" s="424"/>
      <c r="M37" s="44" t="s">
        <v>85</v>
      </c>
    </row>
    <row r="38" spans="1:13">
      <c r="A38" s="425" t="s">
        <v>192</v>
      </c>
      <c r="B38" s="426"/>
      <c r="C38" s="426"/>
      <c r="D38" s="426"/>
      <c r="E38" s="426"/>
      <c r="F38" s="426"/>
      <c r="G38" s="426"/>
      <c r="H38" s="427"/>
      <c r="I38" s="73" t="s">
        <v>193</v>
      </c>
      <c r="J38" s="45">
        <v>0.05</v>
      </c>
      <c r="K38" s="456">
        <v>14527</v>
      </c>
      <c r="L38" s="457"/>
      <c r="M38" s="56">
        <f t="shared" ref="M38:M42" si="0">K38*J38</f>
        <v>726.35</v>
      </c>
    </row>
    <row r="39" spans="1:13">
      <c r="A39" s="425" t="s">
        <v>128</v>
      </c>
      <c r="B39" s="426"/>
      <c r="C39" s="426"/>
      <c r="D39" s="426"/>
      <c r="E39" s="426"/>
      <c r="F39" s="426"/>
      <c r="G39" s="426"/>
      <c r="H39" s="427"/>
      <c r="I39" s="73" t="s">
        <v>25</v>
      </c>
      <c r="J39" s="45">
        <v>0.13</v>
      </c>
      <c r="K39" s="456">
        <v>690</v>
      </c>
      <c r="L39" s="457"/>
      <c r="M39" s="56">
        <f t="shared" si="0"/>
        <v>89.7</v>
      </c>
    </row>
    <row r="40" spans="1:13">
      <c r="A40" s="425" t="s">
        <v>183</v>
      </c>
      <c r="B40" s="426"/>
      <c r="C40" s="426"/>
      <c r="D40" s="426"/>
      <c r="E40" s="426"/>
      <c r="F40" s="426"/>
      <c r="G40" s="426"/>
      <c r="H40" s="427"/>
      <c r="I40" s="73" t="s">
        <v>11</v>
      </c>
      <c r="J40" s="45">
        <v>0.01</v>
      </c>
      <c r="K40" s="456">
        <v>1438</v>
      </c>
      <c r="L40" s="457"/>
      <c r="M40" s="56">
        <f t="shared" si="0"/>
        <v>14.38</v>
      </c>
    </row>
    <row r="41" spans="1:13">
      <c r="A41" s="425" t="s">
        <v>194</v>
      </c>
      <c r="B41" s="426"/>
      <c r="C41" s="426"/>
      <c r="D41" s="426"/>
      <c r="E41" s="426"/>
      <c r="F41" s="426"/>
      <c r="G41" s="426"/>
      <c r="H41" s="427"/>
      <c r="I41" s="73" t="s">
        <v>193</v>
      </c>
      <c r="J41" s="45">
        <v>0.01</v>
      </c>
      <c r="K41" s="456">
        <v>32938</v>
      </c>
      <c r="L41" s="457"/>
      <c r="M41" s="56">
        <f t="shared" si="0"/>
        <v>329.38</v>
      </c>
    </row>
    <row r="42" spans="1:13">
      <c r="A42" s="425" t="s">
        <v>197</v>
      </c>
      <c r="B42" s="426"/>
      <c r="C42" s="426"/>
      <c r="D42" s="426"/>
      <c r="E42" s="426"/>
      <c r="F42" s="426"/>
      <c r="G42" s="426"/>
      <c r="H42" s="427"/>
      <c r="I42" s="73" t="s">
        <v>125</v>
      </c>
      <c r="J42" s="45">
        <v>0.03</v>
      </c>
      <c r="K42" s="456">
        <v>76735</v>
      </c>
      <c r="L42" s="457"/>
      <c r="M42" s="56">
        <f t="shared" si="0"/>
        <v>2302.0499999999997</v>
      </c>
    </row>
    <row r="43" spans="1:13">
      <c r="A43" s="425"/>
      <c r="B43" s="426"/>
      <c r="C43" s="426"/>
      <c r="D43" s="426"/>
      <c r="E43" s="426"/>
      <c r="F43" s="426"/>
      <c r="G43" s="426"/>
      <c r="H43" s="427"/>
      <c r="I43" s="73"/>
      <c r="J43" s="45"/>
      <c r="K43" s="456"/>
      <c r="L43" s="457"/>
      <c r="M43" s="56"/>
    </row>
    <row r="44" spans="1:13">
      <c r="A44" s="425"/>
      <c r="B44" s="426"/>
      <c r="C44" s="426"/>
      <c r="D44" s="426"/>
      <c r="E44" s="426"/>
      <c r="F44" s="426"/>
      <c r="G44" s="426"/>
      <c r="H44" s="427"/>
      <c r="I44" s="73"/>
      <c r="J44" s="45"/>
      <c r="K44" s="456"/>
      <c r="L44" s="457"/>
      <c r="M44" s="56"/>
    </row>
    <row r="45" spans="1:13">
      <c r="A45" s="425"/>
      <c r="B45" s="426"/>
      <c r="C45" s="426"/>
      <c r="D45" s="426"/>
      <c r="E45" s="426"/>
      <c r="F45" s="426"/>
      <c r="G45" s="426"/>
      <c r="H45" s="427"/>
      <c r="I45" s="73"/>
      <c r="J45" s="45"/>
      <c r="K45" s="456"/>
      <c r="L45" s="457"/>
      <c r="M45" s="56"/>
    </row>
    <row r="46" spans="1:13" ht="15.75" thickBot="1">
      <c r="A46" s="410"/>
      <c r="B46" s="411"/>
      <c r="C46" s="411"/>
      <c r="D46" s="411"/>
      <c r="E46" s="411"/>
      <c r="F46" s="411"/>
      <c r="G46" s="411"/>
      <c r="H46" s="412"/>
      <c r="I46" s="74"/>
      <c r="J46" s="57"/>
      <c r="K46" s="466"/>
      <c r="L46" s="467"/>
      <c r="M46" s="75"/>
    </row>
    <row r="47" spans="1:13" ht="15.75" thickBot="1">
      <c r="A47" s="416" t="s">
        <v>87</v>
      </c>
      <c r="B47" s="417"/>
      <c r="C47" s="417"/>
      <c r="D47" s="417"/>
      <c r="E47" s="417"/>
      <c r="F47" s="417"/>
      <c r="G47" s="417"/>
      <c r="H47" s="417"/>
      <c r="I47" s="417"/>
      <c r="J47" s="417"/>
      <c r="K47" s="417"/>
      <c r="L47" s="418"/>
      <c r="M47" s="58">
        <f>SUM(M38:M46)</f>
        <v>3461.8599999999997</v>
      </c>
    </row>
    <row r="48" spans="1:13">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190" t="s">
        <v>92</v>
      </c>
      <c r="I51" s="187" t="s">
        <v>93</v>
      </c>
      <c r="J51" s="60" t="s">
        <v>94</v>
      </c>
      <c r="K51" s="421" t="s">
        <v>95</v>
      </c>
      <c r="L51" s="424"/>
      <c r="M51" s="44" t="s">
        <v>85</v>
      </c>
    </row>
    <row r="52" spans="1:14">
      <c r="A52" s="425"/>
      <c r="B52" s="426"/>
      <c r="C52" s="426"/>
      <c r="D52" s="426"/>
      <c r="E52" s="426"/>
      <c r="F52" s="426"/>
      <c r="G52" s="426"/>
      <c r="H52" s="61"/>
      <c r="I52" s="55"/>
      <c r="J52" s="61"/>
      <c r="K52" s="428"/>
      <c r="L52" s="429"/>
      <c r="M52" s="62"/>
    </row>
    <row r="53" spans="1:14" ht="15.75" thickBot="1">
      <c r="A53" s="410"/>
      <c r="B53" s="411"/>
      <c r="C53" s="411"/>
      <c r="D53" s="411"/>
      <c r="E53" s="411"/>
      <c r="F53" s="411"/>
      <c r="G53" s="411"/>
      <c r="H53" s="47"/>
      <c r="I53" s="15"/>
      <c r="J53" s="47"/>
      <c r="K53" s="414"/>
      <c r="L53" s="415"/>
      <c r="M53" s="48"/>
    </row>
    <row r="54" spans="1:14" ht="15.75" thickBot="1">
      <c r="A54" s="416" t="s">
        <v>87</v>
      </c>
      <c r="B54" s="417"/>
      <c r="C54" s="417"/>
      <c r="D54" s="417"/>
      <c r="E54" s="417"/>
      <c r="F54" s="417"/>
      <c r="G54" s="417"/>
      <c r="H54" s="417"/>
      <c r="I54" s="417"/>
      <c r="J54" s="417"/>
      <c r="K54" s="417"/>
      <c r="L54" s="418"/>
      <c r="M54" s="63">
        <f>SUM(M52:M53)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190" t="s">
        <v>98</v>
      </c>
      <c r="I58" s="191" t="s">
        <v>99</v>
      </c>
      <c r="J58" s="191" t="s">
        <v>100</v>
      </c>
      <c r="K58" s="455" t="s">
        <v>84</v>
      </c>
      <c r="L58" s="455"/>
      <c r="M58" s="65" t="s">
        <v>85</v>
      </c>
    </row>
    <row r="59" spans="1:14">
      <c r="A59" s="471" t="s">
        <v>195</v>
      </c>
      <c r="B59" s="472"/>
      <c r="C59" s="472"/>
      <c r="D59" s="472"/>
      <c r="E59" s="472"/>
      <c r="F59" s="472"/>
      <c r="G59" s="472"/>
      <c r="H59" s="1">
        <v>127380.493</v>
      </c>
      <c r="I59" s="2">
        <v>2.2000000000000002</v>
      </c>
      <c r="J59" s="66">
        <f>(I59*H59)</f>
        <v>280237.0846</v>
      </c>
      <c r="K59" s="473">
        <v>33.073580881131676</v>
      </c>
      <c r="L59" s="473"/>
      <c r="M59" s="56">
        <f>J59/K59</f>
        <v>8473.1401056083996</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8473.1401056083996</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ROUND(M62+M54+M47+M33,0)</f>
        <v>11935</v>
      </c>
      <c r="N64" s="155"/>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188"/>
      <c r="I68" s="189"/>
      <c r="J68" s="81" t="s">
        <v>104</v>
      </c>
      <c r="K68" s="440" t="s">
        <v>105</v>
      </c>
      <c r="L68" s="441"/>
      <c r="M68" s="82"/>
    </row>
    <row r="69" spans="1:13">
      <c r="A69" s="442" t="s">
        <v>106</v>
      </c>
      <c r="B69" s="443"/>
      <c r="C69" s="443"/>
      <c r="D69" s="443"/>
      <c r="E69" s="443"/>
      <c r="F69" s="443"/>
      <c r="G69" s="443"/>
      <c r="H69" s="83"/>
      <c r="I69" s="84"/>
      <c r="J69" s="85">
        <v>0.19</v>
      </c>
      <c r="K69" s="444">
        <f>M64*J69</f>
        <v>2267.65</v>
      </c>
      <c r="L69" s="444"/>
      <c r="M69" s="86"/>
    </row>
    <row r="70" spans="1:13">
      <c r="A70" s="447" t="s">
        <v>107</v>
      </c>
      <c r="B70" s="448"/>
      <c r="C70" s="448"/>
      <c r="D70" s="448"/>
      <c r="E70" s="448"/>
      <c r="F70" s="448"/>
      <c r="G70" s="449"/>
      <c r="H70" s="77"/>
      <c r="I70" s="78"/>
      <c r="J70" s="5">
        <v>0.01</v>
      </c>
      <c r="K70" s="445">
        <f>M64*J70</f>
        <v>119.35000000000001</v>
      </c>
      <c r="L70" s="445"/>
      <c r="M70" s="6"/>
    </row>
    <row r="71" spans="1:13">
      <c r="A71" s="447" t="s">
        <v>108</v>
      </c>
      <c r="B71" s="448"/>
      <c r="C71" s="448"/>
      <c r="D71" s="448"/>
      <c r="E71" s="448"/>
      <c r="F71" s="448"/>
      <c r="G71" s="449"/>
      <c r="H71" s="77"/>
      <c r="I71" s="78"/>
      <c r="J71" s="5">
        <v>0.05</v>
      </c>
      <c r="K71" s="445">
        <f>M64*J71</f>
        <v>596.75</v>
      </c>
      <c r="L71" s="445"/>
      <c r="M71" s="6"/>
    </row>
    <row r="72" spans="1:13" ht="15.75" thickBot="1">
      <c r="A72" s="450" t="s">
        <v>117</v>
      </c>
      <c r="B72" s="451"/>
      <c r="C72" s="451"/>
      <c r="D72" s="451"/>
      <c r="E72" s="451"/>
      <c r="F72" s="451"/>
      <c r="G72" s="452"/>
      <c r="H72" s="87"/>
      <c r="I72" s="88"/>
      <c r="J72" s="89">
        <v>0.19</v>
      </c>
      <c r="K72" s="446">
        <f>K71*J72</f>
        <v>113.38250000000001</v>
      </c>
      <c r="L72" s="446"/>
      <c r="M72" s="90"/>
    </row>
    <row r="73" spans="1:13" ht="15.75" thickBot="1">
      <c r="A73" s="435" t="s">
        <v>87</v>
      </c>
      <c r="B73" s="436"/>
      <c r="C73" s="436"/>
      <c r="D73" s="436"/>
      <c r="E73" s="436"/>
      <c r="F73" s="436"/>
      <c r="G73" s="436"/>
      <c r="H73" s="436"/>
      <c r="I73" s="436"/>
      <c r="J73" s="436"/>
      <c r="K73" s="436"/>
      <c r="L73" s="437"/>
      <c r="M73" s="76">
        <f>SUM(K69:L72)</f>
        <v>3097.1325000000002</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15032</v>
      </c>
    </row>
  </sheetData>
  <mergeCells count="83">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61:G61"/>
    <mergeCell ref="K61:L61"/>
    <mergeCell ref="A62:L62"/>
    <mergeCell ref="A64:L64"/>
    <mergeCell ref="A68:G68"/>
    <mergeCell ref="K68:L68"/>
    <mergeCell ref="A72:G72"/>
    <mergeCell ref="K72:L72"/>
    <mergeCell ref="A73:L73"/>
    <mergeCell ref="A75:L75"/>
    <mergeCell ref="A69:G69"/>
    <mergeCell ref="K69:L69"/>
    <mergeCell ref="A70:G70"/>
    <mergeCell ref="K70:L70"/>
    <mergeCell ref="A71:G71"/>
    <mergeCell ref="K71:L71"/>
  </mergeCells>
  <pageMargins left="0.7" right="0.7" top="0.75" bottom="0.75" header="0.3" footer="0.3"/>
  <pageSetup scale="57"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
  <sheetViews>
    <sheetView view="pageBreakPreview" topLeftCell="A46" zoomScale="80" zoomScaleNormal="100" zoomScaleSheetLayoutView="80" workbookViewId="0">
      <selection activeCell="M64" sqref="M64"/>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92"/>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93"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6">
      <c r="A17" s="25"/>
      <c r="B17" s="26"/>
      <c r="C17" s="193"/>
      <c r="D17" s="193"/>
      <c r="E17" s="193"/>
      <c r="F17" s="193"/>
      <c r="G17" s="193"/>
      <c r="H17" s="193"/>
      <c r="I17" s="193"/>
      <c r="J17" s="193"/>
      <c r="K17" s="193"/>
      <c r="L17" s="193"/>
      <c r="M17" s="13"/>
    </row>
    <row r="18" spans="1:16">
      <c r="A18" s="25" t="s">
        <v>74</v>
      </c>
      <c r="B18" s="26"/>
      <c r="C18" s="379"/>
      <c r="D18" s="379"/>
      <c r="E18" s="379"/>
      <c r="F18" s="379"/>
      <c r="G18" s="379"/>
      <c r="H18" s="379"/>
      <c r="I18" s="379"/>
      <c r="J18" s="379"/>
      <c r="K18" s="379"/>
      <c r="L18" s="379"/>
      <c r="M18" s="380"/>
    </row>
    <row r="19" spans="1:16">
      <c r="A19" s="25"/>
      <c r="B19" s="26"/>
      <c r="C19" s="193"/>
      <c r="D19" s="193"/>
      <c r="E19" s="193"/>
      <c r="F19" s="193"/>
      <c r="G19" s="193"/>
      <c r="H19" s="193"/>
      <c r="I19" s="193"/>
      <c r="J19" s="193"/>
      <c r="K19" s="193"/>
      <c r="L19" s="193"/>
      <c r="M19" s="13"/>
    </row>
    <row r="20" spans="1:16" ht="31.5" customHeight="1">
      <c r="A20" s="464" t="s">
        <v>113</v>
      </c>
      <c r="B20" s="465"/>
      <c r="C20" s="379"/>
      <c r="D20" s="379"/>
      <c r="E20" s="379"/>
      <c r="F20" s="379"/>
      <c r="G20" s="379"/>
      <c r="H20" s="379"/>
      <c r="I20" s="379"/>
      <c r="J20" s="379"/>
      <c r="K20" s="379"/>
      <c r="L20" s="379"/>
      <c r="M20" s="380"/>
    </row>
    <row r="21" spans="1:16">
      <c r="A21" s="400"/>
      <c r="B21" s="401"/>
      <c r="C21" s="193"/>
      <c r="D21" s="193"/>
      <c r="E21" s="193"/>
      <c r="F21" s="193"/>
      <c r="G21" s="193"/>
      <c r="H21" s="193"/>
      <c r="I21" s="193"/>
      <c r="J21" s="193"/>
      <c r="K21" s="193"/>
      <c r="L21" s="193"/>
      <c r="M21" s="13"/>
    </row>
    <row r="22" spans="1:16" ht="15.75" thickBot="1">
      <c r="A22" s="14"/>
      <c r="B22" s="29"/>
      <c r="C22" s="29"/>
      <c r="D22" s="29"/>
      <c r="E22" s="29"/>
      <c r="F22" s="29"/>
      <c r="G22" s="29"/>
      <c r="H22" s="29"/>
      <c r="I22" s="29"/>
      <c r="J22" s="29"/>
      <c r="K22" s="29"/>
      <c r="L22" s="29"/>
      <c r="M22" s="16"/>
    </row>
    <row r="23" spans="1:16">
      <c r="A23" s="402" t="s">
        <v>75</v>
      </c>
      <c r="B23" s="403"/>
      <c r="C23" s="403"/>
      <c r="D23" s="403"/>
      <c r="E23" s="403"/>
      <c r="F23" s="403"/>
      <c r="G23" s="403"/>
      <c r="H23" s="403"/>
      <c r="I23" s="403"/>
      <c r="J23" s="403"/>
      <c r="K23" s="403"/>
      <c r="L23" s="403"/>
      <c r="M23" s="404"/>
    </row>
    <row r="24" spans="1:16" ht="15.75" thickBot="1">
      <c r="A24" s="30"/>
      <c r="B24" s="19"/>
      <c r="C24" s="19"/>
      <c r="D24" s="19"/>
      <c r="E24" s="19"/>
      <c r="F24" s="19"/>
      <c r="G24" s="19"/>
      <c r="H24" s="19"/>
      <c r="I24" s="19"/>
      <c r="J24" s="19"/>
      <c r="K24" s="19"/>
      <c r="L24" s="19"/>
      <c r="M24" s="24"/>
    </row>
    <row r="25" spans="1:16" ht="26.25">
      <c r="A25" s="31" t="s">
        <v>76</v>
      </c>
      <c r="B25" s="405" t="s">
        <v>77</v>
      </c>
      <c r="C25" s="406"/>
      <c r="D25" s="406"/>
      <c r="E25" s="406"/>
      <c r="F25" s="406"/>
      <c r="G25" s="406"/>
      <c r="H25" s="406"/>
      <c r="I25" s="407"/>
      <c r="J25" s="185" t="s">
        <v>78</v>
      </c>
      <c r="K25" s="408" t="s">
        <v>79</v>
      </c>
      <c r="L25" s="409"/>
      <c r="M25" s="31" t="s">
        <v>80</v>
      </c>
    </row>
    <row r="26" spans="1:16" ht="43.5" customHeight="1" thickBot="1">
      <c r="A26" s="205"/>
      <c r="B26" s="505" t="s">
        <v>199</v>
      </c>
      <c r="C26" s="506"/>
      <c r="D26" s="506"/>
      <c r="E26" s="506"/>
      <c r="F26" s="506"/>
      <c r="G26" s="506"/>
      <c r="H26" s="506"/>
      <c r="I26" s="507"/>
      <c r="J26" s="206">
        <v>1</v>
      </c>
      <c r="K26" s="508" t="s">
        <v>9</v>
      </c>
      <c r="L26" s="507"/>
      <c r="M26" s="207"/>
      <c r="P26" t="str">
        <f>UPPER(B26)</f>
        <v xml:space="preserve">VINILO SOBRE ESTUCO 2 MANOS </v>
      </c>
    </row>
    <row r="27" spans="1:16">
      <c r="A27" s="30"/>
      <c r="B27" s="19"/>
      <c r="C27" s="19"/>
      <c r="D27" s="19"/>
      <c r="E27" s="19"/>
      <c r="F27" s="19"/>
      <c r="G27" s="19"/>
      <c r="H27" s="19"/>
      <c r="I27" s="19"/>
      <c r="J27" s="19"/>
      <c r="K27" s="19"/>
      <c r="L27" s="19"/>
      <c r="M27" s="24"/>
    </row>
    <row r="28" spans="1:16">
      <c r="A28" s="36" t="s">
        <v>81</v>
      </c>
      <c r="B28" s="37"/>
      <c r="C28" s="37"/>
      <c r="D28" s="37"/>
      <c r="E28" s="37"/>
      <c r="F28" s="37"/>
      <c r="G28" s="37"/>
      <c r="H28" s="37"/>
      <c r="I28" s="37"/>
      <c r="J28" s="37"/>
      <c r="K28" s="37"/>
      <c r="L28" s="37"/>
      <c r="M28" s="38"/>
      <c r="P28" t="s">
        <v>189</v>
      </c>
    </row>
    <row r="29" spans="1:16" ht="15.75" thickBot="1">
      <c r="A29" s="39"/>
      <c r="B29" s="40"/>
      <c r="C29" s="40"/>
      <c r="D29" s="40"/>
      <c r="E29" s="40"/>
      <c r="F29" s="40"/>
      <c r="G29" s="40"/>
      <c r="H29" s="41"/>
      <c r="I29" s="41"/>
      <c r="J29" s="40"/>
      <c r="K29" s="40"/>
      <c r="L29" s="40"/>
      <c r="M29" s="42"/>
    </row>
    <row r="30" spans="1:16">
      <c r="A30" s="408" t="s">
        <v>77</v>
      </c>
      <c r="B30" s="419"/>
      <c r="C30" s="419"/>
      <c r="D30" s="419"/>
      <c r="E30" s="420"/>
      <c r="F30" s="421" t="s">
        <v>79</v>
      </c>
      <c r="G30" s="419"/>
      <c r="H30" s="422" t="s">
        <v>82</v>
      </c>
      <c r="I30" s="423"/>
      <c r="J30" s="190" t="s">
        <v>83</v>
      </c>
      <c r="K30" s="421" t="s">
        <v>84</v>
      </c>
      <c r="L30" s="424"/>
      <c r="M30" s="44" t="s">
        <v>85</v>
      </c>
    </row>
    <row r="31" spans="1:16">
      <c r="A31" s="499"/>
      <c r="B31" s="500"/>
      <c r="C31" s="500"/>
      <c r="D31" s="500"/>
      <c r="E31" s="501"/>
      <c r="F31" s="482"/>
      <c r="G31" s="482"/>
      <c r="H31" s="472"/>
      <c r="I31" s="472"/>
      <c r="J31" s="208"/>
      <c r="K31" s="482"/>
      <c r="L31" s="482"/>
      <c r="M31" s="209">
        <f>K31*J31</f>
        <v>0</v>
      </c>
    </row>
    <row r="32" spans="1:16" ht="15.75" thickBot="1">
      <c r="A32" s="499"/>
      <c r="B32" s="500"/>
      <c r="C32" s="500"/>
      <c r="D32" s="500"/>
      <c r="E32" s="501"/>
      <c r="F32" s="414"/>
      <c r="G32" s="415"/>
      <c r="H32" s="472"/>
      <c r="I32" s="472"/>
      <c r="J32" s="91"/>
      <c r="K32" s="414"/>
      <c r="L32" s="415"/>
      <c r="M32" s="209">
        <f>K32*J32</f>
        <v>0</v>
      </c>
    </row>
    <row r="33" spans="1:13" ht="15.75" thickBot="1">
      <c r="A33" s="416" t="s">
        <v>87</v>
      </c>
      <c r="B33" s="417"/>
      <c r="C33" s="417"/>
      <c r="D33" s="417"/>
      <c r="E33" s="417"/>
      <c r="F33" s="417"/>
      <c r="G33" s="417"/>
      <c r="H33" s="417"/>
      <c r="I33" s="417"/>
      <c r="J33" s="417"/>
      <c r="K33" s="417"/>
      <c r="L33" s="418"/>
      <c r="M33" s="210">
        <f>SUM(M31:M32)</f>
        <v>0</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86" t="s">
        <v>79</v>
      </c>
      <c r="J37" s="190" t="s">
        <v>80</v>
      </c>
      <c r="K37" s="421" t="s">
        <v>89</v>
      </c>
      <c r="L37" s="424"/>
      <c r="M37" s="44" t="s">
        <v>85</v>
      </c>
    </row>
    <row r="38" spans="1:13">
      <c r="A38" s="425" t="s">
        <v>197</v>
      </c>
      <c r="B38" s="426"/>
      <c r="C38" s="426"/>
      <c r="D38" s="426"/>
      <c r="E38" s="426"/>
      <c r="F38" s="426"/>
      <c r="G38" s="426"/>
      <c r="H38" s="427"/>
      <c r="I38" s="73" t="s">
        <v>125</v>
      </c>
      <c r="J38" s="45">
        <v>0.06</v>
      </c>
      <c r="K38" s="456">
        <v>76735</v>
      </c>
      <c r="L38" s="457"/>
      <c r="M38" s="56">
        <f t="shared" ref="M38" si="0">K38*J38</f>
        <v>4604.0999999999995</v>
      </c>
    </row>
    <row r="39" spans="1:13">
      <c r="A39" s="502"/>
      <c r="B39" s="503"/>
      <c r="C39" s="503"/>
      <c r="D39" s="503"/>
      <c r="E39" s="503"/>
      <c r="F39" s="503"/>
      <c r="G39" s="503"/>
      <c r="H39" s="504"/>
      <c r="I39" s="73"/>
      <c r="J39" s="194"/>
      <c r="K39" s="456"/>
      <c r="L39" s="457"/>
      <c r="M39" s="56"/>
    </row>
    <row r="40" spans="1:13">
      <c r="A40" s="502"/>
      <c r="B40" s="503"/>
      <c r="C40" s="503"/>
      <c r="D40" s="503"/>
      <c r="E40" s="503"/>
      <c r="F40" s="503"/>
      <c r="G40" s="503"/>
      <c r="H40" s="504"/>
      <c r="I40" s="73"/>
      <c r="J40" s="212"/>
      <c r="K40" s="456"/>
      <c r="L40" s="457"/>
      <c r="M40" s="56"/>
    </row>
    <row r="41" spans="1:13">
      <c r="A41" s="502"/>
      <c r="B41" s="503"/>
      <c r="C41" s="503"/>
      <c r="D41" s="503"/>
      <c r="E41" s="503"/>
      <c r="F41" s="503"/>
      <c r="G41" s="503"/>
      <c r="H41" s="504"/>
      <c r="I41" s="73"/>
      <c r="J41" s="194"/>
      <c r="K41" s="456"/>
      <c r="L41" s="457"/>
      <c r="M41" s="56"/>
    </row>
    <row r="42" spans="1:13">
      <c r="A42" s="502"/>
      <c r="B42" s="503"/>
      <c r="C42" s="503"/>
      <c r="D42" s="503"/>
      <c r="E42" s="503"/>
      <c r="F42" s="503"/>
      <c r="G42" s="503"/>
      <c r="H42" s="504"/>
      <c r="I42" s="73"/>
      <c r="J42" s="194"/>
      <c r="K42" s="456"/>
      <c r="L42" s="457"/>
      <c r="M42" s="56"/>
    </row>
    <row r="43" spans="1:13">
      <c r="A43" s="502"/>
      <c r="B43" s="503"/>
      <c r="C43" s="503"/>
      <c r="D43" s="503"/>
      <c r="E43" s="503"/>
      <c r="F43" s="503"/>
      <c r="G43" s="503"/>
      <c r="H43" s="504"/>
      <c r="I43" s="73"/>
      <c r="J43" s="194"/>
      <c r="K43" s="456"/>
      <c r="L43" s="457"/>
      <c r="M43" s="56"/>
    </row>
    <row r="44" spans="1:13">
      <c r="A44" s="502"/>
      <c r="B44" s="503"/>
      <c r="C44" s="503"/>
      <c r="D44" s="503"/>
      <c r="E44" s="503"/>
      <c r="F44" s="503"/>
      <c r="G44" s="503"/>
      <c r="H44" s="504"/>
      <c r="I44" s="73"/>
      <c r="J44" s="194"/>
      <c r="K44" s="456"/>
      <c r="L44" s="457"/>
      <c r="M44" s="56"/>
    </row>
    <row r="45" spans="1:13">
      <c r="A45" s="502"/>
      <c r="B45" s="503"/>
      <c r="C45" s="503"/>
      <c r="D45" s="503"/>
      <c r="E45" s="503"/>
      <c r="F45" s="503"/>
      <c r="G45" s="503"/>
      <c r="H45" s="504"/>
      <c r="I45" s="73"/>
      <c r="J45" s="194"/>
      <c r="K45" s="456"/>
      <c r="L45" s="457"/>
      <c r="M45" s="56"/>
    </row>
    <row r="46" spans="1:13" ht="15.75" thickBot="1">
      <c r="A46" s="410"/>
      <c r="B46" s="411"/>
      <c r="C46" s="411"/>
      <c r="D46" s="411"/>
      <c r="E46" s="411"/>
      <c r="F46" s="411"/>
      <c r="G46" s="411"/>
      <c r="H46" s="412"/>
      <c r="I46" s="73"/>
      <c r="J46" s="211"/>
      <c r="K46" s="466"/>
      <c r="L46" s="467"/>
      <c r="M46" s="56"/>
    </row>
    <row r="47" spans="1:13" ht="15.75" thickBot="1">
      <c r="A47" s="416" t="s">
        <v>87</v>
      </c>
      <c r="B47" s="417"/>
      <c r="C47" s="417"/>
      <c r="D47" s="417"/>
      <c r="E47" s="417"/>
      <c r="F47" s="417"/>
      <c r="G47" s="417"/>
      <c r="H47" s="417"/>
      <c r="I47" s="417"/>
      <c r="J47" s="417"/>
      <c r="K47" s="417"/>
      <c r="L47" s="418"/>
      <c r="M47" s="58">
        <f>SUM(M38:M46)</f>
        <v>4604.0999999999995</v>
      </c>
    </row>
    <row r="48" spans="1:13">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190" t="s">
        <v>92</v>
      </c>
      <c r="I51" s="187" t="s">
        <v>93</v>
      </c>
      <c r="J51" s="60" t="s">
        <v>94</v>
      </c>
      <c r="K51" s="421" t="s">
        <v>95</v>
      </c>
      <c r="L51" s="424"/>
      <c r="M51" s="44" t="s">
        <v>85</v>
      </c>
    </row>
    <row r="52" spans="1:14">
      <c r="A52" s="425"/>
      <c r="B52" s="426"/>
      <c r="C52" s="426"/>
      <c r="D52" s="426"/>
      <c r="E52" s="426"/>
      <c r="F52" s="426"/>
      <c r="G52" s="426"/>
      <c r="H52" s="61"/>
      <c r="I52" s="55"/>
      <c r="J52" s="61"/>
      <c r="K52" s="428"/>
      <c r="L52" s="429"/>
      <c r="M52" s="62"/>
    </row>
    <row r="53" spans="1:14" ht="15.75" thickBot="1">
      <c r="A53" s="410"/>
      <c r="B53" s="411"/>
      <c r="C53" s="411"/>
      <c r="D53" s="411"/>
      <c r="E53" s="411"/>
      <c r="F53" s="411"/>
      <c r="G53" s="411"/>
      <c r="H53" s="47"/>
      <c r="I53" s="15"/>
      <c r="J53" s="47"/>
      <c r="K53" s="414"/>
      <c r="L53" s="415"/>
      <c r="M53" s="48"/>
    </row>
    <row r="54" spans="1:14" ht="15.75" thickBot="1">
      <c r="A54" s="416" t="s">
        <v>87</v>
      </c>
      <c r="B54" s="417"/>
      <c r="C54" s="417"/>
      <c r="D54" s="417"/>
      <c r="E54" s="417"/>
      <c r="F54" s="417"/>
      <c r="G54" s="417"/>
      <c r="H54" s="417"/>
      <c r="I54" s="417"/>
      <c r="J54" s="417"/>
      <c r="K54" s="417"/>
      <c r="L54" s="418"/>
      <c r="M54" s="63">
        <f>SUM(M52:M53)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190" t="s">
        <v>98</v>
      </c>
      <c r="I58" s="191" t="s">
        <v>99</v>
      </c>
      <c r="J58" s="191" t="s">
        <v>100</v>
      </c>
      <c r="K58" s="455" t="s">
        <v>84</v>
      </c>
      <c r="L58" s="455"/>
      <c r="M58" s="65" t="s">
        <v>85</v>
      </c>
    </row>
    <row r="59" spans="1:14">
      <c r="A59" s="471" t="s">
        <v>126</v>
      </c>
      <c r="B59" s="472"/>
      <c r="C59" s="472"/>
      <c r="D59" s="472"/>
      <c r="E59" s="472"/>
      <c r="F59" s="472"/>
      <c r="G59" s="472"/>
      <c r="H59" s="1">
        <v>112923.49999999999</v>
      </c>
      <c r="I59" s="2">
        <v>2.2000000000000002</v>
      </c>
      <c r="J59" s="66">
        <f>(I59*H59)</f>
        <v>248431.69999999998</v>
      </c>
      <c r="K59" s="483">
        <v>50</v>
      </c>
      <c r="L59" s="483"/>
      <c r="M59" s="56">
        <f>J59/K59</f>
        <v>4968.634</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4968.634</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ROUND(M62+M54+M47+M33,0)</f>
        <v>9573</v>
      </c>
      <c r="N64" s="155"/>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188"/>
      <c r="I68" s="189"/>
      <c r="J68" s="81" t="s">
        <v>104</v>
      </c>
      <c r="K68" s="440" t="s">
        <v>105</v>
      </c>
      <c r="L68" s="441"/>
      <c r="M68" s="82"/>
    </row>
    <row r="69" spans="1:13">
      <c r="A69" s="442" t="s">
        <v>106</v>
      </c>
      <c r="B69" s="443"/>
      <c r="C69" s="443"/>
      <c r="D69" s="443"/>
      <c r="E69" s="443"/>
      <c r="F69" s="443"/>
      <c r="G69" s="443"/>
      <c r="H69" s="83"/>
      <c r="I69" s="84"/>
      <c r="J69" s="85">
        <v>0.19</v>
      </c>
      <c r="K69" s="444">
        <f>M64*J69</f>
        <v>1818.8700000000001</v>
      </c>
      <c r="L69" s="444"/>
      <c r="M69" s="86"/>
    </row>
    <row r="70" spans="1:13">
      <c r="A70" s="447" t="s">
        <v>107</v>
      </c>
      <c r="B70" s="448"/>
      <c r="C70" s="448"/>
      <c r="D70" s="448"/>
      <c r="E70" s="448"/>
      <c r="F70" s="448"/>
      <c r="G70" s="449"/>
      <c r="H70" s="77"/>
      <c r="I70" s="78"/>
      <c r="J70" s="5">
        <v>0.01</v>
      </c>
      <c r="K70" s="445">
        <f>M64*J70</f>
        <v>95.73</v>
      </c>
      <c r="L70" s="445"/>
      <c r="M70" s="6"/>
    </row>
    <row r="71" spans="1:13">
      <c r="A71" s="447" t="s">
        <v>108</v>
      </c>
      <c r="B71" s="448"/>
      <c r="C71" s="448"/>
      <c r="D71" s="448"/>
      <c r="E71" s="448"/>
      <c r="F71" s="448"/>
      <c r="G71" s="449"/>
      <c r="H71" s="77"/>
      <c r="I71" s="78"/>
      <c r="J71" s="5">
        <v>0.05</v>
      </c>
      <c r="K71" s="445">
        <f>M64*J71</f>
        <v>478.65000000000003</v>
      </c>
      <c r="L71" s="445"/>
      <c r="M71" s="6"/>
    </row>
    <row r="72" spans="1:13" ht="15.75" thickBot="1">
      <c r="A72" s="450" t="s">
        <v>117</v>
      </c>
      <c r="B72" s="451"/>
      <c r="C72" s="451"/>
      <c r="D72" s="451"/>
      <c r="E72" s="451"/>
      <c r="F72" s="451"/>
      <c r="G72" s="452"/>
      <c r="H72" s="87"/>
      <c r="I72" s="88"/>
      <c r="J72" s="89">
        <v>0.19</v>
      </c>
      <c r="K72" s="446">
        <f>K71*J72</f>
        <v>90.943500000000014</v>
      </c>
      <c r="L72" s="446"/>
      <c r="M72" s="90"/>
    </row>
    <row r="73" spans="1:13" ht="15.75" thickBot="1">
      <c r="A73" s="435" t="s">
        <v>87</v>
      </c>
      <c r="B73" s="436"/>
      <c r="C73" s="436"/>
      <c r="D73" s="436"/>
      <c r="E73" s="436"/>
      <c r="F73" s="436"/>
      <c r="G73" s="436"/>
      <c r="H73" s="436"/>
      <c r="I73" s="436"/>
      <c r="J73" s="436"/>
      <c r="K73" s="436"/>
      <c r="L73" s="437"/>
      <c r="M73" s="76">
        <f>SUM(K69:L72)</f>
        <v>2484.1934999999999</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12057</v>
      </c>
    </row>
  </sheetData>
  <mergeCells count="83">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61:G61"/>
    <mergeCell ref="K61:L61"/>
    <mergeCell ref="A62:L62"/>
    <mergeCell ref="A64:L64"/>
    <mergeCell ref="A68:G68"/>
    <mergeCell ref="K68:L68"/>
    <mergeCell ref="A72:G72"/>
    <mergeCell ref="K72:L72"/>
    <mergeCell ref="A73:L73"/>
    <mergeCell ref="A75:L75"/>
    <mergeCell ref="A69:G69"/>
    <mergeCell ref="K69:L69"/>
    <mergeCell ref="A70:G70"/>
    <mergeCell ref="K70:L70"/>
    <mergeCell ref="A71:G71"/>
    <mergeCell ref="K71:L71"/>
  </mergeCells>
  <pageMargins left="0.7" right="0.7" top="0.75" bottom="0.75" header="0.3" footer="0.3"/>
  <pageSetup scale="57"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
  <sheetViews>
    <sheetView view="pageBreakPreview" topLeftCell="A46" zoomScale="80" zoomScaleNormal="100" zoomScaleSheetLayoutView="80" workbookViewId="0">
      <selection activeCell="M64" sqref="M64"/>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92"/>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93"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6">
      <c r="A17" s="25"/>
      <c r="B17" s="26"/>
      <c r="C17" s="193"/>
      <c r="D17" s="193"/>
      <c r="E17" s="193"/>
      <c r="F17" s="193"/>
      <c r="G17" s="193"/>
      <c r="H17" s="193"/>
      <c r="I17" s="193"/>
      <c r="J17" s="193"/>
      <c r="K17" s="193"/>
      <c r="L17" s="193"/>
      <c r="M17" s="13"/>
    </row>
    <row r="18" spans="1:16">
      <c r="A18" s="25" t="s">
        <v>74</v>
      </c>
      <c r="B18" s="26"/>
      <c r="C18" s="379"/>
      <c r="D18" s="379"/>
      <c r="E18" s="379"/>
      <c r="F18" s="379"/>
      <c r="G18" s="379"/>
      <c r="H18" s="379"/>
      <c r="I18" s="379"/>
      <c r="J18" s="379"/>
      <c r="K18" s="379"/>
      <c r="L18" s="379"/>
      <c r="M18" s="380"/>
    </row>
    <row r="19" spans="1:16">
      <c r="A19" s="25"/>
      <c r="B19" s="26"/>
      <c r="C19" s="193"/>
      <c r="D19" s="193"/>
      <c r="E19" s="193"/>
      <c r="F19" s="193"/>
      <c r="G19" s="193"/>
      <c r="H19" s="193"/>
      <c r="I19" s="193"/>
      <c r="J19" s="193"/>
      <c r="K19" s="193"/>
      <c r="L19" s="193"/>
      <c r="M19" s="13"/>
    </row>
    <row r="20" spans="1:16" ht="31.5" customHeight="1">
      <c r="A20" s="464" t="s">
        <v>113</v>
      </c>
      <c r="B20" s="465"/>
      <c r="C20" s="379"/>
      <c r="D20" s="379"/>
      <c r="E20" s="379"/>
      <c r="F20" s="379"/>
      <c r="G20" s="379"/>
      <c r="H20" s="379"/>
      <c r="I20" s="379"/>
      <c r="J20" s="379"/>
      <c r="K20" s="379"/>
      <c r="L20" s="379"/>
      <c r="M20" s="380"/>
    </row>
    <row r="21" spans="1:16">
      <c r="A21" s="400"/>
      <c r="B21" s="401"/>
      <c r="C21" s="193"/>
      <c r="D21" s="193"/>
      <c r="E21" s="193"/>
      <c r="F21" s="193"/>
      <c r="G21" s="193"/>
      <c r="H21" s="193"/>
      <c r="I21" s="193"/>
      <c r="J21" s="193"/>
      <c r="K21" s="193"/>
      <c r="L21" s="193"/>
      <c r="M21" s="13"/>
    </row>
    <row r="22" spans="1:16" ht="15.75" thickBot="1">
      <c r="A22" s="14"/>
      <c r="B22" s="29"/>
      <c r="C22" s="29"/>
      <c r="D22" s="29"/>
      <c r="E22" s="29"/>
      <c r="F22" s="29"/>
      <c r="G22" s="29"/>
      <c r="H22" s="29"/>
      <c r="I22" s="29"/>
      <c r="J22" s="29"/>
      <c r="K22" s="29"/>
      <c r="L22" s="29"/>
      <c r="M22" s="16"/>
    </row>
    <row r="23" spans="1:16">
      <c r="A23" s="402" t="s">
        <v>75</v>
      </c>
      <c r="B23" s="403"/>
      <c r="C23" s="403"/>
      <c r="D23" s="403"/>
      <c r="E23" s="403"/>
      <c r="F23" s="403"/>
      <c r="G23" s="403"/>
      <c r="H23" s="403"/>
      <c r="I23" s="403"/>
      <c r="J23" s="403"/>
      <c r="K23" s="403"/>
      <c r="L23" s="403"/>
      <c r="M23" s="404"/>
    </row>
    <row r="24" spans="1:16" ht="15.75" thickBot="1">
      <c r="A24" s="30"/>
      <c r="B24" s="19"/>
      <c r="C24" s="19"/>
      <c r="D24" s="19"/>
      <c r="E24" s="19"/>
      <c r="F24" s="19"/>
      <c r="G24" s="19"/>
      <c r="H24" s="19"/>
      <c r="I24" s="19"/>
      <c r="J24" s="19"/>
      <c r="K24" s="19"/>
      <c r="L24" s="19"/>
      <c r="M24" s="24"/>
    </row>
    <row r="25" spans="1:16" ht="26.25">
      <c r="A25" s="31" t="s">
        <v>76</v>
      </c>
      <c r="B25" s="405" t="s">
        <v>77</v>
      </c>
      <c r="C25" s="406"/>
      <c r="D25" s="406"/>
      <c r="E25" s="406"/>
      <c r="F25" s="406"/>
      <c r="G25" s="406"/>
      <c r="H25" s="406"/>
      <c r="I25" s="407"/>
      <c r="J25" s="185" t="s">
        <v>78</v>
      </c>
      <c r="K25" s="408" t="s">
        <v>79</v>
      </c>
      <c r="L25" s="409"/>
      <c r="M25" s="31" t="s">
        <v>80</v>
      </c>
    </row>
    <row r="26" spans="1:16" ht="43.5" customHeight="1" thickBot="1">
      <c r="A26" s="205"/>
      <c r="B26" s="505" t="s">
        <v>200</v>
      </c>
      <c r="C26" s="506"/>
      <c r="D26" s="506"/>
      <c r="E26" s="506"/>
      <c r="F26" s="506"/>
      <c r="G26" s="506"/>
      <c r="H26" s="506"/>
      <c r="I26" s="507"/>
      <c r="J26" s="206">
        <v>1</v>
      </c>
      <c r="K26" s="508" t="s">
        <v>8</v>
      </c>
      <c r="L26" s="507"/>
      <c r="M26" s="207"/>
      <c r="P26" t="str">
        <f>UPPER(B26)</f>
        <v>VINILO SOBRE ESTUCO 2 MANOS (LINEAL)</v>
      </c>
    </row>
    <row r="27" spans="1:16">
      <c r="A27" s="30"/>
      <c r="B27" s="19"/>
      <c r="C27" s="19"/>
      <c r="D27" s="19"/>
      <c r="E27" s="19"/>
      <c r="F27" s="19"/>
      <c r="G27" s="19"/>
      <c r="H27" s="19"/>
      <c r="I27" s="19"/>
      <c r="J27" s="19"/>
      <c r="K27" s="19"/>
      <c r="L27" s="19"/>
      <c r="M27" s="24"/>
    </row>
    <row r="28" spans="1:16">
      <c r="A28" s="36" t="s">
        <v>81</v>
      </c>
      <c r="B28" s="37"/>
      <c r="C28" s="37"/>
      <c r="D28" s="37"/>
      <c r="E28" s="37"/>
      <c r="F28" s="37"/>
      <c r="G28" s="37"/>
      <c r="H28" s="37"/>
      <c r="I28" s="37"/>
      <c r="J28" s="37"/>
      <c r="K28" s="37"/>
      <c r="L28" s="37"/>
      <c r="M28" s="38"/>
      <c r="P28" t="s">
        <v>189</v>
      </c>
    </row>
    <row r="29" spans="1:16" ht="15.75" thickBot="1">
      <c r="A29" s="39"/>
      <c r="B29" s="40"/>
      <c r="C29" s="40"/>
      <c r="D29" s="40"/>
      <c r="E29" s="40"/>
      <c r="F29" s="40"/>
      <c r="G29" s="40"/>
      <c r="H29" s="41"/>
      <c r="I29" s="41"/>
      <c r="J29" s="40"/>
      <c r="K29" s="40"/>
      <c r="L29" s="40"/>
      <c r="M29" s="42"/>
    </row>
    <row r="30" spans="1:16">
      <c r="A30" s="408" t="s">
        <v>77</v>
      </c>
      <c r="B30" s="419"/>
      <c r="C30" s="419"/>
      <c r="D30" s="419"/>
      <c r="E30" s="420"/>
      <c r="F30" s="421" t="s">
        <v>79</v>
      </c>
      <c r="G30" s="419"/>
      <c r="H30" s="422" t="s">
        <v>82</v>
      </c>
      <c r="I30" s="423"/>
      <c r="J30" s="190" t="s">
        <v>83</v>
      </c>
      <c r="K30" s="421" t="s">
        <v>84</v>
      </c>
      <c r="L30" s="424"/>
      <c r="M30" s="44" t="s">
        <v>85</v>
      </c>
    </row>
    <row r="31" spans="1:16">
      <c r="A31" s="499"/>
      <c r="B31" s="500"/>
      <c r="C31" s="500"/>
      <c r="D31" s="500"/>
      <c r="E31" s="501"/>
      <c r="F31" s="482"/>
      <c r="G31" s="482"/>
      <c r="H31" s="472"/>
      <c r="I31" s="472"/>
      <c r="J31" s="208"/>
      <c r="K31" s="482"/>
      <c r="L31" s="482"/>
      <c r="M31" s="209">
        <f>K31*J31</f>
        <v>0</v>
      </c>
    </row>
    <row r="32" spans="1:16" ht="15.75" thickBot="1">
      <c r="A32" s="499"/>
      <c r="B32" s="500"/>
      <c r="C32" s="500"/>
      <c r="D32" s="500"/>
      <c r="E32" s="501"/>
      <c r="F32" s="414"/>
      <c r="G32" s="415"/>
      <c r="H32" s="472"/>
      <c r="I32" s="472"/>
      <c r="J32" s="91"/>
      <c r="K32" s="414"/>
      <c r="L32" s="415"/>
      <c r="M32" s="209">
        <f>K32*J32</f>
        <v>0</v>
      </c>
    </row>
    <row r="33" spans="1:13" ht="15.75" thickBot="1">
      <c r="A33" s="416" t="s">
        <v>87</v>
      </c>
      <c r="B33" s="417"/>
      <c r="C33" s="417"/>
      <c r="D33" s="417"/>
      <c r="E33" s="417"/>
      <c r="F33" s="417"/>
      <c r="G33" s="417"/>
      <c r="H33" s="417"/>
      <c r="I33" s="417"/>
      <c r="J33" s="417"/>
      <c r="K33" s="417"/>
      <c r="L33" s="418"/>
      <c r="M33" s="210">
        <f>SUM(M31:M32)</f>
        <v>0</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86" t="s">
        <v>79</v>
      </c>
      <c r="J37" s="190" t="s">
        <v>80</v>
      </c>
      <c r="K37" s="421" t="s">
        <v>89</v>
      </c>
      <c r="L37" s="424"/>
      <c r="M37" s="44" t="s">
        <v>85</v>
      </c>
    </row>
    <row r="38" spans="1:13">
      <c r="A38" s="425" t="s">
        <v>197</v>
      </c>
      <c r="B38" s="426"/>
      <c r="C38" s="426"/>
      <c r="D38" s="426"/>
      <c r="E38" s="426"/>
      <c r="F38" s="426"/>
      <c r="G38" s="426"/>
      <c r="H38" s="427"/>
      <c r="I38" s="73" t="s">
        <v>125</v>
      </c>
      <c r="J38" s="45">
        <v>0.03</v>
      </c>
      <c r="K38" s="456">
        <v>76735</v>
      </c>
      <c r="L38" s="457"/>
      <c r="M38" s="56">
        <f t="shared" ref="M38" si="0">K38*J38</f>
        <v>2302.0499999999997</v>
      </c>
    </row>
    <row r="39" spans="1:13">
      <c r="A39" s="502"/>
      <c r="B39" s="503"/>
      <c r="C39" s="503"/>
      <c r="D39" s="503"/>
      <c r="E39" s="503"/>
      <c r="F39" s="503"/>
      <c r="G39" s="503"/>
      <c r="H39" s="504"/>
      <c r="I39" s="73"/>
      <c r="J39" s="194"/>
      <c r="K39" s="456"/>
      <c r="L39" s="457"/>
      <c r="M39" s="56"/>
    </row>
    <row r="40" spans="1:13">
      <c r="A40" s="502"/>
      <c r="B40" s="503"/>
      <c r="C40" s="503"/>
      <c r="D40" s="503"/>
      <c r="E40" s="503"/>
      <c r="F40" s="503"/>
      <c r="G40" s="503"/>
      <c r="H40" s="504"/>
      <c r="I40" s="73"/>
      <c r="J40" s="212"/>
      <c r="K40" s="456"/>
      <c r="L40" s="457"/>
      <c r="M40" s="56"/>
    </row>
    <row r="41" spans="1:13">
      <c r="A41" s="502"/>
      <c r="B41" s="503"/>
      <c r="C41" s="503"/>
      <c r="D41" s="503"/>
      <c r="E41" s="503"/>
      <c r="F41" s="503"/>
      <c r="G41" s="503"/>
      <c r="H41" s="504"/>
      <c r="I41" s="73"/>
      <c r="J41" s="194"/>
      <c r="K41" s="456"/>
      <c r="L41" s="457"/>
      <c r="M41" s="56"/>
    </row>
    <row r="42" spans="1:13">
      <c r="A42" s="502"/>
      <c r="B42" s="503"/>
      <c r="C42" s="503"/>
      <c r="D42" s="503"/>
      <c r="E42" s="503"/>
      <c r="F42" s="503"/>
      <c r="G42" s="503"/>
      <c r="H42" s="504"/>
      <c r="I42" s="73"/>
      <c r="J42" s="194"/>
      <c r="K42" s="456"/>
      <c r="L42" s="457"/>
      <c r="M42" s="56"/>
    </row>
    <row r="43" spans="1:13">
      <c r="A43" s="502"/>
      <c r="B43" s="503"/>
      <c r="C43" s="503"/>
      <c r="D43" s="503"/>
      <c r="E43" s="503"/>
      <c r="F43" s="503"/>
      <c r="G43" s="503"/>
      <c r="H43" s="504"/>
      <c r="I43" s="73"/>
      <c r="J43" s="194"/>
      <c r="K43" s="456"/>
      <c r="L43" s="457"/>
      <c r="M43" s="56"/>
    </row>
    <row r="44" spans="1:13">
      <c r="A44" s="502"/>
      <c r="B44" s="503"/>
      <c r="C44" s="503"/>
      <c r="D44" s="503"/>
      <c r="E44" s="503"/>
      <c r="F44" s="503"/>
      <c r="G44" s="503"/>
      <c r="H44" s="504"/>
      <c r="I44" s="73"/>
      <c r="J44" s="194"/>
      <c r="K44" s="456"/>
      <c r="L44" s="457"/>
      <c r="M44" s="56"/>
    </row>
    <row r="45" spans="1:13">
      <c r="A45" s="502"/>
      <c r="B45" s="503"/>
      <c r="C45" s="503"/>
      <c r="D45" s="503"/>
      <c r="E45" s="503"/>
      <c r="F45" s="503"/>
      <c r="G45" s="503"/>
      <c r="H45" s="504"/>
      <c r="I45" s="73"/>
      <c r="J45" s="194"/>
      <c r="K45" s="456"/>
      <c r="L45" s="457"/>
      <c r="M45" s="56"/>
    </row>
    <row r="46" spans="1:13" ht="15.75" thickBot="1">
      <c r="A46" s="410"/>
      <c r="B46" s="411"/>
      <c r="C46" s="411"/>
      <c r="D46" s="411"/>
      <c r="E46" s="411"/>
      <c r="F46" s="411"/>
      <c r="G46" s="411"/>
      <c r="H46" s="412"/>
      <c r="I46" s="73"/>
      <c r="J46" s="211"/>
      <c r="K46" s="466"/>
      <c r="L46" s="467"/>
      <c r="M46" s="56"/>
    </row>
    <row r="47" spans="1:13" ht="15.75" thickBot="1">
      <c r="A47" s="416" t="s">
        <v>87</v>
      </c>
      <c r="B47" s="417"/>
      <c r="C47" s="417"/>
      <c r="D47" s="417"/>
      <c r="E47" s="417"/>
      <c r="F47" s="417"/>
      <c r="G47" s="417"/>
      <c r="H47" s="417"/>
      <c r="I47" s="417"/>
      <c r="J47" s="417"/>
      <c r="K47" s="417"/>
      <c r="L47" s="418"/>
      <c r="M47" s="58">
        <f>SUM(M38:M46)</f>
        <v>2302.0499999999997</v>
      </c>
    </row>
    <row r="48" spans="1:13">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190" t="s">
        <v>92</v>
      </c>
      <c r="I51" s="187" t="s">
        <v>93</v>
      </c>
      <c r="J51" s="60" t="s">
        <v>94</v>
      </c>
      <c r="K51" s="421" t="s">
        <v>95</v>
      </c>
      <c r="L51" s="424"/>
      <c r="M51" s="44" t="s">
        <v>85</v>
      </c>
    </row>
    <row r="52" spans="1:14">
      <c r="A52" s="425"/>
      <c r="B52" s="426"/>
      <c r="C52" s="426"/>
      <c r="D52" s="426"/>
      <c r="E52" s="426"/>
      <c r="F52" s="426"/>
      <c r="G52" s="426"/>
      <c r="H52" s="61"/>
      <c r="I52" s="55"/>
      <c r="J52" s="61"/>
      <c r="K52" s="428"/>
      <c r="L52" s="429"/>
      <c r="M52" s="62"/>
    </row>
    <row r="53" spans="1:14" ht="15.75" thickBot="1">
      <c r="A53" s="410"/>
      <c r="B53" s="411"/>
      <c r="C53" s="411"/>
      <c r="D53" s="411"/>
      <c r="E53" s="411"/>
      <c r="F53" s="411"/>
      <c r="G53" s="411"/>
      <c r="H53" s="47"/>
      <c r="I53" s="15"/>
      <c r="J53" s="47"/>
      <c r="K53" s="414"/>
      <c r="L53" s="415"/>
      <c r="M53" s="48"/>
    </row>
    <row r="54" spans="1:14" ht="15.75" thickBot="1">
      <c r="A54" s="416" t="s">
        <v>87</v>
      </c>
      <c r="B54" s="417"/>
      <c r="C54" s="417"/>
      <c r="D54" s="417"/>
      <c r="E54" s="417"/>
      <c r="F54" s="417"/>
      <c r="G54" s="417"/>
      <c r="H54" s="417"/>
      <c r="I54" s="417"/>
      <c r="J54" s="417"/>
      <c r="K54" s="417"/>
      <c r="L54" s="418"/>
      <c r="M54" s="63">
        <f>SUM(M52:M53)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190" t="s">
        <v>98</v>
      </c>
      <c r="I58" s="191" t="s">
        <v>99</v>
      </c>
      <c r="J58" s="191" t="s">
        <v>100</v>
      </c>
      <c r="K58" s="455" t="s">
        <v>84</v>
      </c>
      <c r="L58" s="455"/>
      <c r="M58" s="65" t="s">
        <v>85</v>
      </c>
    </row>
    <row r="59" spans="1:14">
      <c r="A59" s="471" t="s">
        <v>126</v>
      </c>
      <c r="B59" s="472"/>
      <c r="C59" s="472"/>
      <c r="D59" s="472"/>
      <c r="E59" s="472"/>
      <c r="F59" s="472"/>
      <c r="G59" s="472"/>
      <c r="H59" s="1">
        <v>112923.49999999999</v>
      </c>
      <c r="I59" s="2">
        <v>2.2000000000000002</v>
      </c>
      <c r="J59" s="66">
        <f>(I59*H59)</f>
        <v>248431.69999999998</v>
      </c>
      <c r="K59" s="483">
        <v>70</v>
      </c>
      <c r="L59" s="483"/>
      <c r="M59" s="56">
        <f>J59/K59</f>
        <v>3549.0242857142853</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3549.0242857142853</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ROUND(M62+M54+M47+M33,0)</f>
        <v>5851</v>
      </c>
      <c r="N64" s="155"/>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188"/>
      <c r="I68" s="189"/>
      <c r="J68" s="81" t="s">
        <v>104</v>
      </c>
      <c r="K68" s="440" t="s">
        <v>105</v>
      </c>
      <c r="L68" s="441"/>
      <c r="M68" s="82"/>
    </row>
    <row r="69" spans="1:13">
      <c r="A69" s="442" t="s">
        <v>106</v>
      </c>
      <c r="B69" s="443"/>
      <c r="C69" s="443"/>
      <c r="D69" s="443"/>
      <c r="E69" s="443"/>
      <c r="F69" s="443"/>
      <c r="G69" s="443"/>
      <c r="H69" s="83"/>
      <c r="I69" s="84"/>
      <c r="J69" s="85">
        <v>0.19</v>
      </c>
      <c r="K69" s="444">
        <f>M64*J69</f>
        <v>1111.69</v>
      </c>
      <c r="L69" s="444"/>
      <c r="M69" s="86"/>
    </row>
    <row r="70" spans="1:13">
      <c r="A70" s="447" t="s">
        <v>107</v>
      </c>
      <c r="B70" s="448"/>
      <c r="C70" s="448"/>
      <c r="D70" s="448"/>
      <c r="E70" s="448"/>
      <c r="F70" s="448"/>
      <c r="G70" s="449"/>
      <c r="H70" s="77"/>
      <c r="I70" s="78"/>
      <c r="J70" s="5">
        <v>0.01</v>
      </c>
      <c r="K70" s="445">
        <f>M64*J70</f>
        <v>58.51</v>
      </c>
      <c r="L70" s="445"/>
      <c r="M70" s="6"/>
    </row>
    <row r="71" spans="1:13">
      <c r="A71" s="447" t="s">
        <v>108</v>
      </c>
      <c r="B71" s="448"/>
      <c r="C71" s="448"/>
      <c r="D71" s="448"/>
      <c r="E71" s="448"/>
      <c r="F71" s="448"/>
      <c r="G71" s="449"/>
      <c r="H71" s="77"/>
      <c r="I71" s="78"/>
      <c r="J71" s="5">
        <v>0.05</v>
      </c>
      <c r="K71" s="445">
        <f>M64*J71</f>
        <v>292.55</v>
      </c>
      <c r="L71" s="445"/>
      <c r="M71" s="6"/>
    </row>
    <row r="72" spans="1:13" ht="15.75" thickBot="1">
      <c r="A72" s="450" t="s">
        <v>117</v>
      </c>
      <c r="B72" s="451"/>
      <c r="C72" s="451"/>
      <c r="D72" s="451"/>
      <c r="E72" s="451"/>
      <c r="F72" s="451"/>
      <c r="G72" s="452"/>
      <c r="H72" s="87"/>
      <c r="I72" s="88"/>
      <c r="J72" s="89">
        <v>0.19</v>
      </c>
      <c r="K72" s="446">
        <f>K71*J72</f>
        <v>55.584500000000006</v>
      </c>
      <c r="L72" s="446"/>
      <c r="M72" s="90"/>
    </row>
    <row r="73" spans="1:13" ht="15.75" thickBot="1">
      <c r="A73" s="435" t="s">
        <v>87</v>
      </c>
      <c r="B73" s="436"/>
      <c r="C73" s="436"/>
      <c r="D73" s="436"/>
      <c r="E73" s="436"/>
      <c r="F73" s="436"/>
      <c r="G73" s="436"/>
      <c r="H73" s="436"/>
      <c r="I73" s="436"/>
      <c r="J73" s="436"/>
      <c r="K73" s="436"/>
      <c r="L73" s="437"/>
      <c r="M73" s="76">
        <f>SUM(K69:L72)</f>
        <v>1518.3344999999999</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7369</v>
      </c>
    </row>
  </sheetData>
  <mergeCells count="83">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61:G61"/>
    <mergeCell ref="K61:L61"/>
    <mergeCell ref="A62:L62"/>
    <mergeCell ref="A64:L64"/>
    <mergeCell ref="A68:G68"/>
    <mergeCell ref="K68:L68"/>
    <mergeCell ref="A72:G72"/>
    <mergeCell ref="K72:L72"/>
    <mergeCell ref="A73:L73"/>
    <mergeCell ref="A75:L75"/>
    <mergeCell ref="A69:G69"/>
    <mergeCell ref="K69:L69"/>
    <mergeCell ref="A70:G70"/>
    <mergeCell ref="K70:L70"/>
    <mergeCell ref="A71:G71"/>
    <mergeCell ref="K71:L71"/>
  </mergeCells>
  <pageMargins left="0.7" right="0.7" top="0.75" bottom="0.75" header="0.3" footer="0.3"/>
  <pageSetup scale="57"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5"/>
  <sheetViews>
    <sheetView view="pageBreakPreview" topLeftCell="A41" zoomScale="80" zoomScaleNormal="100" zoomScaleSheetLayoutView="80" workbookViewId="0">
      <selection activeCell="M64" sqref="M64"/>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491" t="s">
        <v>67</v>
      </c>
      <c r="E1" s="491"/>
      <c r="F1" s="491"/>
      <c r="G1" s="491"/>
      <c r="H1" s="491"/>
      <c r="I1" s="491"/>
      <c r="J1" s="491"/>
      <c r="K1" s="493"/>
      <c r="L1" s="493"/>
      <c r="M1" s="494"/>
    </row>
    <row r="2" spans="1:13">
      <c r="A2" s="460"/>
      <c r="B2" s="389"/>
      <c r="C2" s="389"/>
      <c r="D2" s="492"/>
      <c r="E2" s="492"/>
      <c r="F2" s="492"/>
      <c r="G2" s="492"/>
      <c r="H2" s="492"/>
      <c r="I2" s="492"/>
      <c r="J2" s="492"/>
      <c r="K2" s="495"/>
      <c r="L2" s="495"/>
      <c r="M2" s="496"/>
    </row>
    <row r="3" spans="1:13">
      <c r="A3" s="460"/>
      <c r="B3" s="389"/>
      <c r="C3" s="389"/>
      <c r="D3" s="492"/>
      <c r="E3" s="492"/>
      <c r="F3" s="492"/>
      <c r="G3" s="492"/>
      <c r="H3" s="492"/>
      <c r="I3" s="492"/>
      <c r="J3" s="492"/>
      <c r="K3" s="495"/>
      <c r="L3" s="495"/>
      <c r="M3" s="496"/>
    </row>
    <row r="4" spans="1:13" ht="15" customHeight="1">
      <c r="A4" s="460"/>
      <c r="B4" s="389"/>
      <c r="C4" s="389"/>
      <c r="D4" s="389" t="s">
        <v>112</v>
      </c>
      <c r="E4" s="389"/>
      <c r="F4" s="389"/>
      <c r="G4" s="389"/>
      <c r="H4" s="389"/>
      <c r="I4" s="389"/>
      <c r="J4" s="389"/>
      <c r="K4" s="495"/>
      <c r="L4" s="495"/>
      <c r="M4" s="496"/>
    </row>
    <row r="5" spans="1:13">
      <c r="A5" s="460"/>
      <c r="B5" s="389"/>
      <c r="C5" s="389"/>
      <c r="D5" s="389"/>
      <c r="E5" s="389"/>
      <c r="F5" s="389"/>
      <c r="G5" s="389"/>
      <c r="H5" s="389"/>
      <c r="I5" s="389"/>
      <c r="J5" s="389"/>
      <c r="K5" s="495"/>
      <c r="L5" s="495"/>
      <c r="M5" s="496"/>
    </row>
    <row r="6" spans="1:13">
      <c r="A6" s="460"/>
      <c r="B6" s="389"/>
      <c r="C6" s="389"/>
      <c r="D6" s="389"/>
      <c r="E6" s="389"/>
      <c r="F6" s="389"/>
      <c r="G6" s="389"/>
      <c r="H6" s="389"/>
      <c r="I6" s="389"/>
      <c r="J6" s="389"/>
      <c r="K6" s="495"/>
      <c r="L6" s="495"/>
      <c r="M6" s="496"/>
    </row>
    <row r="7" spans="1:13" ht="15.75" thickBot="1">
      <c r="A7" s="461"/>
      <c r="B7" s="390"/>
      <c r="C7" s="390"/>
      <c r="D7" s="390"/>
      <c r="E7" s="390"/>
      <c r="F7" s="390"/>
      <c r="G7" s="390"/>
      <c r="H7" s="390"/>
      <c r="I7" s="390"/>
      <c r="J7" s="390"/>
      <c r="K7" s="497"/>
      <c r="L7" s="497"/>
      <c r="M7" s="498"/>
    </row>
    <row r="8" spans="1:13">
      <c r="A8" s="192"/>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93"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93"/>
      <c r="D17" s="193"/>
      <c r="E17" s="193"/>
      <c r="F17" s="193"/>
      <c r="G17" s="193"/>
      <c r="H17" s="193"/>
      <c r="I17" s="193"/>
      <c r="J17" s="193"/>
      <c r="K17" s="193"/>
      <c r="L17" s="193"/>
      <c r="M17" s="13"/>
    </row>
    <row r="18" spans="1:13">
      <c r="A18" s="25" t="s">
        <v>74</v>
      </c>
      <c r="B18" s="26"/>
      <c r="C18" s="379"/>
      <c r="D18" s="379"/>
      <c r="E18" s="379"/>
      <c r="F18" s="379"/>
      <c r="G18" s="379"/>
      <c r="H18" s="379"/>
      <c r="I18" s="379"/>
      <c r="J18" s="379"/>
      <c r="K18" s="379"/>
      <c r="L18" s="379"/>
      <c r="M18" s="380"/>
    </row>
    <row r="19" spans="1:13">
      <c r="A19" s="25"/>
      <c r="B19" s="26"/>
      <c r="C19" s="193"/>
      <c r="D19" s="193"/>
      <c r="E19" s="193"/>
      <c r="F19" s="193"/>
      <c r="G19" s="193"/>
      <c r="H19" s="193"/>
      <c r="I19" s="193"/>
      <c r="J19" s="193"/>
      <c r="K19" s="193"/>
      <c r="L19" s="193"/>
      <c r="M19" s="13"/>
    </row>
    <row r="20" spans="1:13" ht="31.5" customHeight="1">
      <c r="A20" s="464" t="s">
        <v>113</v>
      </c>
      <c r="B20" s="465"/>
      <c r="C20" s="379"/>
      <c r="D20" s="379"/>
      <c r="E20" s="379"/>
      <c r="F20" s="379"/>
      <c r="G20" s="379"/>
      <c r="H20" s="379"/>
      <c r="I20" s="379"/>
      <c r="J20" s="379"/>
      <c r="K20" s="379"/>
      <c r="L20" s="379"/>
      <c r="M20" s="380"/>
    </row>
    <row r="21" spans="1:13">
      <c r="A21" s="400"/>
      <c r="B21" s="401"/>
      <c r="C21" s="193"/>
      <c r="D21" s="193"/>
      <c r="E21" s="193"/>
      <c r="F21" s="193"/>
      <c r="G21" s="193"/>
      <c r="H21" s="193"/>
      <c r="I21" s="193"/>
      <c r="J21" s="193"/>
      <c r="K21" s="193"/>
      <c r="L21" s="193"/>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85" t="s">
        <v>78</v>
      </c>
      <c r="K25" s="408" t="s">
        <v>79</v>
      </c>
      <c r="L25" s="409"/>
      <c r="M25" s="31" t="s">
        <v>80</v>
      </c>
    </row>
    <row r="26" spans="1:13" ht="15.75" thickBot="1">
      <c r="A26" s="33"/>
      <c r="B26" s="391" t="s">
        <v>201</v>
      </c>
      <c r="C26" s="392"/>
      <c r="D26" s="392"/>
      <c r="E26" s="392"/>
      <c r="F26" s="392"/>
      <c r="G26" s="392"/>
      <c r="H26" s="392"/>
      <c r="I26" s="393"/>
      <c r="J26" s="184">
        <v>1</v>
      </c>
      <c r="K26" s="391" t="str">
        <f>'[1]NUEVO DISEÑO'!C25</f>
        <v>M2</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90" t="s">
        <v>83</v>
      </c>
      <c r="K30" s="421" t="s">
        <v>84</v>
      </c>
      <c r="L30" s="424"/>
      <c r="M30" s="44" t="s">
        <v>85</v>
      </c>
    </row>
    <row r="31" spans="1:13">
      <c r="A31" s="425" t="s">
        <v>124</v>
      </c>
      <c r="B31" s="426"/>
      <c r="C31" s="426"/>
      <c r="D31" s="426"/>
      <c r="E31" s="427"/>
      <c r="F31" s="428" t="s">
        <v>125</v>
      </c>
      <c r="G31" s="429"/>
      <c r="H31" s="430" t="s">
        <v>86</v>
      </c>
      <c r="I31" s="427"/>
      <c r="J31" s="72">
        <f>M62*10%</f>
        <v>868.79466666666667</v>
      </c>
      <c r="K31" s="428">
        <v>1</v>
      </c>
      <c r="L31" s="429"/>
      <c r="M31" s="46">
        <f>J31/K31</f>
        <v>868.79466666666667</v>
      </c>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868.79466666666667</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86" t="s">
        <v>79</v>
      </c>
      <c r="J37" s="190" t="s">
        <v>80</v>
      </c>
      <c r="K37" s="421" t="s">
        <v>89</v>
      </c>
      <c r="L37" s="424"/>
      <c r="M37" s="44" t="s">
        <v>85</v>
      </c>
    </row>
    <row r="38" spans="1:13">
      <c r="A38" s="425" t="s">
        <v>202</v>
      </c>
      <c r="B38" s="426"/>
      <c r="C38" s="426"/>
      <c r="D38" s="426"/>
      <c r="E38" s="426"/>
      <c r="F38" s="426"/>
      <c r="G38" s="426"/>
      <c r="H38" s="427"/>
      <c r="I38" s="73" t="s">
        <v>203</v>
      </c>
      <c r="J38" s="45">
        <v>15</v>
      </c>
      <c r="K38" s="456">
        <v>75200</v>
      </c>
      <c r="L38" s="457"/>
      <c r="M38" s="56">
        <f>K38/J38</f>
        <v>5013.333333333333</v>
      </c>
    </row>
    <row r="39" spans="1:13">
      <c r="A39" s="425"/>
      <c r="B39" s="426"/>
      <c r="C39" s="426"/>
      <c r="D39" s="426"/>
      <c r="E39" s="426"/>
      <c r="F39" s="426"/>
      <c r="G39" s="426"/>
      <c r="H39" s="427"/>
      <c r="I39" s="73"/>
      <c r="J39" s="45"/>
      <c r="K39" s="456"/>
      <c r="L39" s="457"/>
      <c r="M39" s="56"/>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c r="A42" s="425"/>
      <c r="B42" s="426"/>
      <c r="C42" s="426"/>
      <c r="D42" s="426"/>
      <c r="E42" s="426"/>
      <c r="F42" s="426"/>
      <c r="G42" s="426"/>
      <c r="H42" s="427"/>
      <c r="I42" s="73"/>
      <c r="J42" s="45"/>
      <c r="K42" s="456"/>
      <c r="L42" s="457"/>
      <c r="M42" s="56"/>
    </row>
    <row r="43" spans="1:13">
      <c r="A43" s="425"/>
      <c r="B43" s="426"/>
      <c r="C43" s="426"/>
      <c r="D43" s="426"/>
      <c r="E43" s="426"/>
      <c r="F43" s="426"/>
      <c r="G43" s="426"/>
      <c r="H43" s="427"/>
      <c r="I43" s="73"/>
      <c r="J43" s="45"/>
      <c r="K43" s="456"/>
      <c r="L43" s="457"/>
      <c r="M43" s="56"/>
    </row>
    <row r="44" spans="1:13">
      <c r="A44" s="425"/>
      <c r="B44" s="426"/>
      <c r="C44" s="426"/>
      <c r="D44" s="426"/>
      <c r="E44" s="426"/>
      <c r="F44" s="426"/>
      <c r="G44" s="426"/>
      <c r="H44" s="427"/>
      <c r="I44" s="73"/>
      <c r="J44" s="45"/>
      <c r="K44" s="456"/>
      <c r="L44" s="457"/>
      <c r="M44" s="56"/>
    </row>
    <row r="45" spans="1:13">
      <c r="A45" s="425"/>
      <c r="B45" s="426"/>
      <c r="C45" s="426"/>
      <c r="D45" s="426"/>
      <c r="E45" s="426"/>
      <c r="F45" s="426"/>
      <c r="G45" s="426"/>
      <c r="H45" s="427"/>
      <c r="I45" s="73"/>
      <c r="J45" s="45"/>
      <c r="K45" s="456"/>
      <c r="L45" s="457"/>
      <c r="M45" s="56"/>
    </row>
    <row r="46" spans="1:13" ht="15.75" thickBot="1">
      <c r="A46" s="410"/>
      <c r="B46" s="411"/>
      <c r="C46" s="411"/>
      <c r="D46" s="411"/>
      <c r="E46" s="411"/>
      <c r="F46" s="411"/>
      <c r="G46" s="411"/>
      <c r="H46" s="412"/>
      <c r="I46" s="74"/>
      <c r="J46" s="57"/>
      <c r="K46" s="466"/>
      <c r="L46" s="467"/>
      <c r="M46" s="75"/>
    </row>
    <row r="47" spans="1:13" ht="15.75" thickBot="1">
      <c r="A47" s="416" t="s">
        <v>87</v>
      </c>
      <c r="B47" s="417"/>
      <c r="C47" s="417"/>
      <c r="D47" s="417"/>
      <c r="E47" s="417"/>
      <c r="F47" s="417"/>
      <c r="G47" s="417"/>
      <c r="H47" s="417"/>
      <c r="I47" s="417"/>
      <c r="J47" s="417"/>
      <c r="K47" s="417"/>
      <c r="L47" s="418"/>
      <c r="M47" s="70">
        <f>SUM(M38:M46)</f>
        <v>5013.333333333333</v>
      </c>
    </row>
    <row r="48" spans="1:13">
      <c r="A48" s="30"/>
      <c r="B48" s="19"/>
      <c r="C48" s="19"/>
      <c r="D48" s="19"/>
      <c r="E48" s="19"/>
      <c r="F48" s="19"/>
      <c r="G48" s="19"/>
      <c r="H48" s="19"/>
      <c r="I48" s="19"/>
      <c r="J48" s="19"/>
      <c r="K48" s="19"/>
      <c r="L48" s="19"/>
      <c r="M48" s="24"/>
    </row>
    <row r="49" spans="1:13">
      <c r="A49" s="51" t="s">
        <v>90</v>
      </c>
      <c r="B49" s="52"/>
      <c r="C49" s="52"/>
      <c r="D49" s="52"/>
      <c r="E49" s="52"/>
      <c r="F49" s="52"/>
      <c r="G49" s="52"/>
      <c r="H49" s="52"/>
      <c r="I49" s="52"/>
      <c r="J49" s="52"/>
      <c r="K49" s="52"/>
      <c r="L49" s="52"/>
      <c r="M49" s="53"/>
    </row>
    <row r="50" spans="1:13" ht="15.75" thickBot="1">
      <c r="A50" s="30"/>
      <c r="B50" s="19"/>
      <c r="C50" s="19"/>
      <c r="D50" s="19"/>
      <c r="E50" s="19"/>
      <c r="F50" s="19"/>
      <c r="G50" s="19"/>
      <c r="H50" s="19"/>
      <c r="I50" s="19"/>
      <c r="J50" s="19"/>
      <c r="K50" s="19"/>
      <c r="L50" s="19"/>
      <c r="M50" s="24"/>
    </row>
    <row r="51" spans="1:13">
      <c r="A51" s="408" t="s">
        <v>91</v>
      </c>
      <c r="B51" s="431"/>
      <c r="C51" s="431"/>
      <c r="D51" s="431"/>
      <c r="E51" s="431"/>
      <c r="F51" s="431"/>
      <c r="G51" s="431"/>
      <c r="H51" s="190" t="s">
        <v>92</v>
      </c>
      <c r="I51" s="187" t="s">
        <v>93</v>
      </c>
      <c r="J51" s="60" t="s">
        <v>94</v>
      </c>
      <c r="K51" s="421" t="s">
        <v>95</v>
      </c>
      <c r="L51" s="424"/>
      <c r="M51" s="44" t="s">
        <v>85</v>
      </c>
    </row>
    <row r="52" spans="1:13">
      <c r="A52" s="425"/>
      <c r="B52" s="426"/>
      <c r="C52" s="426"/>
      <c r="D52" s="426"/>
      <c r="E52" s="426"/>
      <c r="F52" s="426"/>
      <c r="G52" s="426"/>
      <c r="H52" s="61"/>
      <c r="I52" s="55"/>
      <c r="J52" s="61"/>
      <c r="K52" s="428"/>
      <c r="L52" s="429"/>
    </row>
    <row r="53" spans="1:13" ht="15.75" thickBot="1">
      <c r="A53" s="410"/>
      <c r="B53" s="411"/>
      <c r="C53" s="411"/>
      <c r="D53" s="411"/>
      <c r="E53" s="411"/>
      <c r="F53" s="411"/>
      <c r="G53" s="411"/>
      <c r="H53" s="47"/>
      <c r="I53" s="15"/>
      <c r="J53" s="47"/>
      <c r="K53" s="414"/>
      <c r="L53" s="415"/>
      <c r="M53" s="62"/>
    </row>
    <row r="54" spans="1:13" ht="15.75" thickBot="1">
      <c r="A54" s="416" t="s">
        <v>87</v>
      </c>
      <c r="B54" s="417"/>
      <c r="C54" s="417"/>
      <c r="D54" s="417"/>
      <c r="E54" s="417"/>
      <c r="F54" s="417"/>
      <c r="G54" s="417"/>
      <c r="H54" s="417"/>
      <c r="I54" s="417"/>
      <c r="J54" s="417"/>
      <c r="K54" s="417"/>
      <c r="L54" s="418"/>
      <c r="M54" s="63">
        <f>SUM(M53:M53)</f>
        <v>0</v>
      </c>
    </row>
    <row r="55" spans="1:13">
      <c r="A55" s="30"/>
      <c r="B55" s="19"/>
      <c r="C55" s="19"/>
      <c r="D55" s="19"/>
      <c r="E55" s="19"/>
      <c r="F55" s="19"/>
      <c r="G55" s="19"/>
      <c r="H55" s="19"/>
      <c r="I55" s="19"/>
      <c r="J55" s="19"/>
      <c r="K55" s="19"/>
      <c r="L55" s="19"/>
      <c r="M55" s="24"/>
    </row>
    <row r="56" spans="1:13">
      <c r="A56" s="51" t="s">
        <v>96</v>
      </c>
      <c r="B56" s="52"/>
      <c r="C56" s="52"/>
      <c r="D56" s="52"/>
      <c r="E56" s="52"/>
      <c r="F56" s="52"/>
      <c r="G56" s="52"/>
      <c r="H56" s="52"/>
      <c r="I56" s="52"/>
      <c r="J56" s="52"/>
      <c r="K56" s="52"/>
      <c r="L56" s="52"/>
      <c r="M56" s="53"/>
    </row>
    <row r="57" spans="1:13" ht="15.75" thickBot="1">
      <c r="A57" s="30"/>
      <c r="B57" s="19"/>
      <c r="C57" s="19"/>
      <c r="D57" s="19"/>
      <c r="E57" s="19"/>
      <c r="F57" s="19"/>
      <c r="G57" s="19"/>
      <c r="H57" s="19"/>
      <c r="I57" s="19"/>
      <c r="J57" s="19"/>
      <c r="K57" s="19"/>
      <c r="L57" s="19"/>
      <c r="M57" s="24"/>
    </row>
    <row r="58" spans="1:13" ht="26.25">
      <c r="A58" s="453" t="s">
        <v>97</v>
      </c>
      <c r="B58" s="454"/>
      <c r="C58" s="454"/>
      <c r="D58" s="454"/>
      <c r="E58" s="454"/>
      <c r="F58" s="454"/>
      <c r="G58" s="454"/>
      <c r="H58" s="190" t="s">
        <v>98</v>
      </c>
      <c r="I58" s="191" t="s">
        <v>99</v>
      </c>
      <c r="J58" s="191" t="s">
        <v>100</v>
      </c>
      <c r="K58" s="455" t="s">
        <v>84</v>
      </c>
      <c r="L58" s="455"/>
      <c r="M58" s="65" t="s">
        <v>85</v>
      </c>
    </row>
    <row r="59" spans="1:13">
      <c r="A59" s="471" t="s">
        <v>204</v>
      </c>
      <c r="B59" s="472"/>
      <c r="C59" s="472"/>
      <c r="D59" s="472"/>
      <c r="E59" s="472"/>
      <c r="F59" s="472"/>
      <c r="G59" s="472"/>
      <c r="H59" s="1">
        <v>118472</v>
      </c>
      <c r="I59" s="2">
        <v>2.2000000000000002</v>
      </c>
      <c r="J59" s="66">
        <f>(I59*H59)</f>
        <v>260638.40000000002</v>
      </c>
      <c r="K59" s="483">
        <v>30</v>
      </c>
      <c r="L59" s="483"/>
      <c r="M59" s="56">
        <f>J59/K59</f>
        <v>8687.9466666666667</v>
      </c>
    </row>
    <row r="60" spans="1:13">
      <c r="A60" s="471"/>
      <c r="B60" s="472"/>
      <c r="C60" s="472"/>
      <c r="D60" s="472"/>
      <c r="E60" s="472"/>
      <c r="F60" s="472"/>
      <c r="G60" s="472"/>
      <c r="H60" s="1"/>
      <c r="I60" s="2"/>
      <c r="J60" s="66"/>
      <c r="K60" s="473"/>
      <c r="L60" s="473"/>
      <c r="M60" s="56"/>
    </row>
    <row r="61" spans="1:13" ht="15.75" thickBot="1">
      <c r="A61" s="432"/>
      <c r="B61" s="433"/>
      <c r="C61" s="433"/>
      <c r="D61" s="433"/>
      <c r="E61" s="433"/>
      <c r="F61" s="433"/>
      <c r="G61" s="433"/>
      <c r="H61" s="3"/>
      <c r="I61" s="4"/>
      <c r="J61" s="67"/>
      <c r="K61" s="434"/>
      <c r="L61" s="434"/>
      <c r="M61" s="68"/>
    </row>
    <row r="62" spans="1:13" ht="15.75" thickBot="1">
      <c r="A62" s="435" t="s">
        <v>87</v>
      </c>
      <c r="B62" s="436"/>
      <c r="C62" s="436"/>
      <c r="D62" s="436"/>
      <c r="E62" s="436"/>
      <c r="F62" s="436"/>
      <c r="G62" s="436"/>
      <c r="H62" s="436"/>
      <c r="I62" s="436"/>
      <c r="J62" s="436"/>
      <c r="K62" s="436"/>
      <c r="L62" s="437"/>
      <c r="M62" s="69">
        <f>SUM(M59:M61)</f>
        <v>8687.9466666666667</v>
      </c>
    </row>
    <row r="63" spans="1:13" ht="15.75" thickBot="1">
      <c r="A63" s="30"/>
      <c r="B63" s="19"/>
      <c r="C63" s="19"/>
      <c r="D63" s="19"/>
      <c r="E63" s="19"/>
      <c r="F63" s="19"/>
      <c r="G63" s="19"/>
      <c r="H63" s="19"/>
      <c r="I63" s="19"/>
      <c r="J63" s="19"/>
      <c r="K63" s="19"/>
      <c r="L63" s="19"/>
      <c r="M63" s="24"/>
    </row>
    <row r="64" spans="1:13" ht="15.75" thickBot="1">
      <c r="A64" s="416" t="s">
        <v>101</v>
      </c>
      <c r="B64" s="417"/>
      <c r="C64" s="417"/>
      <c r="D64" s="417"/>
      <c r="E64" s="417"/>
      <c r="F64" s="417"/>
      <c r="G64" s="417"/>
      <c r="H64" s="417"/>
      <c r="I64" s="417"/>
      <c r="J64" s="417"/>
      <c r="K64" s="417"/>
      <c r="L64" s="418"/>
      <c r="M64" s="70">
        <f>+ROUND(15388.9128629333,0)</f>
        <v>15389</v>
      </c>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188"/>
      <c r="I68" s="189"/>
      <c r="J68" s="81" t="s">
        <v>104</v>
      </c>
      <c r="K68" s="440" t="s">
        <v>105</v>
      </c>
      <c r="L68" s="441"/>
      <c r="M68" s="82"/>
    </row>
    <row r="69" spans="1:13">
      <c r="A69" s="442" t="s">
        <v>106</v>
      </c>
      <c r="B69" s="443"/>
      <c r="C69" s="443"/>
      <c r="D69" s="443"/>
      <c r="E69" s="443"/>
      <c r="F69" s="443"/>
      <c r="G69" s="443"/>
      <c r="H69" s="83"/>
      <c r="I69" s="84"/>
      <c r="J69" s="85">
        <v>0.19</v>
      </c>
      <c r="K69" s="444">
        <f>M64*J69</f>
        <v>2923.91</v>
      </c>
      <c r="L69" s="444"/>
      <c r="M69" s="86"/>
    </row>
    <row r="70" spans="1:13">
      <c r="A70" s="447" t="s">
        <v>107</v>
      </c>
      <c r="B70" s="448"/>
      <c r="C70" s="448"/>
      <c r="D70" s="448"/>
      <c r="E70" s="448"/>
      <c r="F70" s="448"/>
      <c r="G70" s="449"/>
      <c r="H70" s="77"/>
      <c r="I70" s="78"/>
      <c r="J70" s="5">
        <v>0.01</v>
      </c>
      <c r="K70" s="445">
        <f>M64*J70</f>
        <v>153.89000000000001</v>
      </c>
      <c r="L70" s="445"/>
      <c r="M70" s="6"/>
    </row>
    <row r="71" spans="1:13">
      <c r="A71" s="447" t="s">
        <v>108</v>
      </c>
      <c r="B71" s="448"/>
      <c r="C71" s="448"/>
      <c r="D71" s="448"/>
      <c r="E71" s="448"/>
      <c r="F71" s="448"/>
      <c r="G71" s="449"/>
      <c r="H71" s="77"/>
      <c r="I71" s="78"/>
      <c r="J71" s="5">
        <v>0.05</v>
      </c>
      <c r="K71" s="445">
        <f>M64*J71</f>
        <v>769.45</v>
      </c>
      <c r="L71" s="445"/>
      <c r="M71" s="6"/>
    </row>
    <row r="72" spans="1:13" ht="15.75" thickBot="1">
      <c r="A72" s="450" t="s">
        <v>117</v>
      </c>
      <c r="B72" s="451"/>
      <c r="C72" s="451"/>
      <c r="D72" s="451"/>
      <c r="E72" s="451"/>
      <c r="F72" s="451"/>
      <c r="G72" s="452"/>
      <c r="H72" s="87"/>
      <c r="I72" s="88"/>
      <c r="J72" s="89">
        <v>0.19</v>
      </c>
      <c r="K72" s="446">
        <f>K71*J72</f>
        <v>146.19550000000001</v>
      </c>
      <c r="L72" s="446"/>
      <c r="M72" s="90"/>
    </row>
    <row r="73" spans="1:13" ht="15.75" thickBot="1">
      <c r="A73" s="435" t="s">
        <v>87</v>
      </c>
      <c r="B73" s="436"/>
      <c r="C73" s="436"/>
      <c r="D73" s="436"/>
      <c r="E73" s="436"/>
      <c r="F73" s="436"/>
      <c r="G73" s="436"/>
      <c r="H73" s="436"/>
      <c r="I73" s="436"/>
      <c r="J73" s="436"/>
      <c r="K73" s="436"/>
      <c r="L73" s="437"/>
      <c r="M73" s="76">
        <f>SUM(K69:L72)</f>
        <v>3993.4454999999998</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19382</v>
      </c>
    </row>
  </sheetData>
  <mergeCells count="83">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61:G61"/>
    <mergeCell ref="K61:L61"/>
    <mergeCell ref="A62:L62"/>
    <mergeCell ref="A64:L64"/>
    <mergeCell ref="A68:G68"/>
    <mergeCell ref="K68:L68"/>
    <mergeCell ref="A72:G72"/>
    <mergeCell ref="K72:L72"/>
    <mergeCell ref="A73:L73"/>
    <mergeCell ref="A75:L75"/>
    <mergeCell ref="A69:G69"/>
    <mergeCell ref="K69:L69"/>
    <mergeCell ref="A70:G70"/>
    <mergeCell ref="K70:L70"/>
    <mergeCell ref="A71:G71"/>
    <mergeCell ref="K71:L71"/>
  </mergeCells>
  <pageMargins left="0.7" right="0.7" top="0.75" bottom="0.75" header="0.3" footer="0.3"/>
  <pageSetup scale="57"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view="pageBreakPreview" topLeftCell="A50" zoomScale="80" zoomScaleNormal="100" zoomScaleSheetLayoutView="80" workbookViewId="0">
      <selection activeCell="M64" sqref="M64"/>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491" t="s">
        <v>67</v>
      </c>
      <c r="E1" s="491"/>
      <c r="F1" s="491"/>
      <c r="G1" s="491"/>
      <c r="H1" s="491"/>
      <c r="I1" s="491"/>
      <c r="J1" s="491"/>
      <c r="K1" s="493"/>
      <c r="L1" s="493"/>
      <c r="M1" s="494"/>
    </row>
    <row r="2" spans="1:13">
      <c r="A2" s="460"/>
      <c r="B2" s="389"/>
      <c r="C2" s="389"/>
      <c r="D2" s="492"/>
      <c r="E2" s="492"/>
      <c r="F2" s="492"/>
      <c r="G2" s="492"/>
      <c r="H2" s="492"/>
      <c r="I2" s="492"/>
      <c r="J2" s="492"/>
      <c r="K2" s="495"/>
      <c r="L2" s="495"/>
      <c r="M2" s="496"/>
    </row>
    <row r="3" spans="1:13">
      <c r="A3" s="460"/>
      <c r="B3" s="389"/>
      <c r="C3" s="389"/>
      <c r="D3" s="492"/>
      <c r="E3" s="492"/>
      <c r="F3" s="492"/>
      <c r="G3" s="492"/>
      <c r="H3" s="492"/>
      <c r="I3" s="492"/>
      <c r="J3" s="492"/>
      <c r="K3" s="495"/>
      <c r="L3" s="495"/>
      <c r="M3" s="496"/>
    </row>
    <row r="4" spans="1:13" ht="15" customHeight="1">
      <c r="A4" s="460"/>
      <c r="B4" s="389"/>
      <c r="C4" s="389"/>
      <c r="D4" s="389" t="s">
        <v>112</v>
      </c>
      <c r="E4" s="389"/>
      <c r="F4" s="389"/>
      <c r="G4" s="389"/>
      <c r="H4" s="389"/>
      <c r="I4" s="389"/>
      <c r="J4" s="389"/>
      <c r="K4" s="495"/>
      <c r="L4" s="495"/>
      <c r="M4" s="496"/>
    </row>
    <row r="5" spans="1:13">
      <c r="A5" s="460"/>
      <c r="B5" s="389"/>
      <c r="C5" s="389"/>
      <c r="D5" s="389"/>
      <c r="E5" s="389"/>
      <c r="F5" s="389"/>
      <c r="G5" s="389"/>
      <c r="H5" s="389"/>
      <c r="I5" s="389"/>
      <c r="J5" s="389"/>
      <c r="K5" s="495"/>
      <c r="L5" s="495"/>
      <c r="M5" s="496"/>
    </row>
    <row r="6" spans="1:13">
      <c r="A6" s="460"/>
      <c r="B6" s="389"/>
      <c r="C6" s="389"/>
      <c r="D6" s="389"/>
      <c r="E6" s="389"/>
      <c r="F6" s="389"/>
      <c r="G6" s="389"/>
      <c r="H6" s="389"/>
      <c r="I6" s="389"/>
      <c r="J6" s="389"/>
      <c r="K6" s="495"/>
      <c r="L6" s="495"/>
      <c r="M6" s="496"/>
    </row>
    <row r="7" spans="1:13" ht="15.75" thickBot="1">
      <c r="A7" s="461"/>
      <c r="B7" s="390"/>
      <c r="C7" s="390"/>
      <c r="D7" s="390"/>
      <c r="E7" s="390"/>
      <c r="F7" s="390"/>
      <c r="G7" s="390"/>
      <c r="H7" s="390"/>
      <c r="I7" s="390"/>
      <c r="J7" s="390"/>
      <c r="K7" s="497"/>
      <c r="L7" s="497"/>
      <c r="M7" s="498"/>
    </row>
    <row r="8" spans="1:13">
      <c r="A8" s="192"/>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93"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93"/>
      <c r="D17" s="193"/>
      <c r="E17" s="193"/>
      <c r="F17" s="193"/>
      <c r="G17" s="193"/>
      <c r="H17" s="193"/>
      <c r="I17" s="193"/>
      <c r="J17" s="193"/>
      <c r="K17" s="193"/>
      <c r="L17" s="193"/>
      <c r="M17" s="13"/>
    </row>
    <row r="18" spans="1:13">
      <c r="A18" s="25" t="s">
        <v>74</v>
      </c>
      <c r="B18" s="26"/>
      <c r="C18" s="379"/>
      <c r="D18" s="379"/>
      <c r="E18" s="379"/>
      <c r="F18" s="379"/>
      <c r="G18" s="379"/>
      <c r="H18" s="379"/>
      <c r="I18" s="379"/>
      <c r="J18" s="379"/>
      <c r="K18" s="379"/>
      <c r="L18" s="379"/>
      <c r="M18" s="380"/>
    </row>
    <row r="19" spans="1:13">
      <c r="A19" s="25"/>
      <c r="B19" s="26"/>
      <c r="C19" s="193"/>
      <c r="D19" s="193"/>
      <c r="E19" s="193"/>
      <c r="F19" s="193"/>
      <c r="G19" s="193"/>
      <c r="H19" s="193"/>
      <c r="I19" s="193"/>
      <c r="J19" s="193"/>
      <c r="K19" s="193"/>
      <c r="L19" s="193"/>
      <c r="M19" s="13"/>
    </row>
    <row r="20" spans="1:13" ht="31.5" customHeight="1">
      <c r="A20" s="464" t="s">
        <v>113</v>
      </c>
      <c r="B20" s="465"/>
      <c r="C20" s="379"/>
      <c r="D20" s="379"/>
      <c r="E20" s="379"/>
      <c r="F20" s="379"/>
      <c r="G20" s="379"/>
      <c r="H20" s="379"/>
      <c r="I20" s="379"/>
      <c r="J20" s="379"/>
      <c r="K20" s="379"/>
      <c r="L20" s="379"/>
      <c r="M20" s="380"/>
    </row>
    <row r="21" spans="1:13">
      <c r="A21" s="400"/>
      <c r="B21" s="401"/>
      <c r="C21" s="193"/>
      <c r="D21" s="193"/>
      <c r="E21" s="193"/>
      <c r="F21" s="193"/>
      <c r="G21" s="193"/>
      <c r="H21" s="193"/>
      <c r="I21" s="193"/>
      <c r="J21" s="193"/>
      <c r="K21" s="193"/>
      <c r="L21" s="193"/>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85" t="s">
        <v>78</v>
      </c>
      <c r="K25" s="408" t="s">
        <v>79</v>
      </c>
      <c r="L25" s="409"/>
      <c r="M25" s="31" t="s">
        <v>80</v>
      </c>
    </row>
    <row r="26" spans="1:13" ht="15.75" thickBot="1">
      <c r="A26" s="33"/>
      <c r="B26" s="391" t="s">
        <v>361</v>
      </c>
      <c r="C26" s="392"/>
      <c r="D26" s="392"/>
      <c r="E26" s="392"/>
      <c r="F26" s="392"/>
      <c r="G26" s="392"/>
      <c r="H26" s="392"/>
      <c r="I26" s="393"/>
      <c r="J26" s="184">
        <v>1</v>
      </c>
      <c r="K26" s="391" t="str">
        <f>'[1]NUEVO DISEÑO'!C24</f>
        <v>ML</v>
      </c>
      <c r="L26" s="393"/>
      <c r="M26" s="35">
        <f>'[1]NUEVO DISEÑO'!D24</f>
        <v>30</v>
      </c>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90" t="s">
        <v>83</v>
      </c>
      <c r="K30" s="421" t="s">
        <v>84</v>
      </c>
      <c r="L30" s="424"/>
      <c r="M30" s="44" t="s">
        <v>85</v>
      </c>
    </row>
    <row r="31" spans="1:13">
      <c r="A31" s="425" t="s">
        <v>124</v>
      </c>
      <c r="B31" s="426"/>
      <c r="C31" s="426"/>
      <c r="D31" s="426"/>
      <c r="E31" s="427"/>
      <c r="F31" s="428" t="s">
        <v>125</v>
      </c>
      <c r="G31" s="429"/>
      <c r="H31" s="430" t="s">
        <v>86</v>
      </c>
      <c r="I31" s="427"/>
      <c r="J31" s="72">
        <f>M62*10%</f>
        <v>651.59600000000012</v>
      </c>
      <c r="K31" s="428">
        <v>1</v>
      </c>
      <c r="L31" s="429"/>
      <c r="M31" s="46">
        <f>J31/K31</f>
        <v>651.59600000000012</v>
      </c>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651.59600000000012</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86" t="s">
        <v>79</v>
      </c>
      <c r="J37" s="190" t="s">
        <v>80</v>
      </c>
      <c r="K37" s="421" t="s">
        <v>89</v>
      </c>
      <c r="L37" s="424"/>
      <c r="M37" s="44" t="s">
        <v>85</v>
      </c>
    </row>
    <row r="38" spans="1:13">
      <c r="A38" s="425" t="s">
        <v>202</v>
      </c>
      <c r="B38" s="426"/>
      <c r="C38" s="426"/>
      <c r="D38" s="426"/>
      <c r="E38" s="426"/>
      <c r="F38" s="426"/>
      <c r="G38" s="426"/>
      <c r="H38" s="427"/>
      <c r="I38" s="73" t="s">
        <v>203</v>
      </c>
      <c r="J38" s="45">
        <v>30</v>
      </c>
      <c r="K38" s="456">
        <v>75200</v>
      </c>
      <c r="L38" s="457"/>
      <c r="M38" s="56">
        <f>K38/J38</f>
        <v>2506.6666666666665</v>
      </c>
    </row>
    <row r="39" spans="1:13">
      <c r="A39" s="425"/>
      <c r="B39" s="426"/>
      <c r="C39" s="426"/>
      <c r="D39" s="426"/>
      <c r="E39" s="426"/>
      <c r="F39" s="426"/>
      <c r="G39" s="426"/>
      <c r="H39" s="427"/>
      <c r="I39" s="73"/>
      <c r="J39" s="45"/>
      <c r="K39" s="456"/>
      <c r="L39" s="457"/>
      <c r="M39" s="56"/>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c r="A42" s="425"/>
      <c r="B42" s="426"/>
      <c r="C42" s="426"/>
      <c r="D42" s="426"/>
      <c r="E42" s="426"/>
      <c r="F42" s="426"/>
      <c r="G42" s="426"/>
      <c r="H42" s="427"/>
      <c r="I42" s="73"/>
      <c r="J42" s="45"/>
      <c r="K42" s="456"/>
      <c r="L42" s="457"/>
      <c r="M42" s="56"/>
    </row>
    <row r="43" spans="1:13">
      <c r="A43" s="425"/>
      <c r="B43" s="426"/>
      <c r="C43" s="426"/>
      <c r="D43" s="426"/>
      <c r="E43" s="426"/>
      <c r="F43" s="426"/>
      <c r="G43" s="426"/>
      <c r="H43" s="427"/>
      <c r="I43" s="73"/>
      <c r="J43" s="45"/>
      <c r="K43" s="456"/>
      <c r="L43" s="457"/>
      <c r="M43" s="56"/>
    </row>
    <row r="44" spans="1:13">
      <c r="A44" s="425"/>
      <c r="B44" s="426"/>
      <c r="C44" s="426"/>
      <c r="D44" s="426"/>
      <c r="E44" s="426"/>
      <c r="F44" s="426"/>
      <c r="G44" s="426"/>
      <c r="H44" s="427"/>
      <c r="I44" s="73"/>
      <c r="J44" s="45"/>
      <c r="K44" s="456"/>
      <c r="L44" s="457"/>
      <c r="M44" s="56"/>
    </row>
    <row r="45" spans="1:13">
      <c r="A45" s="425"/>
      <c r="B45" s="426"/>
      <c r="C45" s="426"/>
      <c r="D45" s="426"/>
      <c r="E45" s="426"/>
      <c r="F45" s="426"/>
      <c r="G45" s="426"/>
      <c r="H45" s="427"/>
      <c r="I45" s="73"/>
      <c r="J45" s="45"/>
      <c r="K45" s="456"/>
      <c r="L45" s="457"/>
      <c r="M45" s="56"/>
    </row>
    <row r="46" spans="1:13" ht="15.75" thickBot="1">
      <c r="A46" s="410"/>
      <c r="B46" s="411"/>
      <c r="C46" s="411"/>
      <c r="D46" s="411"/>
      <c r="E46" s="411"/>
      <c r="F46" s="411"/>
      <c r="G46" s="411"/>
      <c r="H46" s="412"/>
      <c r="I46" s="74"/>
      <c r="J46" s="57"/>
      <c r="K46" s="466"/>
      <c r="L46" s="467"/>
      <c r="M46" s="75"/>
    </row>
    <row r="47" spans="1:13" ht="15.75" thickBot="1">
      <c r="A47" s="416" t="s">
        <v>87</v>
      </c>
      <c r="B47" s="417"/>
      <c r="C47" s="417"/>
      <c r="D47" s="417"/>
      <c r="E47" s="417"/>
      <c r="F47" s="417"/>
      <c r="G47" s="417"/>
      <c r="H47" s="417"/>
      <c r="I47" s="417"/>
      <c r="J47" s="417"/>
      <c r="K47" s="417"/>
      <c r="L47" s="418"/>
      <c r="M47" s="58">
        <f>SUM(M38:M46)</f>
        <v>2506.6666666666665</v>
      </c>
    </row>
    <row r="48" spans="1:13">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190" t="s">
        <v>92</v>
      </c>
      <c r="I51" s="187" t="s">
        <v>93</v>
      </c>
      <c r="J51" s="60" t="s">
        <v>94</v>
      </c>
      <c r="K51" s="421" t="s">
        <v>95</v>
      </c>
      <c r="L51" s="424"/>
      <c r="M51" s="44" t="s">
        <v>85</v>
      </c>
    </row>
    <row r="52" spans="1:14">
      <c r="A52" s="425"/>
      <c r="B52" s="426"/>
      <c r="C52" s="426"/>
      <c r="D52" s="426"/>
      <c r="E52" s="426"/>
      <c r="F52" s="426"/>
      <c r="G52" s="426"/>
      <c r="H52" s="61"/>
      <c r="I52" s="55"/>
      <c r="J52" s="61"/>
      <c r="K52" s="428"/>
      <c r="L52" s="429"/>
    </row>
    <row r="53" spans="1:14" ht="15.75" thickBot="1">
      <c r="A53" s="410"/>
      <c r="B53" s="411"/>
      <c r="C53" s="411"/>
      <c r="D53" s="411"/>
      <c r="E53" s="411"/>
      <c r="F53" s="411"/>
      <c r="G53" s="411"/>
      <c r="H53" s="47"/>
      <c r="I53" s="15"/>
      <c r="J53" s="47"/>
      <c r="K53" s="414"/>
      <c r="L53" s="415"/>
      <c r="M53" s="62"/>
    </row>
    <row r="54" spans="1:14" ht="15.75" thickBot="1">
      <c r="A54" s="416" t="s">
        <v>87</v>
      </c>
      <c r="B54" s="417"/>
      <c r="C54" s="417"/>
      <c r="D54" s="417"/>
      <c r="E54" s="417"/>
      <c r="F54" s="417"/>
      <c r="G54" s="417"/>
      <c r="H54" s="417"/>
      <c r="I54" s="417"/>
      <c r="J54" s="417"/>
      <c r="K54" s="417"/>
      <c r="L54" s="418"/>
      <c r="M54" s="63">
        <f>SUM(M53:M53)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190" t="s">
        <v>98</v>
      </c>
      <c r="I58" s="191" t="s">
        <v>99</v>
      </c>
      <c r="J58" s="191" t="s">
        <v>100</v>
      </c>
      <c r="K58" s="455" t="s">
        <v>84</v>
      </c>
      <c r="L58" s="455"/>
      <c r="M58" s="65" t="s">
        <v>85</v>
      </c>
    </row>
    <row r="59" spans="1:14">
      <c r="A59" s="471" t="s">
        <v>204</v>
      </c>
      <c r="B59" s="472"/>
      <c r="C59" s="472"/>
      <c r="D59" s="472"/>
      <c r="E59" s="472"/>
      <c r="F59" s="472"/>
      <c r="G59" s="472"/>
      <c r="H59" s="1">
        <v>118472</v>
      </c>
      <c r="I59" s="2">
        <v>2.2000000000000002</v>
      </c>
      <c r="J59" s="66">
        <f>(I59*H59)</f>
        <v>260638.40000000002</v>
      </c>
      <c r="K59" s="483">
        <v>40</v>
      </c>
      <c r="L59" s="483"/>
      <c r="M59" s="56">
        <f>J59/K59</f>
        <v>6515.9600000000009</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6515.9600000000009</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+ROUND(10217.9139805333,0)</f>
        <v>10218</v>
      </c>
      <c r="N64" s="70"/>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188"/>
      <c r="I68" s="189"/>
      <c r="J68" s="81" t="s">
        <v>104</v>
      </c>
      <c r="K68" s="440" t="s">
        <v>105</v>
      </c>
      <c r="L68" s="441"/>
      <c r="M68" s="82"/>
    </row>
    <row r="69" spans="1:13">
      <c r="A69" s="442" t="s">
        <v>106</v>
      </c>
      <c r="B69" s="443"/>
      <c r="C69" s="443"/>
      <c r="D69" s="443"/>
      <c r="E69" s="443"/>
      <c r="F69" s="443"/>
      <c r="G69" s="443"/>
      <c r="H69" s="83"/>
      <c r="I69" s="84"/>
      <c r="J69" s="85">
        <v>0.19</v>
      </c>
      <c r="K69" s="444">
        <f>M64*J69</f>
        <v>1941.42</v>
      </c>
      <c r="L69" s="444"/>
      <c r="M69" s="86"/>
    </row>
    <row r="70" spans="1:13">
      <c r="A70" s="447" t="s">
        <v>107</v>
      </c>
      <c r="B70" s="448"/>
      <c r="C70" s="448"/>
      <c r="D70" s="448"/>
      <c r="E70" s="448"/>
      <c r="F70" s="448"/>
      <c r="G70" s="449"/>
      <c r="H70" s="77"/>
      <c r="I70" s="78"/>
      <c r="J70" s="5">
        <v>0.01</v>
      </c>
      <c r="K70" s="445">
        <f>M64*J70</f>
        <v>102.18</v>
      </c>
      <c r="L70" s="445"/>
      <c r="M70" s="6"/>
    </row>
    <row r="71" spans="1:13">
      <c r="A71" s="447" t="s">
        <v>108</v>
      </c>
      <c r="B71" s="448"/>
      <c r="C71" s="448"/>
      <c r="D71" s="448"/>
      <c r="E71" s="448"/>
      <c r="F71" s="448"/>
      <c r="G71" s="449"/>
      <c r="H71" s="77"/>
      <c r="I71" s="78"/>
      <c r="J71" s="5">
        <v>0.05</v>
      </c>
      <c r="K71" s="445">
        <f>M64*J71</f>
        <v>510.90000000000003</v>
      </c>
      <c r="L71" s="445"/>
      <c r="M71" s="6"/>
    </row>
    <row r="72" spans="1:13" ht="15.75" thickBot="1">
      <c r="A72" s="450" t="s">
        <v>117</v>
      </c>
      <c r="B72" s="451"/>
      <c r="C72" s="451"/>
      <c r="D72" s="451"/>
      <c r="E72" s="451"/>
      <c r="F72" s="451"/>
      <c r="G72" s="452"/>
      <c r="H72" s="87"/>
      <c r="I72" s="88"/>
      <c r="J72" s="89">
        <v>0.19</v>
      </c>
      <c r="K72" s="446">
        <f>K71*J72</f>
        <v>97.071000000000012</v>
      </c>
      <c r="L72" s="446"/>
      <c r="M72" s="90"/>
    </row>
    <row r="73" spans="1:13" ht="15.75" thickBot="1">
      <c r="A73" s="435" t="s">
        <v>87</v>
      </c>
      <c r="B73" s="436"/>
      <c r="C73" s="436"/>
      <c r="D73" s="436"/>
      <c r="E73" s="436"/>
      <c r="F73" s="436"/>
      <c r="G73" s="436"/>
      <c r="H73" s="436"/>
      <c r="I73" s="436"/>
      <c r="J73" s="436"/>
      <c r="K73" s="436"/>
      <c r="L73" s="437"/>
      <c r="M73" s="76">
        <f>SUM(K69:L72)</f>
        <v>2651.5709999999999</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12870</v>
      </c>
    </row>
  </sheetData>
  <mergeCells count="83">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61:G61"/>
    <mergeCell ref="K61:L61"/>
    <mergeCell ref="A62:L62"/>
    <mergeCell ref="A64:L64"/>
    <mergeCell ref="A68:G68"/>
    <mergeCell ref="K68:L68"/>
    <mergeCell ref="A72:G72"/>
    <mergeCell ref="K72:L72"/>
    <mergeCell ref="A73:L73"/>
    <mergeCell ref="A75:L75"/>
    <mergeCell ref="A69:G69"/>
    <mergeCell ref="K69:L69"/>
    <mergeCell ref="A70:G70"/>
    <mergeCell ref="K70:L70"/>
    <mergeCell ref="A71:G71"/>
    <mergeCell ref="K71:L71"/>
  </mergeCells>
  <pageMargins left="0.7" right="0.7" top="0.75" bottom="0.75" header="0.3" footer="0.3"/>
  <pageSetup scale="5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topLeftCell="A37" zoomScale="80" zoomScaleNormal="100" zoomScaleSheetLayoutView="80" workbookViewId="0">
      <selection activeCell="M58" sqref="M58"/>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08"/>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09" t="s">
        <v>71</v>
      </c>
      <c r="H12" s="394"/>
      <c r="I12" s="394"/>
      <c r="J12" s="23"/>
      <c r="K12" s="23"/>
      <c r="L12" s="23"/>
      <c r="M12" s="24"/>
    </row>
    <row r="13" spans="1:13">
      <c r="A13" s="25" t="s">
        <v>72</v>
      </c>
      <c r="B13" s="26"/>
      <c r="C13" s="395" t="s">
        <v>136</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09"/>
      <c r="D17" s="109"/>
      <c r="E17" s="109"/>
      <c r="F17" s="109"/>
      <c r="G17" s="109"/>
      <c r="H17" s="109"/>
      <c r="I17" s="109"/>
      <c r="J17" s="109"/>
      <c r="K17" s="109"/>
      <c r="L17" s="109"/>
      <c r="M17" s="13"/>
    </row>
    <row r="18" spans="1:13">
      <c r="A18" s="25" t="s">
        <v>74</v>
      </c>
      <c r="B18" s="26"/>
      <c r="C18" s="379"/>
      <c r="D18" s="379"/>
      <c r="E18" s="379"/>
      <c r="F18" s="379"/>
      <c r="G18" s="379"/>
      <c r="H18" s="379"/>
      <c r="I18" s="379"/>
      <c r="J18" s="379"/>
      <c r="K18" s="379"/>
      <c r="L18" s="379"/>
      <c r="M18" s="380"/>
    </row>
    <row r="19" spans="1:13">
      <c r="A19" s="25"/>
      <c r="B19" s="26"/>
      <c r="C19" s="109"/>
      <c r="D19" s="109"/>
      <c r="E19" s="109"/>
      <c r="F19" s="109"/>
      <c r="G19" s="109"/>
      <c r="H19" s="109"/>
      <c r="I19" s="109"/>
      <c r="J19" s="109"/>
      <c r="K19" s="109"/>
      <c r="L19" s="109"/>
      <c r="M19" s="13"/>
    </row>
    <row r="20" spans="1:13" ht="31.5" customHeight="1">
      <c r="A20" s="464" t="s">
        <v>113</v>
      </c>
      <c r="B20" s="465"/>
      <c r="C20" s="379"/>
      <c r="D20" s="379"/>
      <c r="E20" s="379"/>
      <c r="F20" s="379"/>
      <c r="G20" s="379"/>
      <c r="H20" s="379"/>
      <c r="I20" s="379"/>
      <c r="J20" s="379"/>
      <c r="K20" s="379"/>
      <c r="L20" s="379"/>
      <c r="M20" s="380"/>
    </row>
    <row r="21" spans="1:13">
      <c r="A21" s="400"/>
      <c r="B21" s="401"/>
      <c r="C21" s="109"/>
      <c r="D21" s="109"/>
      <c r="E21" s="109"/>
      <c r="F21" s="109"/>
      <c r="G21" s="109"/>
      <c r="H21" s="109"/>
      <c r="I21" s="109"/>
      <c r="J21" s="109"/>
      <c r="K21" s="109"/>
      <c r="L21" s="109"/>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03" t="s">
        <v>78</v>
      </c>
      <c r="K25" s="408" t="s">
        <v>79</v>
      </c>
      <c r="L25" s="409"/>
      <c r="M25" s="31" t="s">
        <v>80</v>
      </c>
    </row>
    <row r="26" spans="1:13" ht="15.75" thickBot="1">
      <c r="A26" s="33"/>
      <c r="B26" s="391" t="s">
        <v>139</v>
      </c>
      <c r="C26" s="392"/>
      <c r="D26" s="392"/>
      <c r="E26" s="392"/>
      <c r="F26" s="392"/>
      <c r="G26" s="392"/>
      <c r="H26" s="392"/>
      <c r="I26" s="393"/>
      <c r="J26" s="100">
        <v>1</v>
      </c>
      <c r="K26" s="391" t="s">
        <v>9</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10" t="s">
        <v>83</v>
      </c>
      <c r="K30" s="421" t="s">
        <v>84</v>
      </c>
      <c r="L30" s="424"/>
      <c r="M30" s="44" t="s">
        <v>85</v>
      </c>
    </row>
    <row r="31" spans="1:13">
      <c r="A31" s="425" t="s">
        <v>134</v>
      </c>
      <c r="B31" s="426"/>
      <c r="C31" s="426"/>
      <c r="D31" s="426"/>
      <c r="E31" s="427"/>
      <c r="F31" s="428" t="s">
        <v>123</v>
      </c>
      <c r="G31" s="429"/>
      <c r="H31" s="430" t="s">
        <v>86</v>
      </c>
      <c r="I31" s="427"/>
      <c r="J31" s="72">
        <v>70067</v>
      </c>
      <c r="K31" s="468">
        <v>15.499233890600022</v>
      </c>
      <c r="L31" s="469"/>
      <c r="M31" s="46">
        <f>J31/K31</f>
        <v>4520.6750536550226</v>
      </c>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4520.6750536550226</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05" t="s">
        <v>79</v>
      </c>
      <c r="J37" s="110" t="s">
        <v>80</v>
      </c>
      <c r="K37" s="421" t="s">
        <v>89</v>
      </c>
      <c r="L37" s="424"/>
      <c r="M37" s="44" t="s">
        <v>85</v>
      </c>
    </row>
    <row r="38" spans="1:13">
      <c r="A38" s="425"/>
      <c r="B38" s="426"/>
      <c r="C38" s="426"/>
      <c r="D38" s="426"/>
      <c r="E38" s="426"/>
      <c r="F38" s="426"/>
      <c r="G38" s="426"/>
      <c r="H38" s="427"/>
      <c r="I38" s="73"/>
      <c r="J38" s="45"/>
      <c r="K38" s="456"/>
      <c r="L38" s="457"/>
      <c r="M38" s="56"/>
    </row>
    <row r="39" spans="1:13">
      <c r="A39" s="425"/>
      <c r="B39" s="426"/>
      <c r="C39" s="426"/>
      <c r="D39" s="426"/>
      <c r="E39" s="426"/>
      <c r="F39" s="426"/>
      <c r="G39" s="426"/>
      <c r="H39" s="427"/>
      <c r="I39" s="73"/>
      <c r="J39" s="45"/>
      <c r="K39" s="456"/>
      <c r="L39" s="457"/>
      <c r="M39" s="56"/>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ht="15.75" thickBot="1">
      <c r="A42" s="410"/>
      <c r="B42" s="411"/>
      <c r="C42" s="411"/>
      <c r="D42" s="411"/>
      <c r="E42" s="411"/>
      <c r="F42" s="411"/>
      <c r="G42" s="411"/>
      <c r="H42" s="412"/>
      <c r="I42" s="74"/>
      <c r="J42" s="57"/>
      <c r="K42" s="466"/>
      <c r="L42" s="467"/>
      <c r="M42" s="75"/>
    </row>
    <row r="43" spans="1:13" ht="15.75" thickBot="1">
      <c r="A43" s="416" t="s">
        <v>87</v>
      </c>
      <c r="B43" s="417"/>
      <c r="C43" s="417"/>
      <c r="D43" s="417"/>
      <c r="E43" s="417"/>
      <c r="F43" s="417"/>
      <c r="G43" s="417"/>
      <c r="H43" s="417"/>
      <c r="I43" s="417"/>
      <c r="J43" s="417"/>
      <c r="K43" s="417"/>
      <c r="L43" s="418"/>
      <c r="M43" s="58">
        <f>SUM(M38:M42)</f>
        <v>0</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110" t="s">
        <v>92</v>
      </c>
      <c r="I47" s="104" t="s">
        <v>93</v>
      </c>
      <c r="J47" s="60" t="s">
        <v>94</v>
      </c>
      <c r="K47" s="421" t="s">
        <v>95</v>
      </c>
      <c r="L47" s="424"/>
      <c r="M47" s="44" t="s">
        <v>85</v>
      </c>
    </row>
    <row r="48" spans="1:13">
      <c r="A48" s="425"/>
      <c r="B48" s="426"/>
      <c r="C48" s="426"/>
      <c r="D48" s="426"/>
      <c r="E48" s="426"/>
      <c r="F48" s="426"/>
      <c r="G48" s="426"/>
      <c r="H48" s="61"/>
      <c r="I48" s="55"/>
      <c r="J48" s="61"/>
      <c r="K48" s="428"/>
      <c r="L48" s="429"/>
      <c r="M48" s="62"/>
    </row>
    <row r="49" spans="1:15" ht="15.75" thickBot="1">
      <c r="A49" s="410"/>
      <c r="B49" s="411"/>
      <c r="C49" s="411"/>
      <c r="D49" s="411"/>
      <c r="E49" s="411"/>
      <c r="F49" s="411"/>
      <c r="G49" s="411"/>
      <c r="H49" s="47"/>
      <c r="I49" s="15"/>
      <c r="J49" s="47"/>
      <c r="K49" s="414"/>
      <c r="L49" s="415"/>
      <c r="M49" s="48"/>
    </row>
    <row r="50" spans="1:15" ht="15.75" thickBot="1">
      <c r="A50" s="416" t="s">
        <v>87</v>
      </c>
      <c r="B50" s="417"/>
      <c r="C50" s="417"/>
      <c r="D50" s="417"/>
      <c r="E50" s="417"/>
      <c r="F50" s="417"/>
      <c r="G50" s="417"/>
      <c r="H50" s="417"/>
      <c r="I50" s="417"/>
      <c r="J50" s="417"/>
      <c r="K50" s="417"/>
      <c r="L50" s="418"/>
      <c r="M50" s="63">
        <f>SUM(M48:M49)</f>
        <v>0</v>
      </c>
    </row>
    <row r="51" spans="1:15">
      <c r="A51" s="30"/>
      <c r="B51" s="19"/>
      <c r="C51" s="19"/>
      <c r="D51" s="19"/>
      <c r="E51" s="19"/>
      <c r="F51" s="19"/>
      <c r="G51" s="19"/>
      <c r="H51" s="19"/>
      <c r="I51" s="19"/>
      <c r="J51" s="19"/>
      <c r="K51" s="19"/>
      <c r="L51" s="19"/>
      <c r="M51" s="24"/>
    </row>
    <row r="52" spans="1:15">
      <c r="A52" s="51" t="s">
        <v>96</v>
      </c>
      <c r="B52" s="52"/>
      <c r="C52" s="52"/>
      <c r="D52" s="52"/>
      <c r="E52" s="52"/>
      <c r="F52" s="52"/>
      <c r="G52" s="52"/>
      <c r="H52" s="52"/>
      <c r="I52" s="52"/>
      <c r="J52" s="52"/>
      <c r="K52" s="52"/>
      <c r="L52" s="52"/>
      <c r="M52" s="53"/>
    </row>
    <row r="53" spans="1:15" ht="15.75" thickBot="1">
      <c r="A53" s="30"/>
      <c r="B53" s="19"/>
      <c r="C53" s="19"/>
      <c r="D53" s="19"/>
      <c r="E53" s="19"/>
      <c r="F53" s="19"/>
      <c r="G53" s="19"/>
      <c r="H53" s="19"/>
      <c r="I53" s="19"/>
      <c r="J53" s="19"/>
      <c r="K53" s="19"/>
      <c r="L53" s="19"/>
      <c r="M53" s="24"/>
    </row>
    <row r="54" spans="1:15" ht="26.25">
      <c r="A54" s="453" t="s">
        <v>97</v>
      </c>
      <c r="B54" s="454"/>
      <c r="C54" s="454"/>
      <c r="D54" s="454"/>
      <c r="E54" s="454"/>
      <c r="F54" s="454"/>
      <c r="G54" s="454"/>
      <c r="H54" s="110" t="s">
        <v>98</v>
      </c>
      <c r="I54" s="111" t="s">
        <v>99</v>
      </c>
      <c r="J54" s="111" t="s">
        <v>100</v>
      </c>
      <c r="K54" s="455" t="s">
        <v>84</v>
      </c>
      <c r="L54" s="455"/>
      <c r="M54" s="65" t="s">
        <v>85</v>
      </c>
    </row>
    <row r="55" spans="1:15" ht="15.75" thickBot="1">
      <c r="A55" s="432" t="s">
        <v>122</v>
      </c>
      <c r="B55" s="433"/>
      <c r="C55" s="433"/>
      <c r="D55" s="433"/>
      <c r="E55" s="433"/>
      <c r="F55" s="433"/>
      <c r="G55" s="433"/>
      <c r="H55" s="3">
        <v>85839.318181818162</v>
      </c>
      <c r="I55" s="4">
        <v>2.2000000000000002</v>
      </c>
      <c r="J55" s="67">
        <f>(I55*H55)</f>
        <v>188846.49999999997</v>
      </c>
      <c r="K55" s="434">
        <v>20</v>
      </c>
      <c r="L55" s="434"/>
      <c r="M55" s="68">
        <f>J55/K55</f>
        <v>9442.3249999999989</v>
      </c>
    </row>
    <row r="56" spans="1:15" ht="15.75" thickBot="1">
      <c r="A56" s="435" t="s">
        <v>87</v>
      </c>
      <c r="B56" s="436"/>
      <c r="C56" s="436"/>
      <c r="D56" s="436"/>
      <c r="E56" s="436"/>
      <c r="F56" s="436"/>
      <c r="G56" s="436"/>
      <c r="H56" s="436"/>
      <c r="I56" s="436"/>
      <c r="J56" s="436"/>
      <c r="K56" s="436"/>
      <c r="L56" s="437"/>
      <c r="M56" s="69">
        <f>SUM(M55:M55)</f>
        <v>9442.3249999999989</v>
      </c>
      <c r="O56" s="155"/>
    </row>
    <row r="57" spans="1:15" ht="15.75" thickBot="1">
      <c r="A57" s="30"/>
      <c r="B57" s="19"/>
      <c r="C57" s="19"/>
      <c r="D57" s="19"/>
      <c r="E57" s="19"/>
      <c r="F57" s="19"/>
      <c r="G57" s="19"/>
      <c r="H57" s="19"/>
      <c r="I57" s="19"/>
      <c r="J57" s="19"/>
      <c r="K57" s="19"/>
      <c r="L57" s="19"/>
      <c r="M57" s="24"/>
    </row>
    <row r="58" spans="1:15" ht="15.75" thickBot="1">
      <c r="A58" s="416" t="s">
        <v>101</v>
      </c>
      <c r="B58" s="417"/>
      <c r="C58" s="417"/>
      <c r="D58" s="417"/>
      <c r="E58" s="417"/>
      <c r="F58" s="417"/>
      <c r="G58" s="417"/>
      <c r="H58" s="417"/>
      <c r="I58" s="417"/>
      <c r="J58" s="417"/>
      <c r="K58" s="417"/>
      <c r="L58" s="418"/>
      <c r="M58" s="70">
        <f>ROUND(M56+M50+M43+M33,0)</f>
        <v>13963</v>
      </c>
      <c r="N58" s="155"/>
    </row>
    <row r="59" spans="1:15">
      <c r="A59" s="30"/>
      <c r="B59" s="19"/>
      <c r="C59" s="19"/>
      <c r="D59" s="19"/>
      <c r="E59" s="19"/>
      <c r="F59" s="19"/>
      <c r="G59" s="19"/>
      <c r="H59" s="19"/>
      <c r="I59" s="19"/>
      <c r="J59" s="19"/>
      <c r="K59" s="19"/>
      <c r="L59" s="19"/>
      <c r="M59" s="24"/>
    </row>
    <row r="60" spans="1:15">
      <c r="A60" s="51" t="s">
        <v>102</v>
      </c>
      <c r="B60" s="52"/>
      <c r="C60" s="52"/>
      <c r="D60" s="52"/>
      <c r="E60" s="52"/>
      <c r="F60" s="52"/>
      <c r="G60" s="52"/>
      <c r="H60" s="52"/>
      <c r="I60" s="52"/>
      <c r="J60" s="52"/>
      <c r="K60" s="52"/>
      <c r="L60" s="52"/>
      <c r="M60" s="53"/>
    </row>
    <row r="61" spans="1:15" ht="15.75" thickBot="1">
      <c r="A61" s="30"/>
      <c r="B61" s="19"/>
      <c r="C61" s="19"/>
      <c r="D61" s="19"/>
      <c r="E61" s="19"/>
      <c r="F61" s="19"/>
      <c r="G61" s="19"/>
      <c r="H61" s="19"/>
      <c r="I61" s="19"/>
      <c r="J61" s="19"/>
      <c r="K61" s="19"/>
      <c r="L61" s="19"/>
      <c r="M61" s="24"/>
    </row>
    <row r="62" spans="1:15" ht="15.75" thickBot="1">
      <c r="A62" s="438" t="s">
        <v>103</v>
      </c>
      <c r="B62" s="439"/>
      <c r="C62" s="439"/>
      <c r="D62" s="439"/>
      <c r="E62" s="439"/>
      <c r="F62" s="439"/>
      <c r="G62" s="439"/>
      <c r="H62" s="106"/>
      <c r="I62" s="107"/>
      <c r="J62" s="81" t="s">
        <v>104</v>
      </c>
      <c r="K62" s="440" t="s">
        <v>105</v>
      </c>
      <c r="L62" s="441"/>
      <c r="M62" s="82"/>
    </row>
    <row r="63" spans="1:15">
      <c r="A63" s="442" t="s">
        <v>106</v>
      </c>
      <c r="B63" s="443"/>
      <c r="C63" s="443"/>
      <c r="D63" s="443"/>
      <c r="E63" s="443"/>
      <c r="F63" s="443"/>
      <c r="G63" s="443"/>
      <c r="H63" s="83"/>
      <c r="I63" s="84"/>
      <c r="J63" s="85">
        <v>0.19</v>
      </c>
      <c r="K63" s="444">
        <f>M58*J63</f>
        <v>2652.9700000000003</v>
      </c>
      <c r="L63" s="444"/>
      <c r="M63" s="86"/>
    </row>
    <row r="64" spans="1:15">
      <c r="A64" s="447" t="s">
        <v>107</v>
      </c>
      <c r="B64" s="448"/>
      <c r="C64" s="448"/>
      <c r="D64" s="448"/>
      <c r="E64" s="448"/>
      <c r="F64" s="448"/>
      <c r="G64" s="449"/>
      <c r="H64" s="77"/>
      <c r="I64" s="78"/>
      <c r="J64" s="5">
        <v>0.01</v>
      </c>
      <c r="K64" s="445">
        <f>M58*J64</f>
        <v>139.63</v>
      </c>
      <c r="L64" s="445"/>
      <c r="M64" s="6"/>
    </row>
    <row r="65" spans="1:13">
      <c r="A65" s="447" t="s">
        <v>108</v>
      </c>
      <c r="B65" s="448"/>
      <c r="C65" s="448"/>
      <c r="D65" s="448"/>
      <c r="E65" s="448"/>
      <c r="F65" s="448"/>
      <c r="G65" s="449"/>
      <c r="H65" s="77"/>
      <c r="I65" s="78"/>
      <c r="J65" s="5">
        <v>0.05</v>
      </c>
      <c r="K65" s="445">
        <f>M58*J65</f>
        <v>698.15000000000009</v>
      </c>
      <c r="L65" s="445"/>
      <c r="M65" s="6"/>
    </row>
    <row r="66" spans="1:13" ht="15.75" thickBot="1">
      <c r="A66" s="450" t="s">
        <v>117</v>
      </c>
      <c r="B66" s="451"/>
      <c r="C66" s="451"/>
      <c r="D66" s="451"/>
      <c r="E66" s="451"/>
      <c r="F66" s="451"/>
      <c r="G66" s="452"/>
      <c r="H66" s="87"/>
      <c r="I66" s="88"/>
      <c r="J66" s="89">
        <v>0.19</v>
      </c>
      <c r="K66" s="446">
        <f>K65*J66</f>
        <v>132.64850000000001</v>
      </c>
      <c r="L66" s="446"/>
      <c r="M66" s="90"/>
    </row>
    <row r="67" spans="1:13" ht="15.75" thickBot="1">
      <c r="A67" s="435" t="s">
        <v>87</v>
      </c>
      <c r="B67" s="436"/>
      <c r="C67" s="436"/>
      <c r="D67" s="436"/>
      <c r="E67" s="436"/>
      <c r="F67" s="436"/>
      <c r="G67" s="436"/>
      <c r="H67" s="436"/>
      <c r="I67" s="436"/>
      <c r="J67" s="436"/>
      <c r="K67" s="436"/>
      <c r="L67" s="437"/>
      <c r="M67" s="76">
        <f>SUM(K63:L66)</f>
        <v>3623.3985000000002</v>
      </c>
    </row>
    <row r="68" spans="1:13" ht="15.75" thickBot="1">
      <c r="A68" s="30"/>
      <c r="B68" s="19"/>
      <c r="C68" s="19"/>
      <c r="D68" s="19"/>
      <c r="E68" s="19"/>
      <c r="F68" s="19"/>
      <c r="G68" s="19"/>
      <c r="H68" s="19"/>
      <c r="I68" s="19"/>
      <c r="J68" s="19"/>
      <c r="K68" s="19"/>
      <c r="L68" s="19"/>
      <c r="M68" s="24"/>
    </row>
    <row r="69" spans="1:13" ht="15.75" thickBot="1">
      <c r="A69" s="416" t="s">
        <v>109</v>
      </c>
      <c r="B69" s="417"/>
      <c r="C69" s="417"/>
      <c r="D69" s="417"/>
      <c r="E69" s="417"/>
      <c r="F69" s="417"/>
      <c r="G69" s="417"/>
      <c r="H69" s="417"/>
      <c r="I69" s="417"/>
      <c r="J69" s="417"/>
      <c r="K69" s="417"/>
      <c r="L69" s="418"/>
      <c r="M69" s="71">
        <f>ROUND(M58+M67,0)</f>
        <v>17586</v>
      </c>
    </row>
  </sheetData>
  <mergeCells count="71">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L56"/>
    <mergeCell ref="A58:L58"/>
    <mergeCell ref="A62:G62"/>
    <mergeCell ref="K62:L62"/>
    <mergeCell ref="A66:G66"/>
    <mergeCell ref="K66:L66"/>
    <mergeCell ref="A67:L67"/>
    <mergeCell ref="A69:L69"/>
    <mergeCell ref="A63:G63"/>
    <mergeCell ref="K63:L63"/>
    <mergeCell ref="A64:G64"/>
    <mergeCell ref="K64:L64"/>
    <mergeCell ref="A65:G65"/>
    <mergeCell ref="K65:L65"/>
  </mergeCells>
  <pageMargins left="0.7" right="0.7" top="0.75" bottom="0.75" header="0.3" footer="0.3"/>
  <pageSetup scale="57"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view="pageBreakPreview" topLeftCell="A49" zoomScale="80" zoomScaleNormal="100" zoomScaleSheetLayoutView="80" workbookViewId="0">
      <selection activeCell="M64" sqref="M64"/>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4.5703125" customWidth="1"/>
  </cols>
  <sheetData>
    <row r="1" spans="1:13" ht="15" customHeight="1">
      <c r="A1" s="458"/>
      <c r="B1" s="459"/>
      <c r="C1" s="459"/>
      <c r="D1" s="491" t="s">
        <v>67</v>
      </c>
      <c r="E1" s="491"/>
      <c r="F1" s="491"/>
      <c r="G1" s="491"/>
      <c r="H1" s="491"/>
      <c r="I1" s="491"/>
      <c r="J1" s="491"/>
      <c r="K1" s="493"/>
      <c r="L1" s="493"/>
      <c r="M1" s="494"/>
    </row>
    <row r="2" spans="1:13">
      <c r="A2" s="460"/>
      <c r="B2" s="389"/>
      <c r="C2" s="389"/>
      <c r="D2" s="492"/>
      <c r="E2" s="492"/>
      <c r="F2" s="492"/>
      <c r="G2" s="492"/>
      <c r="H2" s="492"/>
      <c r="I2" s="492"/>
      <c r="J2" s="492"/>
      <c r="K2" s="495"/>
      <c r="L2" s="495"/>
      <c r="M2" s="496"/>
    </row>
    <row r="3" spans="1:13">
      <c r="A3" s="460"/>
      <c r="B3" s="389"/>
      <c r="C3" s="389"/>
      <c r="D3" s="492"/>
      <c r="E3" s="492"/>
      <c r="F3" s="492"/>
      <c r="G3" s="492"/>
      <c r="H3" s="492"/>
      <c r="I3" s="492"/>
      <c r="J3" s="492"/>
      <c r="K3" s="495"/>
      <c r="L3" s="495"/>
      <c r="M3" s="496"/>
    </row>
    <row r="4" spans="1:13" ht="15" customHeight="1">
      <c r="A4" s="460"/>
      <c r="B4" s="389"/>
      <c r="C4" s="389"/>
      <c r="D4" s="389" t="s">
        <v>112</v>
      </c>
      <c r="E4" s="389"/>
      <c r="F4" s="389"/>
      <c r="G4" s="389"/>
      <c r="H4" s="389"/>
      <c r="I4" s="389"/>
      <c r="J4" s="389"/>
      <c r="K4" s="495"/>
      <c r="L4" s="495"/>
      <c r="M4" s="496"/>
    </row>
    <row r="5" spans="1:13">
      <c r="A5" s="460"/>
      <c r="B5" s="389"/>
      <c r="C5" s="389"/>
      <c r="D5" s="389"/>
      <c r="E5" s="389"/>
      <c r="F5" s="389"/>
      <c r="G5" s="389"/>
      <c r="H5" s="389"/>
      <c r="I5" s="389"/>
      <c r="J5" s="389"/>
      <c r="K5" s="495"/>
      <c r="L5" s="495"/>
      <c r="M5" s="496"/>
    </row>
    <row r="6" spans="1:13">
      <c r="A6" s="460"/>
      <c r="B6" s="389"/>
      <c r="C6" s="389"/>
      <c r="D6" s="389"/>
      <c r="E6" s="389"/>
      <c r="F6" s="389"/>
      <c r="G6" s="389"/>
      <c r="H6" s="389"/>
      <c r="I6" s="389"/>
      <c r="J6" s="389"/>
      <c r="K6" s="495"/>
      <c r="L6" s="495"/>
      <c r="M6" s="496"/>
    </row>
    <row r="7" spans="1:13" ht="15.75" thickBot="1">
      <c r="A7" s="461"/>
      <c r="B7" s="390"/>
      <c r="C7" s="390"/>
      <c r="D7" s="390"/>
      <c r="E7" s="390"/>
      <c r="F7" s="390"/>
      <c r="G7" s="390"/>
      <c r="H7" s="390"/>
      <c r="I7" s="390"/>
      <c r="J7" s="390"/>
      <c r="K7" s="497"/>
      <c r="L7" s="497"/>
      <c r="M7" s="498"/>
    </row>
    <row r="8" spans="1:13">
      <c r="A8" s="192"/>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93"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93"/>
      <c r="D17" s="193"/>
      <c r="E17" s="193"/>
      <c r="F17" s="193"/>
      <c r="G17" s="193"/>
      <c r="H17" s="193"/>
      <c r="I17" s="193"/>
      <c r="J17" s="193"/>
      <c r="K17" s="193"/>
      <c r="L17" s="193"/>
      <c r="M17" s="13"/>
    </row>
    <row r="18" spans="1:13">
      <c r="A18" s="25" t="s">
        <v>74</v>
      </c>
      <c r="B18" s="26"/>
      <c r="C18" s="379"/>
      <c r="D18" s="379"/>
      <c r="E18" s="379"/>
      <c r="F18" s="379"/>
      <c r="G18" s="379"/>
      <c r="H18" s="379"/>
      <c r="I18" s="379"/>
      <c r="J18" s="379"/>
      <c r="K18" s="379"/>
      <c r="L18" s="379"/>
      <c r="M18" s="380"/>
    </row>
    <row r="19" spans="1:13">
      <c r="A19" s="25"/>
      <c r="B19" s="26"/>
      <c r="C19" s="193"/>
      <c r="D19" s="193"/>
      <c r="E19" s="193"/>
      <c r="F19" s="193"/>
      <c r="G19" s="193"/>
      <c r="H19" s="193"/>
      <c r="I19" s="193"/>
      <c r="J19" s="193"/>
      <c r="K19" s="193"/>
      <c r="L19" s="193"/>
      <c r="M19" s="13"/>
    </row>
    <row r="20" spans="1:13" ht="31.5" customHeight="1">
      <c r="A20" s="464" t="s">
        <v>113</v>
      </c>
      <c r="B20" s="465"/>
      <c r="C20" s="379"/>
      <c r="D20" s="379"/>
      <c r="E20" s="379"/>
      <c r="F20" s="379"/>
      <c r="G20" s="379"/>
      <c r="H20" s="379"/>
      <c r="I20" s="379"/>
      <c r="J20" s="379"/>
      <c r="K20" s="379"/>
      <c r="L20" s="379"/>
      <c r="M20" s="380"/>
    </row>
    <row r="21" spans="1:13">
      <c r="A21" s="400"/>
      <c r="B21" s="401"/>
      <c r="C21" s="193"/>
      <c r="D21" s="193"/>
      <c r="E21" s="193"/>
      <c r="F21" s="193"/>
      <c r="G21" s="193"/>
      <c r="H21" s="193"/>
      <c r="I21" s="193"/>
      <c r="J21" s="193"/>
      <c r="K21" s="193"/>
      <c r="L21" s="193"/>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85" t="s">
        <v>78</v>
      </c>
      <c r="K25" s="408" t="s">
        <v>79</v>
      </c>
      <c r="L25" s="409"/>
      <c r="M25" s="31" t="s">
        <v>80</v>
      </c>
    </row>
    <row r="26" spans="1:13" ht="15.75" thickBot="1">
      <c r="A26" s="33"/>
      <c r="B26" s="391" t="s">
        <v>205</v>
      </c>
      <c r="C26" s="392"/>
      <c r="D26" s="392"/>
      <c r="E26" s="392"/>
      <c r="F26" s="392"/>
      <c r="G26" s="392"/>
      <c r="H26" s="392"/>
      <c r="I26" s="393"/>
      <c r="J26" s="184">
        <v>1</v>
      </c>
      <c r="K26" s="391" t="s">
        <v>9</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90" t="s">
        <v>83</v>
      </c>
      <c r="K30" s="421" t="s">
        <v>84</v>
      </c>
      <c r="L30" s="424"/>
      <c r="M30" s="44" t="s">
        <v>85</v>
      </c>
    </row>
    <row r="31" spans="1:13">
      <c r="A31" s="425"/>
      <c r="B31" s="426"/>
      <c r="C31" s="426"/>
      <c r="D31" s="426"/>
      <c r="E31" s="427"/>
      <c r="F31" s="428"/>
      <c r="G31" s="429"/>
      <c r="H31" s="430"/>
      <c r="I31" s="427"/>
      <c r="J31" s="72"/>
      <c r="K31" s="428"/>
      <c r="L31" s="429"/>
      <c r="M31" s="46"/>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0</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86" t="s">
        <v>79</v>
      </c>
      <c r="J37" s="190" t="s">
        <v>80</v>
      </c>
      <c r="K37" s="421" t="s">
        <v>89</v>
      </c>
      <c r="L37" s="424"/>
      <c r="M37" s="44" t="s">
        <v>85</v>
      </c>
    </row>
    <row r="38" spans="1:13">
      <c r="A38" s="425" t="s">
        <v>206</v>
      </c>
      <c r="B38" s="426"/>
      <c r="C38" s="426"/>
      <c r="D38" s="426"/>
      <c r="E38" s="426"/>
      <c r="F38" s="426"/>
      <c r="G38" s="426"/>
      <c r="H38" s="427"/>
      <c r="I38" s="73" t="s">
        <v>125</v>
      </c>
      <c r="J38" s="45">
        <v>0.03</v>
      </c>
      <c r="K38" s="456">
        <v>43012</v>
      </c>
      <c r="L38" s="457"/>
      <c r="M38" s="56">
        <f>K38*J38</f>
        <v>1290.3599999999999</v>
      </c>
    </row>
    <row r="39" spans="1:13">
      <c r="A39" s="425" t="s">
        <v>207</v>
      </c>
      <c r="B39" s="426"/>
      <c r="C39" s="426"/>
      <c r="D39" s="426"/>
      <c r="E39" s="426"/>
      <c r="F39" s="426"/>
      <c r="G39" s="426"/>
      <c r="H39" s="427"/>
      <c r="I39" s="73" t="s">
        <v>125</v>
      </c>
      <c r="J39" s="45">
        <v>0.04</v>
      </c>
      <c r="K39" s="456">
        <v>86156</v>
      </c>
      <c r="L39" s="457"/>
      <c r="M39" s="56">
        <f t="shared" ref="M39:M40" si="0">K39*J39</f>
        <v>3446.2400000000002</v>
      </c>
    </row>
    <row r="40" spans="1:13">
      <c r="A40" s="425" t="s">
        <v>183</v>
      </c>
      <c r="B40" s="426"/>
      <c r="C40" s="426"/>
      <c r="D40" s="426"/>
      <c r="E40" s="426"/>
      <c r="F40" s="426"/>
      <c r="G40" s="426"/>
      <c r="H40" s="427"/>
      <c r="I40" s="73" t="s">
        <v>115</v>
      </c>
      <c r="J40" s="45">
        <v>1.05</v>
      </c>
      <c r="K40" s="456">
        <v>1438</v>
      </c>
      <c r="L40" s="457"/>
      <c r="M40" s="56">
        <f t="shared" si="0"/>
        <v>1509.9</v>
      </c>
    </row>
    <row r="41" spans="1:13">
      <c r="A41" s="425"/>
      <c r="B41" s="426"/>
      <c r="C41" s="426"/>
      <c r="D41" s="426"/>
      <c r="E41" s="426"/>
      <c r="F41" s="426"/>
      <c r="G41" s="426"/>
      <c r="H41" s="427"/>
      <c r="I41" s="73"/>
      <c r="J41" s="45"/>
      <c r="K41" s="456"/>
      <c r="L41" s="457"/>
      <c r="M41" s="56"/>
    </row>
    <row r="42" spans="1:13">
      <c r="A42" s="425"/>
      <c r="B42" s="426"/>
      <c r="C42" s="426"/>
      <c r="D42" s="426"/>
      <c r="E42" s="426"/>
      <c r="F42" s="426"/>
      <c r="G42" s="426"/>
      <c r="H42" s="427"/>
      <c r="I42" s="73"/>
      <c r="J42" s="45"/>
      <c r="K42" s="456"/>
      <c r="L42" s="457"/>
      <c r="M42" s="56"/>
    </row>
    <row r="43" spans="1:13">
      <c r="A43" s="425"/>
      <c r="B43" s="426"/>
      <c r="C43" s="426"/>
      <c r="D43" s="426"/>
      <c r="E43" s="426"/>
      <c r="F43" s="426"/>
      <c r="G43" s="426"/>
      <c r="H43" s="427"/>
      <c r="I43" s="73"/>
      <c r="J43" s="45"/>
      <c r="K43" s="456"/>
      <c r="L43" s="457"/>
      <c r="M43" s="56"/>
    </row>
    <row r="44" spans="1:13">
      <c r="A44" s="425"/>
      <c r="B44" s="426"/>
      <c r="C44" s="426"/>
      <c r="D44" s="426"/>
      <c r="E44" s="426"/>
      <c r="F44" s="426"/>
      <c r="G44" s="426"/>
      <c r="H44" s="427"/>
      <c r="I44" s="73"/>
      <c r="J44" s="45"/>
      <c r="K44" s="456"/>
      <c r="L44" s="457"/>
      <c r="M44" s="56"/>
    </row>
    <row r="45" spans="1:13">
      <c r="A45" s="425"/>
      <c r="B45" s="426"/>
      <c r="C45" s="426"/>
      <c r="D45" s="426"/>
      <c r="E45" s="426"/>
      <c r="F45" s="426"/>
      <c r="G45" s="426"/>
      <c r="H45" s="427"/>
      <c r="I45" s="73"/>
      <c r="J45" s="45"/>
      <c r="K45" s="456"/>
      <c r="L45" s="457"/>
      <c r="M45" s="56"/>
    </row>
    <row r="46" spans="1:13" ht="15.75" thickBot="1">
      <c r="A46" s="410"/>
      <c r="B46" s="411"/>
      <c r="C46" s="411"/>
      <c r="D46" s="411"/>
      <c r="E46" s="411"/>
      <c r="F46" s="411"/>
      <c r="G46" s="411"/>
      <c r="H46" s="412"/>
      <c r="I46" s="74"/>
      <c r="J46" s="57"/>
      <c r="K46" s="466"/>
      <c r="L46" s="467"/>
      <c r="M46" s="75"/>
    </row>
    <row r="47" spans="1:13" ht="15.75" thickBot="1">
      <c r="A47" s="416" t="s">
        <v>87</v>
      </c>
      <c r="B47" s="417"/>
      <c r="C47" s="417"/>
      <c r="D47" s="417"/>
      <c r="E47" s="417"/>
      <c r="F47" s="417"/>
      <c r="G47" s="417"/>
      <c r="H47" s="417"/>
      <c r="I47" s="417"/>
      <c r="J47" s="417"/>
      <c r="K47" s="417"/>
      <c r="L47" s="418"/>
      <c r="M47" s="58">
        <f>SUM(M38:M46)</f>
        <v>6246.5</v>
      </c>
    </row>
    <row r="48" spans="1:13">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190" t="s">
        <v>92</v>
      </c>
      <c r="I51" s="187" t="s">
        <v>93</v>
      </c>
      <c r="J51" s="60" t="s">
        <v>94</v>
      </c>
      <c r="K51" s="421" t="s">
        <v>95</v>
      </c>
      <c r="L51" s="424"/>
      <c r="M51" s="44" t="s">
        <v>85</v>
      </c>
    </row>
    <row r="52" spans="1:14">
      <c r="A52" s="425"/>
      <c r="B52" s="426"/>
      <c r="C52" s="426"/>
      <c r="D52" s="426"/>
      <c r="E52" s="426"/>
      <c r="F52" s="426"/>
      <c r="G52" s="426"/>
      <c r="H52" s="61"/>
      <c r="I52" s="55"/>
      <c r="J52" s="61"/>
      <c r="K52" s="428"/>
      <c r="L52" s="429"/>
    </row>
    <row r="53" spans="1:14" ht="15.75" thickBot="1">
      <c r="A53" s="410"/>
      <c r="B53" s="411"/>
      <c r="C53" s="411"/>
      <c r="D53" s="411"/>
      <c r="E53" s="411"/>
      <c r="F53" s="411"/>
      <c r="G53" s="411"/>
      <c r="H53" s="47"/>
      <c r="I53" s="15"/>
      <c r="J53" s="47"/>
      <c r="K53" s="414"/>
      <c r="L53" s="415"/>
      <c r="M53" s="62"/>
    </row>
    <row r="54" spans="1:14" ht="15.75" thickBot="1">
      <c r="A54" s="416" t="s">
        <v>87</v>
      </c>
      <c r="B54" s="417"/>
      <c r="C54" s="417"/>
      <c r="D54" s="417"/>
      <c r="E54" s="417"/>
      <c r="F54" s="417"/>
      <c r="G54" s="417"/>
      <c r="H54" s="417"/>
      <c r="I54" s="417"/>
      <c r="J54" s="417"/>
      <c r="K54" s="417"/>
      <c r="L54" s="418"/>
      <c r="M54" s="63">
        <f>SUM(M53:M53)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190" t="s">
        <v>98</v>
      </c>
      <c r="I58" s="191" t="s">
        <v>99</v>
      </c>
      <c r="J58" s="191" t="s">
        <v>100</v>
      </c>
      <c r="K58" s="455" t="s">
        <v>84</v>
      </c>
      <c r="L58" s="455"/>
      <c r="M58" s="65" t="s">
        <v>85</v>
      </c>
    </row>
    <row r="59" spans="1:14">
      <c r="A59" s="471" t="s">
        <v>204</v>
      </c>
      <c r="B59" s="472"/>
      <c r="C59" s="472"/>
      <c r="D59" s="472"/>
      <c r="E59" s="472"/>
      <c r="F59" s="472"/>
      <c r="G59" s="472"/>
      <c r="H59" s="1">
        <v>118472</v>
      </c>
      <c r="I59" s="2">
        <v>2.2000000000000002</v>
      </c>
      <c r="J59" s="66">
        <f>(I59*H59)</f>
        <v>260638.40000000002</v>
      </c>
      <c r="K59" s="473">
        <v>24.118669255630774</v>
      </c>
      <c r="L59" s="473"/>
      <c r="M59" s="56">
        <f>J59/K59</f>
        <v>10806.500028568162</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10806.500028568162</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ROUND(M62+M54+M47+M33,0)</f>
        <v>17053</v>
      </c>
      <c r="N64" s="155"/>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188"/>
      <c r="I68" s="189"/>
      <c r="J68" s="81" t="s">
        <v>104</v>
      </c>
      <c r="K68" s="440" t="s">
        <v>105</v>
      </c>
      <c r="L68" s="441"/>
      <c r="M68" s="82"/>
    </row>
    <row r="69" spans="1:13">
      <c r="A69" s="442" t="s">
        <v>106</v>
      </c>
      <c r="B69" s="443"/>
      <c r="C69" s="443"/>
      <c r="D69" s="443"/>
      <c r="E69" s="443"/>
      <c r="F69" s="443"/>
      <c r="G69" s="443"/>
      <c r="H69" s="83"/>
      <c r="I69" s="84"/>
      <c r="J69" s="85">
        <v>0.19</v>
      </c>
      <c r="K69" s="444">
        <f>M64*J69</f>
        <v>3240.07</v>
      </c>
      <c r="L69" s="444"/>
      <c r="M69" s="86"/>
    </row>
    <row r="70" spans="1:13">
      <c r="A70" s="447" t="s">
        <v>107</v>
      </c>
      <c r="B70" s="448"/>
      <c r="C70" s="448"/>
      <c r="D70" s="448"/>
      <c r="E70" s="448"/>
      <c r="F70" s="448"/>
      <c r="G70" s="449"/>
      <c r="H70" s="77"/>
      <c r="I70" s="78"/>
      <c r="J70" s="5">
        <v>0.01</v>
      </c>
      <c r="K70" s="445">
        <f>M64*J70</f>
        <v>170.53</v>
      </c>
      <c r="L70" s="445"/>
      <c r="M70" s="6"/>
    </row>
    <row r="71" spans="1:13">
      <c r="A71" s="447" t="s">
        <v>108</v>
      </c>
      <c r="B71" s="448"/>
      <c r="C71" s="448"/>
      <c r="D71" s="448"/>
      <c r="E71" s="448"/>
      <c r="F71" s="448"/>
      <c r="G71" s="449"/>
      <c r="H71" s="77"/>
      <c r="I71" s="78"/>
      <c r="J71" s="5">
        <v>0.05</v>
      </c>
      <c r="K71" s="445">
        <f>M64*J71</f>
        <v>852.65000000000009</v>
      </c>
      <c r="L71" s="445"/>
      <c r="M71" s="6"/>
    </row>
    <row r="72" spans="1:13" ht="15.75" thickBot="1">
      <c r="A72" s="450" t="s">
        <v>117</v>
      </c>
      <c r="B72" s="451"/>
      <c r="C72" s="451"/>
      <c r="D72" s="451"/>
      <c r="E72" s="451"/>
      <c r="F72" s="451"/>
      <c r="G72" s="452"/>
      <c r="H72" s="87"/>
      <c r="I72" s="88"/>
      <c r="J72" s="89">
        <v>0.19</v>
      </c>
      <c r="K72" s="446">
        <f>K71*J72</f>
        <v>162.00350000000003</v>
      </c>
      <c r="L72" s="446"/>
      <c r="M72" s="90"/>
    </row>
    <row r="73" spans="1:13" ht="15.75" thickBot="1">
      <c r="A73" s="435" t="s">
        <v>87</v>
      </c>
      <c r="B73" s="436"/>
      <c r="C73" s="436"/>
      <c r="D73" s="436"/>
      <c r="E73" s="436"/>
      <c r="F73" s="436"/>
      <c r="G73" s="436"/>
      <c r="H73" s="436"/>
      <c r="I73" s="436"/>
      <c r="J73" s="436"/>
      <c r="K73" s="436"/>
      <c r="L73" s="437"/>
      <c r="M73" s="76">
        <f>SUM(K69:L72)</f>
        <v>4425.2534999999998</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21478</v>
      </c>
    </row>
  </sheetData>
  <mergeCells count="83">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61:G61"/>
    <mergeCell ref="K61:L61"/>
    <mergeCell ref="A62:L62"/>
    <mergeCell ref="A64:L64"/>
    <mergeCell ref="A68:G68"/>
    <mergeCell ref="K68:L68"/>
    <mergeCell ref="A72:G72"/>
    <mergeCell ref="K72:L72"/>
    <mergeCell ref="A73:L73"/>
    <mergeCell ref="A75:L75"/>
    <mergeCell ref="A69:G69"/>
    <mergeCell ref="K69:L69"/>
    <mergeCell ref="A70:G70"/>
    <mergeCell ref="K70:L70"/>
    <mergeCell ref="A71:G71"/>
    <mergeCell ref="K71:L71"/>
  </mergeCells>
  <pageMargins left="0.7" right="0.7" top="0.75" bottom="0.75" header="0.3" footer="0.3"/>
  <pageSetup scale="56"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view="pageBreakPreview" topLeftCell="A46" zoomScale="80" zoomScaleNormal="100" zoomScaleSheetLayoutView="80" workbookViewId="0">
      <selection activeCell="M65" sqref="M65"/>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4.5703125" customWidth="1"/>
  </cols>
  <sheetData>
    <row r="1" spans="1:13" ht="15" customHeight="1">
      <c r="A1" s="458"/>
      <c r="B1" s="459"/>
      <c r="C1" s="459"/>
      <c r="D1" s="491" t="s">
        <v>67</v>
      </c>
      <c r="E1" s="491"/>
      <c r="F1" s="491"/>
      <c r="G1" s="491"/>
      <c r="H1" s="491"/>
      <c r="I1" s="491"/>
      <c r="J1" s="491"/>
      <c r="K1" s="493"/>
      <c r="L1" s="493"/>
      <c r="M1" s="494"/>
    </row>
    <row r="2" spans="1:13">
      <c r="A2" s="460"/>
      <c r="B2" s="389"/>
      <c r="C2" s="389"/>
      <c r="D2" s="492"/>
      <c r="E2" s="492"/>
      <c r="F2" s="492"/>
      <c r="G2" s="492"/>
      <c r="H2" s="492"/>
      <c r="I2" s="492"/>
      <c r="J2" s="492"/>
      <c r="K2" s="495"/>
      <c r="L2" s="495"/>
      <c r="M2" s="496"/>
    </row>
    <row r="3" spans="1:13">
      <c r="A3" s="460"/>
      <c r="B3" s="389"/>
      <c r="C3" s="389"/>
      <c r="D3" s="492"/>
      <c r="E3" s="492"/>
      <c r="F3" s="492"/>
      <c r="G3" s="492"/>
      <c r="H3" s="492"/>
      <c r="I3" s="492"/>
      <c r="J3" s="492"/>
      <c r="K3" s="495"/>
      <c r="L3" s="495"/>
      <c r="M3" s="496"/>
    </row>
    <row r="4" spans="1:13" ht="15" customHeight="1">
      <c r="A4" s="460"/>
      <c r="B4" s="389"/>
      <c r="C4" s="389"/>
      <c r="D4" s="389" t="s">
        <v>112</v>
      </c>
      <c r="E4" s="389"/>
      <c r="F4" s="389"/>
      <c r="G4" s="389"/>
      <c r="H4" s="389"/>
      <c r="I4" s="389"/>
      <c r="J4" s="389"/>
      <c r="K4" s="495"/>
      <c r="L4" s="495"/>
      <c r="M4" s="496"/>
    </row>
    <row r="5" spans="1:13">
      <c r="A5" s="460"/>
      <c r="B5" s="389"/>
      <c r="C5" s="389"/>
      <c r="D5" s="389"/>
      <c r="E5" s="389"/>
      <c r="F5" s="389"/>
      <c r="G5" s="389"/>
      <c r="H5" s="389"/>
      <c r="I5" s="389"/>
      <c r="J5" s="389"/>
      <c r="K5" s="495"/>
      <c r="L5" s="495"/>
      <c r="M5" s="496"/>
    </row>
    <row r="6" spans="1:13">
      <c r="A6" s="460"/>
      <c r="B6" s="389"/>
      <c r="C6" s="389"/>
      <c r="D6" s="389"/>
      <c r="E6" s="389"/>
      <c r="F6" s="389"/>
      <c r="G6" s="389"/>
      <c r="H6" s="389"/>
      <c r="I6" s="389"/>
      <c r="J6" s="389"/>
      <c r="K6" s="495"/>
      <c r="L6" s="495"/>
      <c r="M6" s="496"/>
    </row>
    <row r="7" spans="1:13" ht="15.75" thickBot="1">
      <c r="A7" s="461"/>
      <c r="B7" s="390"/>
      <c r="C7" s="390"/>
      <c r="D7" s="390"/>
      <c r="E7" s="390"/>
      <c r="F7" s="390"/>
      <c r="G7" s="390"/>
      <c r="H7" s="390"/>
      <c r="I7" s="390"/>
      <c r="J7" s="390"/>
      <c r="K7" s="497"/>
      <c r="L7" s="497"/>
      <c r="M7" s="498"/>
    </row>
    <row r="8" spans="1:13">
      <c r="A8" s="192"/>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93"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93"/>
      <c r="D17" s="193"/>
      <c r="E17" s="193"/>
      <c r="F17" s="193"/>
      <c r="G17" s="193"/>
      <c r="H17" s="193"/>
      <c r="I17" s="193"/>
      <c r="J17" s="193"/>
      <c r="K17" s="193"/>
      <c r="L17" s="193"/>
      <c r="M17" s="13"/>
    </row>
    <row r="18" spans="1:13">
      <c r="A18" s="25" t="s">
        <v>74</v>
      </c>
      <c r="B18" s="26"/>
      <c r="C18" s="379"/>
      <c r="D18" s="379"/>
      <c r="E18" s="379"/>
      <c r="F18" s="379"/>
      <c r="G18" s="379"/>
      <c r="H18" s="379"/>
      <c r="I18" s="379"/>
      <c r="J18" s="379"/>
      <c r="K18" s="379"/>
      <c r="L18" s="379"/>
      <c r="M18" s="380"/>
    </row>
    <row r="19" spans="1:13">
      <c r="A19" s="25"/>
      <c r="B19" s="26"/>
      <c r="C19" s="193"/>
      <c r="D19" s="193"/>
      <c r="E19" s="193"/>
      <c r="F19" s="193"/>
      <c r="G19" s="193"/>
      <c r="H19" s="193"/>
      <c r="I19" s="193"/>
      <c r="J19" s="193"/>
      <c r="K19" s="193"/>
      <c r="L19" s="193"/>
      <c r="M19" s="13"/>
    </row>
    <row r="20" spans="1:13" ht="31.5" customHeight="1">
      <c r="A20" s="464" t="s">
        <v>113</v>
      </c>
      <c r="B20" s="465"/>
      <c r="C20" s="379"/>
      <c r="D20" s="379"/>
      <c r="E20" s="379"/>
      <c r="F20" s="379"/>
      <c r="G20" s="379"/>
      <c r="H20" s="379"/>
      <c r="I20" s="379"/>
      <c r="J20" s="379"/>
      <c r="K20" s="379"/>
      <c r="L20" s="379"/>
      <c r="M20" s="380"/>
    </row>
    <row r="21" spans="1:13">
      <c r="A21" s="400"/>
      <c r="B21" s="401"/>
      <c r="C21" s="193"/>
      <c r="D21" s="193"/>
      <c r="E21" s="193"/>
      <c r="F21" s="193"/>
      <c r="G21" s="193"/>
      <c r="H21" s="193"/>
      <c r="I21" s="193"/>
      <c r="J21" s="193"/>
      <c r="K21" s="193"/>
      <c r="L21" s="193"/>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85" t="s">
        <v>78</v>
      </c>
      <c r="K25" s="408" t="s">
        <v>79</v>
      </c>
      <c r="L25" s="409"/>
      <c r="M25" s="31" t="s">
        <v>80</v>
      </c>
    </row>
    <row r="26" spans="1:13" ht="15.75" thickBot="1">
      <c r="A26" s="33"/>
      <c r="B26" s="391" t="s">
        <v>208</v>
      </c>
      <c r="C26" s="392"/>
      <c r="D26" s="392"/>
      <c r="E26" s="392"/>
      <c r="F26" s="392"/>
      <c r="G26" s="392"/>
      <c r="H26" s="392"/>
      <c r="I26" s="393"/>
      <c r="J26" s="184">
        <v>1</v>
      </c>
      <c r="K26" s="391" t="s">
        <v>9</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90" t="s">
        <v>83</v>
      </c>
      <c r="K30" s="421" t="s">
        <v>84</v>
      </c>
      <c r="L30" s="424"/>
      <c r="M30" s="44" t="s">
        <v>85</v>
      </c>
    </row>
    <row r="31" spans="1:13">
      <c r="A31" s="425" t="s">
        <v>209</v>
      </c>
      <c r="B31" s="426"/>
      <c r="C31" s="426"/>
      <c r="D31" s="426"/>
      <c r="E31" s="427"/>
      <c r="F31" s="428" t="s">
        <v>210</v>
      </c>
      <c r="G31" s="429"/>
      <c r="H31" s="430" t="s">
        <v>211</v>
      </c>
      <c r="I31" s="427"/>
      <c r="J31" s="72">
        <v>49980</v>
      </c>
      <c r="K31" s="428">
        <v>0.02</v>
      </c>
      <c r="L31" s="429"/>
      <c r="M31" s="46">
        <f>K31*J31</f>
        <v>999.6</v>
      </c>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999.6</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86" t="s">
        <v>79</v>
      </c>
      <c r="J37" s="190" t="s">
        <v>80</v>
      </c>
      <c r="K37" s="421" t="s">
        <v>89</v>
      </c>
      <c r="L37" s="424"/>
      <c r="M37" s="44" t="s">
        <v>85</v>
      </c>
    </row>
    <row r="38" spans="1:13">
      <c r="A38" s="425" t="s">
        <v>212</v>
      </c>
      <c r="B38" s="426"/>
      <c r="C38" s="426"/>
      <c r="D38" s="426"/>
      <c r="E38" s="426"/>
      <c r="F38" s="426"/>
      <c r="G38" s="426"/>
      <c r="H38" s="427"/>
      <c r="I38" s="73" t="s">
        <v>127</v>
      </c>
      <c r="J38" s="45">
        <v>0.08</v>
      </c>
      <c r="K38" s="456">
        <v>5034</v>
      </c>
      <c r="L38" s="457"/>
      <c r="M38" s="56">
        <f>K38*J38</f>
        <v>402.72</v>
      </c>
    </row>
    <row r="39" spans="1:13">
      <c r="A39" s="425" t="s">
        <v>129</v>
      </c>
      <c r="B39" s="426"/>
      <c r="C39" s="426"/>
      <c r="D39" s="426"/>
      <c r="E39" s="426"/>
      <c r="F39" s="426"/>
      <c r="G39" s="426"/>
      <c r="H39" s="427"/>
      <c r="I39" s="73" t="s">
        <v>127</v>
      </c>
      <c r="J39" s="45">
        <v>2</v>
      </c>
      <c r="K39" s="456">
        <v>58</v>
      </c>
      <c r="L39" s="457"/>
      <c r="M39" s="56">
        <f t="shared" ref="M39:M40" si="0">K39*J39</f>
        <v>116</v>
      </c>
    </row>
    <row r="40" spans="1:13">
      <c r="A40" s="425"/>
      <c r="B40" s="426"/>
      <c r="C40" s="426"/>
      <c r="D40" s="426"/>
      <c r="E40" s="426"/>
      <c r="F40" s="426"/>
      <c r="G40" s="426"/>
      <c r="H40" s="427"/>
      <c r="I40" s="73"/>
      <c r="J40" s="45"/>
      <c r="K40" s="456"/>
      <c r="L40" s="457"/>
      <c r="M40" s="56">
        <f t="shared" si="0"/>
        <v>0</v>
      </c>
    </row>
    <row r="41" spans="1:13">
      <c r="A41" s="425"/>
      <c r="B41" s="426"/>
      <c r="C41" s="426"/>
      <c r="D41" s="426"/>
      <c r="E41" s="426"/>
      <c r="F41" s="426"/>
      <c r="G41" s="426"/>
      <c r="H41" s="427"/>
      <c r="I41" s="73"/>
      <c r="J41" s="45"/>
      <c r="K41" s="456"/>
      <c r="L41" s="457"/>
      <c r="M41" s="56"/>
    </row>
    <row r="42" spans="1:13">
      <c r="A42" s="425"/>
      <c r="B42" s="426"/>
      <c r="C42" s="426"/>
      <c r="D42" s="426"/>
      <c r="E42" s="426"/>
      <c r="F42" s="426"/>
      <c r="G42" s="426"/>
      <c r="H42" s="427"/>
      <c r="I42" s="73"/>
      <c r="J42" s="45"/>
      <c r="K42" s="456"/>
      <c r="L42" s="457"/>
      <c r="M42" s="56"/>
    </row>
    <row r="43" spans="1:13">
      <c r="A43" s="425"/>
      <c r="B43" s="426"/>
      <c r="C43" s="426"/>
      <c r="D43" s="426"/>
      <c r="E43" s="426"/>
      <c r="F43" s="426"/>
      <c r="G43" s="426"/>
      <c r="H43" s="427"/>
      <c r="I43" s="73"/>
      <c r="J43" s="45"/>
      <c r="K43" s="456"/>
      <c r="L43" s="457"/>
      <c r="M43" s="56"/>
    </row>
    <row r="44" spans="1:13">
      <c r="A44" s="425"/>
      <c r="B44" s="426"/>
      <c r="C44" s="426"/>
      <c r="D44" s="426"/>
      <c r="E44" s="426"/>
      <c r="F44" s="426"/>
      <c r="G44" s="426"/>
      <c r="H44" s="427"/>
      <c r="I44" s="73"/>
      <c r="J44" s="45"/>
      <c r="K44" s="456"/>
      <c r="L44" s="457"/>
      <c r="M44" s="56"/>
    </row>
    <row r="45" spans="1:13">
      <c r="A45" s="425"/>
      <c r="B45" s="426"/>
      <c r="C45" s="426"/>
      <c r="D45" s="426"/>
      <c r="E45" s="426"/>
      <c r="F45" s="426"/>
      <c r="G45" s="426"/>
      <c r="H45" s="427"/>
      <c r="I45" s="73"/>
      <c r="J45" s="45"/>
      <c r="K45" s="456"/>
      <c r="L45" s="457"/>
      <c r="M45" s="56"/>
    </row>
    <row r="46" spans="1:13" ht="15.75" thickBot="1">
      <c r="A46" s="410"/>
      <c r="B46" s="411"/>
      <c r="C46" s="411"/>
      <c r="D46" s="411"/>
      <c r="E46" s="411"/>
      <c r="F46" s="411"/>
      <c r="G46" s="411"/>
      <c r="H46" s="412"/>
      <c r="I46" s="74"/>
      <c r="J46" s="57"/>
      <c r="K46" s="466"/>
      <c r="L46" s="467"/>
      <c r="M46" s="75"/>
    </row>
    <row r="47" spans="1:13" ht="15.75" thickBot="1">
      <c r="A47" s="416" t="s">
        <v>87</v>
      </c>
      <c r="B47" s="417"/>
      <c r="C47" s="417"/>
      <c r="D47" s="417"/>
      <c r="E47" s="417"/>
      <c r="F47" s="417"/>
      <c r="G47" s="417"/>
      <c r="H47" s="417"/>
      <c r="I47" s="417"/>
      <c r="J47" s="417"/>
      <c r="K47" s="417"/>
      <c r="L47" s="418"/>
      <c r="M47" s="58">
        <f>SUM(M38:M46)</f>
        <v>518.72</v>
      </c>
    </row>
    <row r="48" spans="1:13">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190" t="s">
        <v>92</v>
      </c>
      <c r="I51" s="187" t="s">
        <v>93</v>
      </c>
      <c r="J51" s="60" t="s">
        <v>94</v>
      </c>
      <c r="K51" s="421" t="s">
        <v>95</v>
      </c>
      <c r="L51" s="424"/>
      <c r="M51" s="44" t="s">
        <v>85</v>
      </c>
    </row>
    <row r="52" spans="1:14">
      <c r="A52" s="425"/>
      <c r="B52" s="426"/>
      <c r="C52" s="426"/>
      <c r="D52" s="426"/>
      <c r="E52" s="426"/>
      <c r="F52" s="426"/>
      <c r="G52" s="426"/>
      <c r="H52" s="61"/>
      <c r="I52" s="55"/>
      <c r="J52" s="61"/>
      <c r="K52" s="428"/>
      <c r="L52" s="429"/>
    </row>
    <row r="53" spans="1:14" ht="15.75" thickBot="1">
      <c r="A53" s="410"/>
      <c r="B53" s="411"/>
      <c r="C53" s="411"/>
      <c r="D53" s="411"/>
      <c r="E53" s="411"/>
      <c r="F53" s="411"/>
      <c r="G53" s="411"/>
      <c r="H53" s="47"/>
      <c r="I53" s="15"/>
      <c r="J53" s="47"/>
      <c r="K53" s="414"/>
      <c r="L53" s="415"/>
      <c r="M53" s="62"/>
    </row>
    <row r="54" spans="1:14" ht="15.75" thickBot="1">
      <c r="A54" s="416" t="s">
        <v>87</v>
      </c>
      <c r="B54" s="417"/>
      <c r="C54" s="417"/>
      <c r="D54" s="417"/>
      <c r="E54" s="417"/>
      <c r="F54" s="417"/>
      <c r="G54" s="417"/>
      <c r="H54" s="417"/>
      <c r="I54" s="417"/>
      <c r="J54" s="417"/>
      <c r="K54" s="417"/>
      <c r="L54" s="418"/>
      <c r="M54" s="63">
        <f>SUM(M53:M53)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190" t="s">
        <v>98</v>
      </c>
      <c r="I58" s="191" t="s">
        <v>99</v>
      </c>
      <c r="J58" s="191" t="s">
        <v>100</v>
      </c>
      <c r="K58" s="455" t="s">
        <v>84</v>
      </c>
      <c r="L58" s="455"/>
      <c r="M58" s="65" t="s">
        <v>85</v>
      </c>
    </row>
    <row r="59" spans="1:14" ht="15.75" thickBot="1">
      <c r="A59" s="432" t="s">
        <v>116</v>
      </c>
      <c r="B59" s="433"/>
      <c r="C59" s="433"/>
      <c r="D59" s="433"/>
      <c r="E59" s="433"/>
      <c r="F59" s="433"/>
      <c r="G59" s="433"/>
      <c r="H59" s="3">
        <f>85839.3181818182/2</f>
        <v>42919.659090909103</v>
      </c>
      <c r="I59" s="4">
        <v>2.2000000000000002</v>
      </c>
      <c r="J59" s="67">
        <f>(I59*H59)</f>
        <v>94423.250000000029</v>
      </c>
      <c r="K59" s="434">
        <v>17.506275857089069</v>
      </c>
      <c r="L59" s="434"/>
      <c r="M59" s="68">
        <f>J59/K59</f>
        <v>5393.6800020070441</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5393.6800020070441</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ROUND(M62+M54+M47+M33,0)</f>
        <v>6912</v>
      </c>
      <c r="N64" s="155"/>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188"/>
      <c r="I68" s="189"/>
      <c r="J68" s="81" t="s">
        <v>104</v>
      </c>
      <c r="K68" s="440" t="s">
        <v>105</v>
      </c>
      <c r="L68" s="441"/>
      <c r="M68" s="82"/>
    </row>
    <row r="69" spans="1:13">
      <c r="A69" s="442" t="s">
        <v>106</v>
      </c>
      <c r="B69" s="443"/>
      <c r="C69" s="443"/>
      <c r="D69" s="443"/>
      <c r="E69" s="443"/>
      <c r="F69" s="443"/>
      <c r="G69" s="443"/>
      <c r="H69" s="83"/>
      <c r="I69" s="84"/>
      <c r="J69" s="85">
        <v>0.19</v>
      </c>
      <c r="K69" s="444">
        <f>M64*J69</f>
        <v>1313.28</v>
      </c>
      <c r="L69" s="444"/>
      <c r="M69" s="86"/>
    </row>
    <row r="70" spans="1:13">
      <c r="A70" s="447" t="s">
        <v>107</v>
      </c>
      <c r="B70" s="448"/>
      <c r="C70" s="448"/>
      <c r="D70" s="448"/>
      <c r="E70" s="448"/>
      <c r="F70" s="448"/>
      <c r="G70" s="449"/>
      <c r="H70" s="77"/>
      <c r="I70" s="78"/>
      <c r="J70" s="5">
        <v>0.01</v>
      </c>
      <c r="K70" s="445">
        <f>M64*J70</f>
        <v>69.12</v>
      </c>
      <c r="L70" s="445"/>
      <c r="M70" s="6"/>
    </row>
    <row r="71" spans="1:13">
      <c r="A71" s="447" t="s">
        <v>108</v>
      </c>
      <c r="B71" s="448"/>
      <c r="C71" s="448"/>
      <c r="D71" s="448"/>
      <c r="E71" s="448"/>
      <c r="F71" s="448"/>
      <c r="G71" s="449"/>
      <c r="H71" s="77"/>
      <c r="I71" s="78"/>
      <c r="J71" s="5">
        <v>0.05</v>
      </c>
      <c r="K71" s="445">
        <f>M64*J71</f>
        <v>345.6</v>
      </c>
      <c r="L71" s="445"/>
      <c r="M71" s="6"/>
    </row>
    <row r="72" spans="1:13" ht="15.75" thickBot="1">
      <c r="A72" s="450" t="s">
        <v>117</v>
      </c>
      <c r="B72" s="451"/>
      <c r="C72" s="451"/>
      <c r="D72" s="451"/>
      <c r="E72" s="451"/>
      <c r="F72" s="451"/>
      <c r="G72" s="452"/>
      <c r="H72" s="87"/>
      <c r="I72" s="88"/>
      <c r="J72" s="89">
        <v>0.19</v>
      </c>
      <c r="K72" s="446">
        <f>K71*J72</f>
        <v>65.664000000000001</v>
      </c>
      <c r="L72" s="446"/>
      <c r="M72" s="90"/>
    </row>
    <row r="73" spans="1:13" ht="15.75" thickBot="1">
      <c r="A73" s="435" t="s">
        <v>87</v>
      </c>
      <c r="B73" s="436"/>
      <c r="C73" s="436"/>
      <c r="D73" s="436"/>
      <c r="E73" s="436"/>
      <c r="F73" s="436"/>
      <c r="G73" s="436"/>
      <c r="H73" s="436"/>
      <c r="I73" s="436"/>
      <c r="J73" s="436"/>
      <c r="K73" s="436"/>
      <c r="L73" s="437"/>
      <c r="M73" s="76">
        <f>SUM(K69:L72)</f>
        <v>1793.664</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8706</v>
      </c>
    </row>
  </sheetData>
  <mergeCells count="83">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61:G61"/>
    <mergeCell ref="K61:L61"/>
    <mergeCell ref="A62:L62"/>
    <mergeCell ref="A64:L64"/>
    <mergeCell ref="A68:G68"/>
    <mergeCell ref="K68:L68"/>
    <mergeCell ref="A72:G72"/>
    <mergeCell ref="K72:L72"/>
    <mergeCell ref="A73:L73"/>
    <mergeCell ref="A75:L75"/>
    <mergeCell ref="A69:G69"/>
    <mergeCell ref="K69:L69"/>
    <mergeCell ref="A70:G70"/>
    <mergeCell ref="K70:L70"/>
    <mergeCell ref="A71:G71"/>
    <mergeCell ref="K71:L71"/>
  </mergeCells>
  <pageMargins left="0.7" right="0.7" top="0.75" bottom="0.75" header="0.3" footer="0.3"/>
  <pageSetup scale="56"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view="pageBreakPreview" topLeftCell="A45" zoomScale="80" zoomScaleNormal="100" zoomScaleSheetLayoutView="80" workbookViewId="0">
      <selection activeCell="M65" sqref="M65"/>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4.5703125" customWidth="1"/>
  </cols>
  <sheetData>
    <row r="1" spans="1:13" ht="15" customHeight="1">
      <c r="A1" s="458"/>
      <c r="B1" s="459"/>
      <c r="C1" s="459"/>
      <c r="D1" s="491" t="s">
        <v>67</v>
      </c>
      <c r="E1" s="491"/>
      <c r="F1" s="491"/>
      <c r="G1" s="491"/>
      <c r="H1" s="491"/>
      <c r="I1" s="491"/>
      <c r="J1" s="491"/>
      <c r="K1" s="493"/>
      <c r="L1" s="493"/>
      <c r="M1" s="494"/>
    </row>
    <row r="2" spans="1:13">
      <c r="A2" s="460"/>
      <c r="B2" s="389"/>
      <c r="C2" s="389"/>
      <c r="D2" s="492"/>
      <c r="E2" s="492"/>
      <c r="F2" s="492"/>
      <c r="G2" s="492"/>
      <c r="H2" s="492"/>
      <c r="I2" s="492"/>
      <c r="J2" s="492"/>
      <c r="K2" s="495"/>
      <c r="L2" s="495"/>
      <c r="M2" s="496"/>
    </row>
    <row r="3" spans="1:13">
      <c r="A3" s="460"/>
      <c r="B3" s="389"/>
      <c r="C3" s="389"/>
      <c r="D3" s="492"/>
      <c r="E3" s="492"/>
      <c r="F3" s="492"/>
      <c r="G3" s="492"/>
      <c r="H3" s="492"/>
      <c r="I3" s="492"/>
      <c r="J3" s="492"/>
      <c r="K3" s="495"/>
      <c r="L3" s="495"/>
      <c r="M3" s="496"/>
    </row>
    <row r="4" spans="1:13" ht="15" customHeight="1">
      <c r="A4" s="460"/>
      <c r="B4" s="389"/>
      <c r="C4" s="389"/>
      <c r="D4" s="389" t="s">
        <v>112</v>
      </c>
      <c r="E4" s="389"/>
      <c r="F4" s="389"/>
      <c r="G4" s="389"/>
      <c r="H4" s="389"/>
      <c r="I4" s="389"/>
      <c r="J4" s="389"/>
      <c r="K4" s="495"/>
      <c r="L4" s="495"/>
      <c r="M4" s="496"/>
    </row>
    <row r="5" spans="1:13">
      <c r="A5" s="460"/>
      <c r="B5" s="389"/>
      <c r="C5" s="389"/>
      <c r="D5" s="389"/>
      <c r="E5" s="389"/>
      <c r="F5" s="389"/>
      <c r="G5" s="389"/>
      <c r="H5" s="389"/>
      <c r="I5" s="389"/>
      <c r="J5" s="389"/>
      <c r="K5" s="495"/>
      <c r="L5" s="495"/>
      <c r="M5" s="496"/>
    </row>
    <row r="6" spans="1:13">
      <c r="A6" s="460"/>
      <c r="B6" s="389"/>
      <c r="C6" s="389"/>
      <c r="D6" s="389"/>
      <c r="E6" s="389"/>
      <c r="F6" s="389"/>
      <c r="G6" s="389"/>
      <c r="H6" s="389"/>
      <c r="I6" s="389"/>
      <c r="J6" s="389"/>
      <c r="K6" s="495"/>
      <c r="L6" s="495"/>
      <c r="M6" s="496"/>
    </row>
    <row r="7" spans="1:13" ht="15.75" thickBot="1">
      <c r="A7" s="461"/>
      <c r="B7" s="390"/>
      <c r="C7" s="390"/>
      <c r="D7" s="390"/>
      <c r="E7" s="390"/>
      <c r="F7" s="390"/>
      <c r="G7" s="390"/>
      <c r="H7" s="390"/>
      <c r="I7" s="390"/>
      <c r="J7" s="390"/>
      <c r="K7" s="497"/>
      <c r="L7" s="497"/>
      <c r="M7" s="498"/>
    </row>
    <row r="8" spans="1:13">
      <c r="A8" s="192"/>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93"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93"/>
      <c r="D17" s="193"/>
      <c r="E17" s="193"/>
      <c r="F17" s="193"/>
      <c r="G17" s="193"/>
      <c r="H17" s="193"/>
      <c r="I17" s="193"/>
      <c r="J17" s="193"/>
      <c r="K17" s="193"/>
      <c r="L17" s="193"/>
      <c r="M17" s="13"/>
    </row>
    <row r="18" spans="1:13">
      <c r="A18" s="25" t="s">
        <v>74</v>
      </c>
      <c r="B18" s="26"/>
      <c r="C18" s="379"/>
      <c r="D18" s="379"/>
      <c r="E18" s="379"/>
      <c r="F18" s="379"/>
      <c r="G18" s="379"/>
      <c r="H18" s="379"/>
      <c r="I18" s="379"/>
      <c r="J18" s="379"/>
      <c r="K18" s="379"/>
      <c r="L18" s="379"/>
      <c r="M18" s="380"/>
    </row>
    <row r="19" spans="1:13">
      <c r="A19" s="25"/>
      <c r="B19" s="26"/>
      <c r="C19" s="193"/>
      <c r="D19" s="193"/>
      <c r="E19" s="193"/>
      <c r="F19" s="193"/>
      <c r="G19" s="193"/>
      <c r="H19" s="193"/>
      <c r="I19" s="193"/>
      <c r="J19" s="193"/>
      <c r="K19" s="193"/>
      <c r="L19" s="193"/>
      <c r="M19" s="13"/>
    </row>
    <row r="20" spans="1:13" ht="31.5" customHeight="1">
      <c r="A20" s="464" t="s">
        <v>113</v>
      </c>
      <c r="B20" s="465"/>
      <c r="C20" s="379"/>
      <c r="D20" s="379"/>
      <c r="E20" s="379"/>
      <c r="F20" s="379"/>
      <c r="G20" s="379"/>
      <c r="H20" s="379"/>
      <c r="I20" s="379"/>
      <c r="J20" s="379"/>
      <c r="K20" s="379"/>
      <c r="L20" s="379"/>
      <c r="M20" s="380"/>
    </row>
    <row r="21" spans="1:13">
      <c r="A21" s="400"/>
      <c r="B21" s="401"/>
      <c r="C21" s="193"/>
      <c r="D21" s="193"/>
      <c r="E21" s="193"/>
      <c r="F21" s="193"/>
      <c r="G21" s="193"/>
      <c r="H21" s="193"/>
      <c r="I21" s="193"/>
      <c r="J21" s="193"/>
      <c r="K21" s="193"/>
      <c r="L21" s="193"/>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85" t="s">
        <v>78</v>
      </c>
      <c r="K25" s="408" t="s">
        <v>79</v>
      </c>
      <c r="L25" s="409"/>
      <c r="M25" s="31" t="s">
        <v>80</v>
      </c>
    </row>
    <row r="26" spans="1:13" ht="15.75" thickBot="1">
      <c r="A26" s="33"/>
      <c r="B26" s="391" t="s">
        <v>213</v>
      </c>
      <c r="C26" s="392"/>
      <c r="D26" s="392"/>
      <c r="E26" s="392"/>
      <c r="F26" s="392"/>
      <c r="G26" s="392"/>
      <c r="H26" s="392"/>
      <c r="I26" s="393"/>
      <c r="J26" s="184">
        <v>1</v>
      </c>
      <c r="K26" s="391" t="s">
        <v>9</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90" t="s">
        <v>83</v>
      </c>
      <c r="K30" s="421" t="s">
        <v>84</v>
      </c>
      <c r="L30" s="424"/>
      <c r="M30" s="44" t="s">
        <v>85</v>
      </c>
    </row>
    <row r="31" spans="1:13">
      <c r="A31" s="425" t="s">
        <v>209</v>
      </c>
      <c r="B31" s="426"/>
      <c r="C31" s="426"/>
      <c r="D31" s="426"/>
      <c r="E31" s="427"/>
      <c r="F31" s="428" t="s">
        <v>210</v>
      </c>
      <c r="G31" s="429"/>
      <c r="H31" s="430" t="s">
        <v>211</v>
      </c>
      <c r="I31" s="427"/>
      <c r="J31" s="72">
        <v>49980</v>
      </c>
      <c r="K31" s="428">
        <v>0.02</v>
      </c>
      <c r="L31" s="429"/>
      <c r="M31" s="46">
        <f>K31*J31</f>
        <v>999.6</v>
      </c>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999.6</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86" t="s">
        <v>79</v>
      </c>
      <c r="J37" s="190" t="s">
        <v>80</v>
      </c>
      <c r="K37" s="421" t="s">
        <v>89</v>
      </c>
      <c r="L37" s="424"/>
      <c r="M37" s="44" t="s">
        <v>85</v>
      </c>
    </row>
    <row r="38" spans="1:13">
      <c r="A38" s="425" t="s">
        <v>214</v>
      </c>
      <c r="B38" s="426"/>
      <c r="C38" s="426"/>
      <c r="D38" s="426"/>
      <c r="E38" s="426"/>
      <c r="F38" s="426"/>
      <c r="G38" s="426"/>
      <c r="H38" s="427"/>
      <c r="I38" s="73" t="s">
        <v>25</v>
      </c>
      <c r="J38" s="45">
        <v>0.06</v>
      </c>
      <c r="K38" s="456">
        <v>67573</v>
      </c>
      <c r="L38" s="457"/>
      <c r="M38" s="56">
        <f>K38*J38</f>
        <v>4054.3799999999997</v>
      </c>
    </row>
    <row r="39" spans="1:13">
      <c r="A39" s="425"/>
      <c r="B39" s="426"/>
      <c r="C39" s="426"/>
      <c r="D39" s="426"/>
      <c r="E39" s="426"/>
      <c r="F39" s="426"/>
      <c r="G39" s="426"/>
      <c r="H39" s="427"/>
      <c r="I39" s="73"/>
      <c r="J39" s="45"/>
      <c r="K39" s="456"/>
      <c r="L39" s="457"/>
      <c r="M39" s="56"/>
    </row>
    <row r="40" spans="1:13">
      <c r="A40" s="425"/>
      <c r="B40" s="426"/>
      <c r="C40" s="426"/>
      <c r="D40" s="426"/>
      <c r="E40" s="426"/>
      <c r="F40" s="426"/>
      <c r="G40" s="426"/>
      <c r="H40" s="427"/>
      <c r="I40" s="73"/>
      <c r="J40" s="45"/>
      <c r="K40" s="456"/>
      <c r="L40" s="457"/>
      <c r="M40" s="56">
        <f t="shared" ref="M40" si="0">K40*J40</f>
        <v>0</v>
      </c>
    </row>
    <row r="41" spans="1:13">
      <c r="A41" s="425"/>
      <c r="B41" s="426"/>
      <c r="C41" s="426"/>
      <c r="D41" s="426"/>
      <c r="E41" s="426"/>
      <c r="F41" s="426"/>
      <c r="G41" s="426"/>
      <c r="H41" s="427"/>
      <c r="I41" s="73"/>
      <c r="J41" s="45"/>
      <c r="K41" s="456"/>
      <c r="L41" s="457"/>
      <c r="M41" s="56"/>
    </row>
    <row r="42" spans="1:13">
      <c r="A42" s="425"/>
      <c r="B42" s="426"/>
      <c r="C42" s="426"/>
      <c r="D42" s="426"/>
      <c r="E42" s="426"/>
      <c r="F42" s="426"/>
      <c r="G42" s="426"/>
      <c r="H42" s="427"/>
      <c r="I42" s="73"/>
      <c r="J42" s="45"/>
      <c r="K42" s="456"/>
      <c r="L42" s="457"/>
      <c r="M42" s="56"/>
    </row>
    <row r="43" spans="1:13">
      <c r="A43" s="425"/>
      <c r="B43" s="426"/>
      <c r="C43" s="426"/>
      <c r="D43" s="426"/>
      <c r="E43" s="426"/>
      <c r="F43" s="426"/>
      <c r="G43" s="426"/>
      <c r="H43" s="427"/>
      <c r="I43" s="73"/>
      <c r="J43" s="45"/>
      <c r="K43" s="456"/>
      <c r="L43" s="457"/>
      <c r="M43" s="56"/>
    </row>
    <row r="44" spans="1:13">
      <c r="A44" s="425"/>
      <c r="B44" s="426"/>
      <c r="C44" s="426"/>
      <c r="D44" s="426"/>
      <c r="E44" s="426"/>
      <c r="F44" s="426"/>
      <c r="G44" s="426"/>
      <c r="H44" s="427"/>
      <c r="I44" s="73"/>
      <c r="J44" s="45"/>
      <c r="K44" s="456"/>
      <c r="L44" s="457"/>
      <c r="M44" s="56"/>
    </row>
    <row r="45" spans="1:13">
      <c r="A45" s="425"/>
      <c r="B45" s="426"/>
      <c r="C45" s="426"/>
      <c r="D45" s="426"/>
      <c r="E45" s="426"/>
      <c r="F45" s="426"/>
      <c r="G45" s="426"/>
      <c r="H45" s="427"/>
      <c r="I45" s="73"/>
      <c r="J45" s="45"/>
      <c r="K45" s="456"/>
      <c r="L45" s="457"/>
      <c r="M45" s="56"/>
    </row>
    <row r="46" spans="1:13" ht="15.75" thickBot="1">
      <c r="A46" s="410"/>
      <c r="B46" s="411"/>
      <c r="C46" s="411"/>
      <c r="D46" s="411"/>
      <c r="E46" s="411"/>
      <c r="F46" s="411"/>
      <c r="G46" s="411"/>
      <c r="H46" s="412"/>
      <c r="I46" s="74"/>
      <c r="J46" s="57"/>
      <c r="K46" s="466"/>
      <c r="L46" s="467"/>
      <c r="M46" s="75"/>
    </row>
    <row r="47" spans="1:13" ht="15.75" thickBot="1">
      <c r="A47" s="416" t="s">
        <v>87</v>
      </c>
      <c r="B47" s="417"/>
      <c r="C47" s="417"/>
      <c r="D47" s="417"/>
      <c r="E47" s="417"/>
      <c r="F47" s="417"/>
      <c r="G47" s="417"/>
      <c r="H47" s="417"/>
      <c r="I47" s="417"/>
      <c r="J47" s="417"/>
      <c r="K47" s="417"/>
      <c r="L47" s="418"/>
      <c r="M47" s="58">
        <f>SUM(M38:M46)</f>
        <v>4054.3799999999997</v>
      </c>
    </row>
    <row r="48" spans="1:13">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190" t="s">
        <v>92</v>
      </c>
      <c r="I51" s="187" t="s">
        <v>93</v>
      </c>
      <c r="J51" s="60" t="s">
        <v>94</v>
      </c>
      <c r="K51" s="421" t="s">
        <v>95</v>
      </c>
      <c r="L51" s="424"/>
      <c r="M51" s="44" t="s">
        <v>85</v>
      </c>
    </row>
    <row r="52" spans="1:14">
      <c r="A52" s="425"/>
      <c r="B52" s="426"/>
      <c r="C52" s="426"/>
      <c r="D52" s="426"/>
      <c r="E52" s="426"/>
      <c r="F52" s="426"/>
      <c r="G52" s="426"/>
      <c r="H52" s="61"/>
      <c r="I52" s="55"/>
      <c r="J52" s="61"/>
      <c r="K52" s="428"/>
      <c r="L52" s="429"/>
    </row>
    <row r="53" spans="1:14" ht="15.75" thickBot="1">
      <c r="A53" s="410"/>
      <c r="B53" s="411"/>
      <c r="C53" s="411"/>
      <c r="D53" s="411"/>
      <c r="E53" s="411"/>
      <c r="F53" s="411"/>
      <c r="G53" s="411"/>
      <c r="H53" s="47"/>
      <c r="I53" s="15"/>
      <c r="J53" s="47"/>
      <c r="K53" s="414"/>
      <c r="L53" s="415"/>
      <c r="M53" s="62"/>
    </row>
    <row r="54" spans="1:14" ht="15.75" thickBot="1">
      <c r="A54" s="416" t="s">
        <v>87</v>
      </c>
      <c r="B54" s="417"/>
      <c r="C54" s="417"/>
      <c r="D54" s="417"/>
      <c r="E54" s="417"/>
      <c r="F54" s="417"/>
      <c r="G54" s="417"/>
      <c r="H54" s="417"/>
      <c r="I54" s="417"/>
      <c r="J54" s="417"/>
      <c r="K54" s="417"/>
      <c r="L54" s="418"/>
      <c r="M54" s="63">
        <f>SUM(M53:M53)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190" t="s">
        <v>98</v>
      </c>
      <c r="I58" s="191" t="s">
        <v>99</v>
      </c>
      <c r="J58" s="191" t="s">
        <v>100</v>
      </c>
      <c r="K58" s="455" t="s">
        <v>84</v>
      </c>
      <c r="L58" s="455"/>
      <c r="M58" s="65" t="s">
        <v>85</v>
      </c>
    </row>
    <row r="59" spans="1:14" ht="15.75" thickBot="1">
      <c r="A59" s="432" t="s">
        <v>116</v>
      </c>
      <c r="B59" s="433"/>
      <c r="C59" s="433"/>
      <c r="D59" s="433"/>
      <c r="E59" s="433"/>
      <c r="F59" s="433"/>
      <c r="G59" s="433"/>
      <c r="H59" s="3">
        <f>85839.3181818182/2</f>
        <v>42919.659090909103</v>
      </c>
      <c r="I59" s="4">
        <v>2.2000000000000002</v>
      </c>
      <c r="J59" s="67">
        <f>(I59*H59)</f>
        <v>94423.250000000029</v>
      </c>
      <c r="K59" s="434">
        <v>18.481675543060568</v>
      </c>
      <c r="L59" s="434"/>
      <c r="M59" s="68">
        <f>J59/K59</f>
        <v>5109.0200009194368</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5109.0200009194368</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ROUND(M62+M54+M47+M33,0)</f>
        <v>10163</v>
      </c>
      <c r="N64" s="324"/>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188"/>
      <c r="I68" s="189"/>
      <c r="J68" s="81" t="s">
        <v>104</v>
      </c>
      <c r="K68" s="440" t="s">
        <v>105</v>
      </c>
      <c r="L68" s="441"/>
      <c r="M68" s="82"/>
    </row>
    <row r="69" spans="1:13">
      <c r="A69" s="442" t="s">
        <v>106</v>
      </c>
      <c r="B69" s="443"/>
      <c r="C69" s="443"/>
      <c r="D69" s="443"/>
      <c r="E69" s="443"/>
      <c r="F69" s="443"/>
      <c r="G69" s="443"/>
      <c r="H69" s="83"/>
      <c r="I69" s="84"/>
      <c r="J69" s="85">
        <v>0.19</v>
      </c>
      <c r="K69" s="444">
        <f>M64*J69</f>
        <v>1930.97</v>
      </c>
      <c r="L69" s="444"/>
      <c r="M69" s="86"/>
    </row>
    <row r="70" spans="1:13">
      <c r="A70" s="447" t="s">
        <v>107</v>
      </c>
      <c r="B70" s="448"/>
      <c r="C70" s="448"/>
      <c r="D70" s="448"/>
      <c r="E70" s="448"/>
      <c r="F70" s="448"/>
      <c r="G70" s="449"/>
      <c r="H70" s="77"/>
      <c r="I70" s="78"/>
      <c r="J70" s="5">
        <v>0.01</v>
      </c>
      <c r="K70" s="445">
        <f>M64*J70</f>
        <v>101.63</v>
      </c>
      <c r="L70" s="445"/>
      <c r="M70" s="6"/>
    </row>
    <row r="71" spans="1:13">
      <c r="A71" s="447" t="s">
        <v>108</v>
      </c>
      <c r="B71" s="448"/>
      <c r="C71" s="448"/>
      <c r="D71" s="448"/>
      <c r="E71" s="448"/>
      <c r="F71" s="448"/>
      <c r="G71" s="449"/>
      <c r="H71" s="77"/>
      <c r="I71" s="78"/>
      <c r="J71" s="5">
        <v>0.05</v>
      </c>
      <c r="K71" s="445">
        <f>M64*J71</f>
        <v>508.15000000000003</v>
      </c>
      <c r="L71" s="445"/>
      <c r="M71" s="6"/>
    </row>
    <row r="72" spans="1:13" ht="15.75" thickBot="1">
      <c r="A72" s="450" t="s">
        <v>117</v>
      </c>
      <c r="B72" s="451"/>
      <c r="C72" s="451"/>
      <c r="D72" s="451"/>
      <c r="E72" s="451"/>
      <c r="F72" s="451"/>
      <c r="G72" s="452"/>
      <c r="H72" s="87"/>
      <c r="I72" s="88"/>
      <c r="J72" s="89">
        <v>0.19</v>
      </c>
      <c r="K72" s="446">
        <f>K71*J72</f>
        <v>96.548500000000004</v>
      </c>
      <c r="L72" s="446"/>
      <c r="M72" s="90"/>
    </row>
    <row r="73" spans="1:13" ht="15.75" thickBot="1">
      <c r="A73" s="435" t="s">
        <v>87</v>
      </c>
      <c r="B73" s="436"/>
      <c r="C73" s="436"/>
      <c r="D73" s="436"/>
      <c r="E73" s="436"/>
      <c r="F73" s="436"/>
      <c r="G73" s="436"/>
      <c r="H73" s="436"/>
      <c r="I73" s="436"/>
      <c r="J73" s="436"/>
      <c r="K73" s="436"/>
      <c r="L73" s="437"/>
      <c r="M73" s="76">
        <f>SUM(K69:L72)</f>
        <v>2637.2984999999999</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12800</v>
      </c>
    </row>
  </sheetData>
  <mergeCells count="83">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61:G61"/>
    <mergeCell ref="K61:L61"/>
    <mergeCell ref="A62:L62"/>
    <mergeCell ref="A64:L64"/>
    <mergeCell ref="A68:G68"/>
    <mergeCell ref="K68:L68"/>
    <mergeCell ref="A72:G72"/>
    <mergeCell ref="K72:L72"/>
    <mergeCell ref="A73:L73"/>
    <mergeCell ref="A75:L75"/>
    <mergeCell ref="A69:G69"/>
    <mergeCell ref="K69:L69"/>
    <mergeCell ref="A70:G70"/>
    <mergeCell ref="K70:L70"/>
    <mergeCell ref="A71:G71"/>
    <mergeCell ref="K71:L71"/>
  </mergeCells>
  <pageMargins left="0.7" right="0.7" top="0.75" bottom="0.75" header="0.3" footer="0.3"/>
  <pageSetup scale="56"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4"/>
  <sheetViews>
    <sheetView view="pageBreakPreview" topLeftCell="A43" zoomScale="80" zoomScaleNormal="100" zoomScaleSheetLayoutView="80" workbookViewId="0">
      <selection activeCell="M63" sqref="M63"/>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4.5703125" customWidth="1"/>
  </cols>
  <sheetData>
    <row r="1" spans="1:13" ht="15" customHeight="1">
      <c r="A1" s="458"/>
      <c r="B1" s="459"/>
      <c r="C1" s="459"/>
      <c r="D1" s="491" t="s">
        <v>67</v>
      </c>
      <c r="E1" s="491"/>
      <c r="F1" s="491"/>
      <c r="G1" s="491"/>
      <c r="H1" s="491"/>
      <c r="I1" s="491"/>
      <c r="J1" s="491"/>
      <c r="K1" s="493"/>
      <c r="L1" s="493"/>
      <c r="M1" s="494"/>
    </row>
    <row r="2" spans="1:13">
      <c r="A2" s="460"/>
      <c r="B2" s="389"/>
      <c r="C2" s="389"/>
      <c r="D2" s="492"/>
      <c r="E2" s="492"/>
      <c r="F2" s="492"/>
      <c r="G2" s="492"/>
      <c r="H2" s="492"/>
      <c r="I2" s="492"/>
      <c r="J2" s="492"/>
      <c r="K2" s="495"/>
      <c r="L2" s="495"/>
      <c r="M2" s="496"/>
    </row>
    <row r="3" spans="1:13">
      <c r="A3" s="460"/>
      <c r="B3" s="389"/>
      <c r="C3" s="389"/>
      <c r="D3" s="492"/>
      <c r="E3" s="492"/>
      <c r="F3" s="492"/>
      <c r="G3" s="492"/>
      <c r="H3" s="492"/>
      <c r="I3" s="492"/>
      <c r="J3" s="492"/>
      <c r="K3" s="495"/>
      <c r="L3" s="495"/>
      <c r="M3" s="496"/>
    </row>
    <row r="4" spans="1:13" ht="15" customHeight="1">
      <c r="A4" s="460"/>
      <c r="B4" s="389"/>
      <c r="C4" s="389"/>
      <c r="D4" s="389" t="s">
        <v>112</v>
      </c>
      <c r="E4" s="389"/>
      <c r="F4" s="389"/>
      <c r="G4" s="389"/>
      <c r="H4" s="389"/>
      <c r="I4" s="389"/>
      <c r="J4" s="389"/>
      <c r="K4" s="495"/>
      <c r="L4" s="495"/>
      <c r="M4" s="496"/>
    </row>
    <row r="5" spans="1:13">
      <c r="A5" s="460"/>
      <c r="B5" s="389"/>
      <c r="C5" s="389"/>
      <c r="D5" s="389"/>
      <c r="E5" s="389"/>
      <c r="F5" s="389"/>
      <c r="G5" s="389"/>
      <c r="H5" s="389"/>
      <c r="I5" s="389"/>
      <c r="J5" s="389"/>
      <c r="K5" s="495"/>
      <c r="L5" s="495"/>
      <c r="M5" s="496"/>
    </row>
    <row r="6" spans="1:13">
      <c r="A6" s="460"/>
      <c r="B6" s="389"/>
      <c r="C6" s="389"/>
      <c r="D6" s="389"/>
      <c r="E6" s="389"/>
      <c r="F6" s="389"/>
      <c r="G6" s="389"/>
      <c r="H6" s="389"/>
      <c r="I6" s="389"/>
      <c r="J6" s="389"/>
      <c r="K6" s="495"/>
      <c r="L6" s="495"/>
      <c r="M6" s="496"/>
    </row>
    <row r="7" spans="1:13" ht="15.75" thickBot="1">
      <c r="A7" s="461"/>
      <c r="B7" s="390"/>
      <c r="C7" s="390"/>
      <c r="D7" s="390"/>
      <c r="E7" s="390"/>
      <c r="F7" s="390"/>
      <c r="G7" s="390"/>
      <c r="H7" s="390"/>
      <c r="I7" s="390"/>
      <c r="J7" s="390"/>
      <c r="K7" s="497"/>
      <c r="L7" s="497"/>
      <c r="M7" s="498"/>
    </row>
    <row r="8" spans="1:13">
      <c r="A8" s="197"/>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98"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98"/>
      <c r="D17" s="198"/>
      <c r="E17" s="198"/>
      <c r="F17" s="198"/>
      <c r="G17" s="198"/>
      <c r="H17" s="198"/>
      <c r="I17" s="198"/>
      <c r="J17" s="198"/>
      <c r="K17" s="198"/>
      <c r="L17" s="198"/>
      <c r="M17" s="13"/>
    </row>
    <row r="18" spans="1:13">
      <c r="A18" s="25" t="s">
        <v>74</v>
      </c>
      <c r="B18" s="26"/>
      <c r="C18" s="379"/>
      <c r="D18" s="379"/>
      <c r="E18" s="379"/>
      <c r="F18" s="379"/>
      <c r="G18" s="379"/>
      <c r="H18" s="379"/>
      <c r="I18" s="379"/>
      <c r="J18" s="379"/>
      <c r="K18" s="379"/>
      <c r="L18" s="379"/>
      <c r="M18" s="380"/>
    </row>
    <row r="19" spans="1:13">
      <c r="A19" s="25"/>
      <c r="B19" s="26"/>
      <c r="C19" s="198"/>
      <c r="D19" s="198"/>
      <c r="E19" s="198"/>
      <c r="F19" s="198"/>
      <c r="G19" s="198"/>
      <c r="H19" s="198"/>
      <c r="I19" s="198"/>
      <c r="J19" s="198"/>
      <c r="K19" s="198"/>
      <c r="L19" s="198"/>
      <c r="M19" s="13"/>
    </row>
    <row r="20" spans="1:13" ht="31.5" customHeight="1">
      <c r="A20" s="464" t="s">
        <v>113</v>
      </c>
      <c r="B20" s="465"/>
      <c r="C20" s="379"/>
      <c r="D20" s="379"/>
      <c r="E20" s="379"/>
      <c r="F20" s="379"/>
      <c r="G20" s="379"/>
      <c r="H20" s="379"/>
      <c r="I20" s="379"/>
      <c r="J20" s="379"/>
      <c r="K20" s="379"/>
      <c r="L20" s="379"/>
      <c r="M20" s="380"/>
    </row>
    <row r="21" spans="1:13">
      <c r="A21" s="400"/>
      <c r="B21" s="401"/>
      <c r="C21" s="198"/>
      <c r="D21" s="198"/>
      <c r="E21" s="198"/>
      <c r="F21" s="198"/>
      <c r="G21" s="198"/>
      <c r="H21" s="198"/>
      <c r="I21" s="198"/>
      <c r="J21" s="198"/>
      <c r="K21" s="198"/>
      <c r="L21" s="198"/>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204" t="s">
        <v>78</v>
      </c>
      <c r="K25" s="408" t="s">
        <v>79</v>
      </c>
      <c r="L25" s="409"/>
      <c r="M25" s="31" t="s">
        <v>80</v>
      </c>
    </row>
    <row r="26" spans="1:13" ht="15.75" thickBot="1">
      <c r="A26" s="33"/>
      <c r="B26" s="391" t="s">
        <v>223</v>
      </c>
      <c r="C26" s="392"/>
      <c r="D26" s="392"/>
      <c r="E26" s="392"/>
      <c r="F26" s="392"/>
      <c r="G26" s="392"/>
      <c r="H26" s="392"/>
      <c r="I26" s="393"/>
      <c r="J26" s="203">
        <v>1</v>
      </c>
      <c r="K26" s="391" t="s">
        <v>9</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95" t="s">
        <v>83</v>
      </c>
      <c r="K30" s="421" t="s">
        <v>84</v>
      </c>
      <c r="L30" s="424"/>
      <c r="M30" s="44" t="s">
        <v>85</v>
      </c>
    </row>
    <row r="31" spans="1:13">
      <c r="A31" s="425"/>
      <c r="B31" s="426"/>
      <c r="C31" s="426"/>
      <c r="D31" s="426"/>
      <c r="E31" s="427"/>
      <c r="F31" s="428"/>
      <c r="G31" s="429"/>
      <c r="H31" s="430"/>
      <c r="I31" s="427"/>
      <c r="J31" s="72"/>
      <c r="K31" s="428"/>
      <c r="L31" s="429"/>
      <c r="M31" s="46"/>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0</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202" t="s">
        <v>79</v>
      </c>
      <c r="J37" s="195" t="s">
        <v>80</v>
      </c>
      <c r="K37" s="421" t="s">
        <v>89</v>
      </c>
      <c r="L37" s="424"/>
      <c r="M37" s="44" t="s">
        <v>85</v>
      </c>
    </row>
    <row r="38" spans="1:13">
      <c r="A38" s="425" t="s">
        <v>373</v>
      </c>
      <c r="B38" s="426"/>
      <c r="C38" s="426"/>
      <c r="D38" s="426"/>
      <c r="E38" s="426"/>
      <c r="F38" s="426"/>
      <c r="G38" s="426"/>
      <c r="H38" s="427"/>
      <c r="I38" s="73" t="s">
        <v>9</v>
      </c>
      <c r="J38" s="45">
        <v>28</v>
      </c>
      <c r="K38" s="456">
        <v>1300</v>
      </c>
      <c r="L38" s="457"/>
      <c r="M38" s="56">
        <f>K38*J38</f>
        <v>36400</v>
      </c>
    </row>
    <row r="39" spans="1:13">
      <c r="A39" s="425" t="s">
        <v>374</v>
      </c>
      <c r="B39" s="426"/>
      <c r="C39" s="426"/>
      <c r="D39" s="426"/>
      <c r="E39" s="426"/>
      <c r="F39" s="426"/>
      <c r="G39" s="426"/>
      <c r="H39" s="427"/>
      <c r="I39" s="73" t="s">
        <v>10</v>
      </c>
      <c r="J39" s="45">
        <v>0.05</v>
      </c>
      <c r="K39" s="456">
        <v>200000</v>
      </c>
      <c r="L39" s="457"/>
      <c r="M39" s="56">
        <f t="shared" ref="M39:M40" si="0">K39*J39</f>
        <v>10000</v>
      </c>
    </row>
    <row r="40" spans="1:13">
      <c r="A40" s="425" t="s">
        <v>128</v>
      </c>
      <c r="B40" s="426"/>
      <c r="C40" s="426"/>
      <c r="D40" s="426"/>
      <c r="E40" s="426"/>
      <c r="F40" s="426"/>
      <c r="G40" s="426"/>
      <c r="H40" s="427"/>
      <c r="I40" s="73" t="s">
        <v>25</v>
      </c>
      <c r="J40" s="45">
        <v>9.7200000000000006</v>
      </c>
      <c r="K40" s="456">
        <v>2000</v>
      </c>
      <c r="L40" s="457"/>
      <c r="M40" s="56">
        <f t="shared" si="0"/>
        <v>19440</v>
      </c>
    </row>
    <row r="41" spans="1:13">
      <c r="A41" s="425"/>
      <c r="B41" s="426"/>
      <c r="C41" s="426"/>
      <c r="D41" s="426"/>
      <c r="E41" s="426"/>
      <c r="F41" s="426"/>
      <c r="G41" s="426"/>
      <c r="H41" s="427"/>
      <c r="I41" s="73"/>
      <c r="J41" s="45"/>
      <c r="K41" s="456"/>
      <c r="L41" s="457"/>
      <c r="M41" s="56"/>
    </row>
    <row r="42" spans="1:13">
      <c r="A42" s="425"/>
      <c r="B42" s="426"/>
      <c r="C42" s="426"/>
      <c r="D42" s="426"/>
      <c r="E42" s="426"/>
      <c r="F42" s="426"/>
      <c r="G42" s="426"/>
      <c r="H42" s="427"/>
      <c r="I42" s="73"/>
      <c r="J42" s="45"/>
      <c r="K42" s="456"/>
      <c r="L42" s="457"/>
      <c r="M42" s="56"/>
    </row>
    <row r="43" spans="1:13">
      <c r="A43" s="425"/>
      <c r="B43" s="426"/>
      <c r="C43" s="426"/>
      <c r="D43" s="426"/>
      <c r="E43" s="426"/>
      <c r="F43" s="426"/>
      <c r="G43" s="426"/>
      <c r="H43" s="427"/>
      <c r="I43" s="73"/>
      <c r="J43" s="45"/>
      <c r="K43" s="456"/>
      <c r="L43" s="457"/>
      <c r="M43" s="56"/>
    </row>
    <row r="44" spans="1:13">
      <c r="A44" s="425"/>
      <c r="B44" s="426"/>
      <c r="C44" s="426"/>
      <c r="D44" s="426"/>
      <c r="E44" s="426"/>
      <c r="F44" s="426"/>
      <c r="G44" s="426"/>
      <c r="H44" s="427"/>
      <c r="I44" s="73"/>
      <c r="J44" s="45"/>
      <c r="K44" s="456"/>
      <c r="L44" s="457"/>
      <c r="M44" s="56"/>
    </row>
    <row r="45" spans="1:13" ht="15.75" thickBot="1">
      <c r="A45" s="410"/>
      <c r="B45" s="411"/>
      <c r="C45" s="411"/>
      <c r="D45" s="411"/>
      <c r="E45" s="411"/>
      <c r="F45" s="411"/>
      <c r="G45" s="411"/>
      <c r="H45" s="412"/>
      <c r="I45" s="74"/>
      <c r="J45" s="57"/>
      <c r="K45" s="466"/>
      <c r="L45" s="467"/>
      <c r="M45" s="75"/>
    </row>
    <row r="46" spans="1:13" ht="15.75" thickBot="1">
      <c r="A46" s="416" t="s">
        <v>87</v>
      </c>
      <c r="B46" s="417"/>
      <c r="C46" s="417"/>
      <c r="D46" s="417"/>
      <c r="E46" s="417"/>
      <c r="F46" s="417"/>
      <c r="G46" s="417"/>
      <c r="H46" s="417"/>
      <c r="I46" s="417"/>
      <c r="J46" s="417"/>
      <c r="K46" s="417"/>
      <c r="L46" s="418"/>
      <c r="M46" s="58">
        <f>SUM(M38:M45)</f>
        <v>65840</v>
      </c>
    </row>
    <row r="47" spans="1:13">
      <c r="A47" s="30"/>
      <c r="B47" s="19"/>
      <c r="C47" s="19"/>
      <c r="D47" s="19"/>
      <c r="E47" s="19"/>
      <c r="F47" s="19"/>
      <c r="G47" s="19"/>
      <c r="H47" s="19"/>
      <c r="I47" s="19"/>
      <c r="J47" s="19"/>
      <c r="K47" s="19"/>
      <c r="L47" s="19"/>
      <c r="M47" s="24"/>
    </row>
    <row r="48" spans="1:13">
      <c r="A48" s="51" t="s">
        <v>90</v>
      </c>
      <c r="B48" s="52"/>
      <c r="C48" s="52"/>
      <c r="D48" s="52"/>
      <c r="E48" s="52"/>
      <c r="F48" s="52"/>
      <c r="G48" s="52"/>
      <c r="H48" s="52"/>
      <c r="I48" s="52"/>
      <c r="J48" s="52"/>
      <c r="K48" s="52"/>
      <c r="L48" s="52"/>
      <c r="M48" s="53"/>
    </row>
    <row r="49" spans="1:14" ht="15.75" thickBot="1">
      <c r="A49" s="30"/>
      <c r="B49" s="19"/>
      <c r="C49" s="19"/>
      <c r="D49" s="19"/>
      <c r="E49" s="19"/>
      <c r="F49" s="19"/>
      <c r="G49" s="19"/>
      <c r="H49" s="19"/>
      <c r="I49" s="19"/>
      <c r="J49" s="19"/>
      <c r="K49" s="19"/>
      <c r="L49" s="19"/>
      <c r="M49" s="24"/>
    </row>
    <row r="50" spans="1:14">
      <c r="A50" s="408" t="s">
        <v>91</v>
      </c>
      <c r="B50" s="431"/>
      <c r="C50" s="431"/>
      <c r="D50" s="431"/>
      <c r="E50" s="431"/>
      <c r="F50" s="431"/>
      <c r="G50" s="431"/>
      <c r="H50" s="195" t="s">
        <v>92</v>
      </c>
      <c r="I50" s="201" t="s">
        <v>93</v>
      </c>
      <c r="J50" s="60" t="s">
        <v>94</v>
      </c>
      <c r="K50" s="421" t="s">
        <v>95</v>
      </c>
      <c r="L50" s="424"/>
      <c r="M50" s="44" t="s">
        <v>85</v>
      </c>
    </row>
    <row r="51" spans="1:14">
      <c r="A51" s="425"/>
      <c r="B51" s="426"/>
      <c r="C51" s="426"/>
      <c r="D51" s="426"/>
      <c r="E51" s="426"/>
      <c r="F51" s="426"/>
      <c r="G51" s="426"/>
      <c r="H51" s="61"/>
      <c r="I51" s="55"/>
      <c r="J51" s="61"/>
      <c r="K51" s="428"/>
      <c r="L51" s="429"/>
    </row>
    <row r="52" spans="1:14" ht="15.75" thickBot="1">
      <c r="A52" s="410"/>
      <c r="B52" s="411"/>
      <c r="C52" s="411"/>
      <c r="D52" s="411"/>
      <c r="E52" s="411"/>
      <c r="F52" s="411"/>
      <c r="G52" s="411"/>
      <c r="H52" s="47"/>
      <c r="I52" s="15"/>
      <c r="J52" s="47"/>
      <c r="K52" s="414"/>
      <c r="L52" s="415"/>
      <c r="M52" s="62"/>
    </row>
    <row r="53" spans="1:14" ht="15.75" thickBot="1">
      <c r="A53" s="416" t="s">
        <v>87</v>
      </c>
      <c r="B53" s="417"/>
      <c r="C53" s="417"/>
      <c r="D53" s="417"/>
      <c r="E53" s="417"/>
      <c r="F53" s="417"/>
      <c r="G53" s="417"/>
      <c r="H53" s="417"/>
      <c r="I53" s="417"/>
      <c r="J53" s="417"/>
      <c r="K53" s="417"/>
      <c r="L53" s="418"/>
      <c r="M53" s="63">
        <f>SUM(M52:M52)</f>
        <v>0</v>
      </c>
    </row>
    <row r="54" spans="1:14">
      <c r="A54" s="30"/>
      <c r="B54" s="19"/>
      <c r="C54" s="19"/>
      <c r="D54" s="19"/>
      <c r="E54" s="19"/>
      <c r="F54" s="19"/>
      <c r="G54" s="19"/>
      <c r="H54" s="19"/>
      <c r="I54" s="19"/>
      <c r="J54" s="19"/>
      <c r="K54" s="19"/>
      <c r="L54" s="19"/>
      <c r="M54" s="24"/>
    </row>
    <row r="55" spans="1:14">
      <c r="A55" s="51" t="s">
        <v>96</v>
      </c>
      <c r="B55" s="52"/>
      <c r="C55" s="52"/>
      <c r="D55" s="52"/>
      <c r="E55" s="52"/>
      <c r="F55" s="52"/>
      <c r="G55" s="52"/>
      <c r="H55" s="52"/>
      <c r="I55" s="52"/>
      <c r="J55" s="52"/>
      <c r="K55" s="52"/>
      <c r="L55" s="52"/>
      <c r="M55" s="53"/>
    </row>
    <row r="56" spans="1:14" ht="15.75" thickBot="1">
      <c r="A56" s="30"/>
      <c r="B56" s="19"/>
      <c r="C56" s="19"/>
      <c r="D56" s="19"/>
      <c r="E56" s="19"/>
      <c r="F56" s="19"/>
      <c r="G56" s="19"/>
      <c r="H56" s="19"/>
      <c r="I56" s="19"/>
      <c r="J56" s="19"/>
      <c r="K56" s="19"/>
      <c r="L56" s="19"/>
      <c r="M56" s="24"/>
    </row>
    <row r="57" spans="1:14" ht="26.25">
      <c r="A57" s="453" t="s">
        <v>97</v>
      </c>
      <c r="B57" s="454"/>
      <c r="C57" s="454"/>
      <c r="D57" s="454"/>
      <c r="E57" s="454"/>
      <c r="F57" s="454"/>
      <c r="G57" s="454"/>
      <c r="H57" s="195" t="s">
        <v>98</v>
      </c>
      <c r="I57" s="196" t="s">
        <v>99</v>
      </c>
      <c r="J57" s="196" t="s">
        <v>100</v>
      </c>
      <c r="K57" s="455" t="s">
        <v>84</v>
      </c>
      <c r="L57" s="455"/>
      <c r="M57" s="65" t="s">
        <v>85</v>
      </c>
    </row>
    <row r="58" spans="1:14">
      <c r="A58" s="471" t="s">
        <v>126</v>
      </c>
      <c r="B58" s="472"/>
      <c r="C58" s="472"/>
      <c r="D58" s="472"/>
      <c r="E58" s="472"/>
      <c r="F58" s="472"/>
      <c r="G58" s="472"/>
      <c r="H58" s="1">
        <v>112923.49999999999</v>
      </c>
      <c r="I58" s="2">
        <v>2.2000000000000002</v>
      </c>
      <c r="J58" s="66">
        <f>(I58*H58)</f>
        <v>248431.69999999998</v>
      </c>
      <c r="K58" s="473">
        <v>20</v>
      </c>
      <c r="L58" s="473"/>
      <c r="M58" s="56">
        <f>J58/K58</f>
        <v>12421.584999999999</v>
      </c>
    </row>
    <row r="59" spans="1:14">
      <c r="A59" s="471"/>
      <c r="B59" s="472"/>
      <c r="C59" s="472"/>
      <c r="D59" s="472"/>
      <c r="E59" s="472"/>
      <c r="F59" s="472"/>
      <c r="G59" s="472"/>
      <c r="H59" s="1"/>
      <c r="I59" s="2"/>
      <c r="J59" s="66"/>
      <c r="K59" s="473"/>
      <c r="L59" s="473"/>
      <c r="M59" s="56"/>
    </row>
    <row r="60" spans="1:14" ht="15.75" thickBot="1">
      <c r="A60" s="432"/>
      <c r="B60" s="433"/>
      <c r="C60" s="433"/>
      <c r="D60" s="433"/>
      <c r="E60" s="433"/>
      <c r="F60" s="433"/>
      <c r="G60" s="433"/>
      <c r="H60" s="3"/>
      <c r="I60" s="4"/>
      <c r="J60" s="67"/>
      <c r="K60" s="434"/>
      <c r="L60" s="434"/>
      <c r="M60" s="68"/>
    </row>
    <row r="61" spans="1:14" ht="15.75" thickBot="1">
      <c r="A61" s="435" t="s">
        <v>87</v>
      </c>
      <c r="B61" s="436"/>
      <c r="C61" s="436"/>
      <c r="D61" s="436"/>
      <c r="E61" s="436"/>
      <c r="F61" s="436"/>
      <c r="G61" s="436"/>
      <c r="H61" s="436"/>
      <c r="I61" s="436"/>
      <c r="J61" s="436"/>
      <c r="K61" s="436"/>
      <c r="L61" s="437"/>
      <c r="M61" s="69">
        <f>SUM(M58:M60)</f>
        <v>12421.584999999999</v>
      </c>
    </row>
    <row r="62" spans="1:14" ht="15.75" thickBot="1">
      <c r="A62" s="30"/>
      <c r="B62" s="19"/>
      <c r="C62" s="19"/>
      <c r="D62" s="19"/>
      <c r="E62" s="19"/>
      <c r="F62" s="19"/>
      <c r="G62" s="19"/>
      <c r="H62" s="19"/>
      <c r="I62" s="19"/>
      <c r="J62" s="19"/>
      <c r="K62" s="19"/>
      <c r="L62" s="19"/>
      <c r="M62" s="24"/>
    </row>
    <row r="63" spans="1:14" ht="15.75" thickBot="1">
      <c r="A63" s="416" t="s">
        <v>101</v>
      </c>
      <c r="B63" s="417"/>
      <c r="C63" s="417"/>
      <c r="D63" s="417"/>
      <c r="E63" s="417"/>
      <c r="F63" s="417"/>
      <c r="G63" s="417"/>
      <c r="H63" s="417"/>
      <c r="I63" s="417"/>
      <c r="J63" s="417"/>
      <c r="K63" s="417"/>
      <c r="L63" s="418"/>
      <c r="M63" s="70">
        <f>ROUND(M61+M53+M46+M33,0)</f>
        <v>78262</v>
      </c>
      <c r="N63" s="155"/>
    </row>
    <row r="64" spans="1:14">
      <c r="A64" s="30"/>
      <c r="B64" s="19"/>
      <c r="C64" s="19"/>
      <c r="D64" s="19"/>
      <c r="E64" s="19"/>
      <c r="F64" s="19"/>
      <c r="G64" s="19"/>
      <c r="H64" s="19"/>
      <c r="I64" s="19"/>
      <c r="J64" s="19"/>
      <c r="K64" s="19"/>
      <c r="L64" s="19"/>
      <c r="M64" s="24"/>
    </row>
    <row r="65" spans="1:13">
      <c r="A65" s="51" t="s">
        <v>102</v>
      </c>
      <c r="B65" s="52"/>
      <c r="C65" s="52"/>
      <c r="D65" s="52"/>
      <c r="E65" s="52"/>
      <c r="F65" s="52"/>
      <c r="G65" s="52"/>
      <c r="H65" s="52"/>
      <c r="I65" s="52"/>
      <c r="J65" s="52"/>
      <c r="K65" s="52"/>
      <c r="L65" s="52"/>
      <c r="M65" s="53"/>
    </row>
    <row r="66" spans="1:13" ht="15.75" thickBot="1">
      <c r="A66" s="30"/>
      <c r="B66" s="19"/>
      <c r="C66" s="19"/>
      <c r="D66" s="19"/>
      <c r="E66" s="19"/>
      <c r="F66" s="19"/>
      <c r="G66" s="19"/>
      <c r="H66" s="19"/>
      <c r="I66" s="19"/>
      <c r="J66" s="19"/>
      <c r="K66" s="19"/>
      <c r="L66" s="19"/>
      <c r="M66" s="24"/>
    </row>
    <row r="67" spans="1:13" ht="15.75" thickBot="1">
      <c r="A67" s="438" t="s">
        <v>103</v>
      </c>
      <c r="B67" s="439"/>
      <c r="C67" s="439"/>
      <c r="D67" s="439"/>
      <c r="E67" s="439"/>
      <c r="F67" s="439"/>
      <c r="G67" s="439"/>
      <c r="H67" s="199"/>
      <c r="I67" s="200"/>
      <c r="J67" s="81" t="s">
        <v>104</v>
      </c>
      <c r="K67" s="440" t="s">
        <v>105</v>
      </c>
      <c r="L67" s="441"/>
      <c r="M67" s="82"/>
    </row>
    <row r="68" spans="1:13">
      <c r="A68" s="442" t="s">
        <v>106</v>
      </c>
      <c r="B68" s="443"/>
      <c r="C68" s="443"/>
      <c r="D68" s="443"/>
      <c r="E68" s="443"/>
      <c r="F68" s="443"/>
      <c r="G68" s="443"/>
      <c r="H68" s="83"/>
      <c r="I68" s="84"/>
      <c r="J68" s="85">
        <v>0.19</v>
      </c>
      <c r="K68" s="444">
        <f>M63*J68</f>
        <v>14869.78</v>
      </c>
      <c r="L68" s="444"/>
      <c r="M68" s="86"/>
    </row>
    <row r="69" spans="1:13">
      <c r="A69" s="447" t="s">
        <v>107</v>
      </c>
      <c r="B69" s="448"/>
      <c r="C69" s="448"/>
      <c r="D69" s="448"/>
      <c r="E69" s="448"/>
      <c r="F69" s="448"/>
      <c r="G69" s="449"/>
      <c r="H69" s="77"/>
      <c r="I69" s="78"/>
      <c r="J69" s="5">
        <v>0.01</v>
      </c>
      <c r="K69" s="445">
        <f>M63*J69</f>
        <v>782.62</v>
      </c>
      <c r="L69" s="445"/>
      <c r="M69" s="6"/>
    </row>
    <row r="70" spans="1:13">
      <c r="A70" s="447" t="s">
        <v>108</v>
      </c>
      <c r="B70" s="448"/>
      <c r="C70" s="448"/>
      <c r="D70" s="448"/>
      <c r="E70" s="448"/>
      <c r="F70" s="448"/>
      <c r="G70" s="449"/>
      <c r="H70" s="77"/>
      <c r="I70" s="78"/>
      <c r="J70" s="5">
        <v>0.05</v>
      </c>
      <c r="K70" s="445">
        <f>M63*J70</f>
        <v>3913.1000000000004</v>
      </c>
      <c r="L70" s="445"/>
      <c r="M70" s="6"/>
    </row>
    <row r="71" spans="1:13" ht="15.75" thickBot="1">
      <c r="A71" s="450" t="s">
        <v>117</v>
      </c>
      <c r="B71" s="451"/>
      <c r="C71" s="451"/>
      <c r="D71" s="451"/>
      <c r="E71" s="451"/>
      <c r="F71" s="451"/>
      <c r="G71" s="452"/>
      <c r="H71" s="87"/>
      <c r="I71" s="88"/>
      <c r="J71" s="89">
        <v>0.19</v>
      </c>
      <c r="K71" s="446">
        <f>K70*J71</f>
        <v>743.48900000000003</v>
      </c>
      <c r="L71" s="446"/>
      <c r="M71" s="90"/>
    </row>
    <row r="72" spans="1:13" ht="15.75" thickBot="1">
      <c r="A72" s="435" t="s">
        <v>87</v>
      </c>
      <c r="B72" s="436"/>
      <c r="C72" s="436"/>
      <c r="D72" s="436"/>
      <c r="E72" s="436"/>
      <c r="F72" s="436"/>
      <c r="G72" s="436"/>
      <c r="H72" s="436"/>
      <c r="I72" s="436"/>
      <c r="J72" s="436"/>
      <c r="K72" s="436"/>
      <c r="L72" s="437"/>
      <c r="M72" s="76">
        <f>SUM(K68:L71)</f>
        <v>20308.989000000001</v>
      </c>
    </row>
    <row r="73" spans="1:13" ht="15.75" thickBot="1">
      <c r="A73" s="30"/>
      <c r="B73" s="19"/>
      <c r="C73" s="19"/>
      <c r="D73" s="19"/>
      <c r="E73" s="19"/>
      <c r="F73" s="19"/>
      <c r="G73" s="19"/>
      <c r="H73" s="19"/>
      <c r="I73" s="19"/>
      <c r="J73" s="19"/>
      <c r="K73" s="19"/>
      <c r="L73" s="19"/>
      <c r="M73" s="24"/>
    </row>
    <row r="74" spans="1:13" ht="15.75" thickBot="1">
      <c r="A74" s="416" t="s">
        <v>109</v>
      </c>
      <c r="B74" s="417"/>
      <c r="C74" s="417"/>
      <c r="D74" s="417"/>
      <c r="E74" s="417"/>
      <c r="F74" s="417"/>
      <c r="G74" s="417"/>
      <c r="H74" s="417"/>
      <c r="I74" s="417"/>
      <c r="J74" s="417"/>
      <c r="K74" s="417"/>
      <c r="L74" s="418"/>
      <c r="M74" s="71">
        <f>ROUND(M63+M72,0)</f>
        <v>98571</v>
      </c>
    </row>
  </sheetData>
  <mergeCells count="81">
    <mergeCell ref="A72:L72"/>
    <mergeCell ref="A74:L74"/>
    <mergeCell ref="A68:G68"/>
    <mergeCell ref="K68:L68"/>
    <mergeCell ref="A69:G69"/>
    <mergeCell ref="K69:L69"/>
    <mergeCell ref="A70:G70"/>
    <mergeCell ref="K70:L70"/>
    <mergeCell ref="A63:L63"/>
    <mergeCell ref="A67:G67"/>
    <mergeCell ref="K67:L67"/>
    <mergeCell ref="A71:G71"/>
    <mergeCell ref="K71:L71"/>
    <mergeCell ref="A58:G58"/>
    <mergeCell ref="K58:L58"/>
    <mergeCell ref="A60:G60"/>
    <mergeCell ref="K60:L60"/>
    <mergeCell ref="A61:L61"/>
    <mergeCell ref="A44:H44"/>
    <mergeCell ref="K44:L44"/>
    <mergeCell ref="A45:H45"/>
    <mergeCell ref="K45:L45"/>
    <mergeCell ref="A59:G59"/>
    <mergeCell ref="K59:L59"/>
    <mergeCell ref="A46:L46"/>
    <mergeCell ref="A50:G50"/>
    <mergeCell ref="K50:L50"/>
    <mergeCell ref="A51:G51"/>
    <mergeCell ref="K51:L51"/>
    <mergeCell ref="A52:G52"/>
    <mergeCell ref="K52:L52"/>
    <mergeCell ref="A53:L53"/>
    <mergeCell ref="A57:G57"/>
    <mergeCell ref="K57:L57"/>
    <mergeCell ref="A41:H41"/>
    <mergeCell ref="K41:L41"/>
    <mergeCell ref="A42:H42"/>
    <mergeCell ref="K42:L42"/>
    <mergeCell ref="A43:H43"/>
    <mergeCell ref="K43:L43"/>
    <mergeCell ref="A38:H38"/>
    <mergeCell ref="K38:L38"/>
    <mergeCell ref="A39:H39"/>
    <mergeCell ref="K39:L39"/>
    <mergeCell ref="A40:H40"/>
    <mergeCell ref="K40:L40"/>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21:B21"/>
    <mergeCell ref="A23:M23"/>
    <mergeCell ref="B25:I25"/>
    <mergeCell ref="K25:L25"/>
    <mergeCell ref="B26:I26"/>
    <mergeCell ref="K26:L26"/>
    <mergeCell ref="A20:B20"/>
    <mergeCell ref="C20:M20"/>
    <mergeCell ref="A1:C7"/>
    <mergeCell ref="D1:J3"/>
    <mergeCell ref="K1:M7"/>
    <mergeCell ref="D4:J7"/>
    <mergeCell ref="A9:B9"/>
    <mergeCell ref="C9:H9"/>
    <mergeCell ref="K9:M9"/>
    <mergeCell ref="C12:F12"/>
    <mergeCell ref="H12:I12"/>
    <mergeCell ref="C13:M14"/>
    <mergeCell ref="C16:M16"/>
    <mergeCell ref="C18:M18"/>
  </mergeCells>
  <pageMargins left="0.7" right="0.7" top="0.75" bottom="0.75" header="0.3" footer="0.3"/>
  <pageSetup scale="56"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view="pageBreakPreview" topLeftCell="A46" zoomScale="80" zoomScaleNormal="100" zoomScaleSheetLayoutView="80" workbookViewId="0">
      <selection activeCell="M64" sqref="M64"/>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4.5703125" customWidth="1"/>
  </cols>
  <sheetData>
    <row r="1" spans="1:13" ht="15" customHeight="1">
      <c r="A1" s="458"/>
      <c r="B1" s="459"/>
      <c r="C1" s="459"/>
      <c r="D1" s="491" t="s">
        <v>67</v>
      </c>
      <c r="E1" s="491"/>
      <c r="F1" s="491"/>
      <c r="G1" s="491"/>
      <c r="H1" s="491"/>
      <c r="I1" s="491"/>
      <c r="J1" s="491"/>
      <c r="K1" s="493"/>
      <c r="L1" s="493"/>
      <c r="M1" s="494"/>
    </row>
    <row r="2" spans="1:13">
      <c r="A2" s="460"/>
      <c r="B2" s="389"/>
      <c r="C2" s="389"/>
      <c r="D2" s="492"/>
      <c r="E2" s="492"/>
      <c r="F2" s="492"/>
      <c r="G2" s="492"/>
      <c r="H2" s="492"/>
      <c r="I2" s="492"/>
      <c r="J2" s="492"/>
      <c r="K2" s="495"/>
      <c r="L2" s="495"/>
      <c r="M2" s="496"/>
    </row>
    <row r="3" spans="1:13">
      <c r="A3" s="460"/>
      <c r="B3" s="389"/>
      <c r="C3" s="389"/>
      <c r="D3" s="492"/>
      <c r="E3" s="492"/>
      <c r="F3" s="492"/>
      <c r="G3" s="492"/>
      <c r="H3" s="492"/>
      <c r="I3" s="492"/>
      <c r="J3" s="492"/>
      <c r="K3" s="495"/>
      <c r="L3" s="495"/>
      <c r="M3" s="496"/>
    </row>
    <row r="4" spans="1:13" ht="15" customHeight="1">
      <c r="A4" s="460"/>
      <c r="B4" s="389"/>
      <c r="C4" s="389"/>
      <c r="D4" s="389" t="s">
        <v>112</v>
      </c>
      <c r="E4" s="389"/>
      <c r="F4" s="389"/>
      <c r="G4" s="389"/>
      <c r="H4" s="389"/>
      <c r="I4" s="389"/>
      <c r="J4" s="389"/>
      <c r="K4" s="495"/>
      <c r="L4" s="495"/>
      <c r="M4" s="496"/>
    </row>
    <row r="5" spans="1:13">
      <c r="A5" s="460"/>
      <c r="B5" s="389"/>
      <c r="C5" s="389"/>
      <c r="D5" s="389"/>
      <c r="E5" s="389"/>
      <c r="F5" s="389"/>
      <c r="G5" s="389"/>
      <c r="H5" s="389"/>
      <c r="I5" s="389"/>
      <c r="J5" s="389"/>
      <c r="K5" s="495"/>
      <c r="L5" s="495"/>
      <c r="M5" s="496"/>
    </row>
    <row r="6" spans="1:13">
      <c r="A6" s="460"/>
      <c r="B6" s="389"/>
      <c r="C6" s="389"/>
      <c r="D6" s="389"/>
      <c r="E6" s="389"/>
      <c r="F6" s="389"/>
      <c r="G6" s="389"/>
      <c r="H6" s="389"/>
      <c r="I6" s="389"/>
      <c r="J6" s="389"/>
      <c r="K6" s="495"/>
      <c r="L6" s="495"/>
      <c r="M6" s="496"/>
    </row>
    <row r="7" spans="1:13" ht="15.75" thickBot="1">
      <c r="A7" s="461"/>
      <c r="B7" s="390"/>
      <c r="C7" s="390"/>
      <c r="D7" s="390"/>
      <c r="E7" s="390"/>
      <c r="F7" s="390"/>
      <c r="G7" s="390"/>
      <c r="H7" s="390"/>
      <c r="I7" s="390"/>
      <c r="J7" s="390"/>
      <c r="K7" s="497"/>
      <c r="L7" s="497"/>
      <c r="M7" s="498"/>
    </row>
    <row r="8" spans="1:13">
      <c r="A8" s="192"/>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93"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93"/>
      <c r="D17" s="193"/>
      <c r="E17" s="193"/>
      <c r="F17" s="193"/>
      <c r="G17" s="193"/>
      <c r="H17" s="193"/>
      <c r="I17" s="193"/>
      <c r="J17" s="193"/>
      <c r="K17" s="193"/>
      <c r="L17" s="193"/>
      <c r="M17" s="13"/>
    </row>
    <row r="18" spans="1:13">
      <c r="A18" s="25" t="s">
        <v>74</v>
      </c>
      <c r="B18" s="26"/>
      <c r="C18" s="379"/>
      <c r="D18" s="379"/>
      <c r="E18" s="379"/>
      <c r="F18" s="379"/>
      <c r="G18" s="379"/>
      <c r="H18" s="379"/>
      <c r="I18" s="379"/>
      <c r="J18" s="379"/>
      <c r="K18" s="379"/>
      <c r="L18" s="379"/>
      <c r="M18" s="380"/>
    </row>
    <row r="19" spans="1:13">
      <c r="A19" s="25"/>
      <c r="B19" s="26"/>
      <c r="C19" s="193"/>
      <c r="D19" s="193"/>
      <c r="E19" s="193"/>
      <c r="F19" s="193"/>
      <c r="G19" s="193"/>
      <c r="H19" s="193"/>
      <c r="I19" s="193"/>
      <c r="J19" s="193"/>
      <c r="K19" s="193"/>
      <c r="L19" s="193"/>
      <c r="M19" s="13"/>
    </row>
    <row r="20" spans="1:13" ht="31.5" customHeight="1">
      <c r="A20" s="464" t="s">
        <v>113</v>
      </c>
      <c r="B20" s="465"/>
      <c r="C20" s="379"/>
      <c r="D20" s="379"/>
      <c r="E20" s="379"/>
      <c r="F20" s="379"/>
      <c r="G20" s="379"/>
      <c r="H20" s="379"/>
      <c r="I20" s="379"/>
      <c r="J20" s="379"/>
      <c r="K20" s="379"/>
      <c r="L20" s="379"/>
      <c r="M20" s="380"/>
    </row>
    <row r="21" spans="1:13">
      <c r="A21" s="400"/>
      <c r="B21" s="401"/>
      <c r="C21" s="193"/>
      <c r="D21" s="193"/>
      <c r="E21" s="193"/>
      <c r="F21" s="193"/>
      <c r="G21" s="193"/>
      <c r="H21" s="193"/>
      <c r="I21" s="193"/>
      <c r="J21" s="193"/>
      <c r="K21" s="193"/>
      <c r="L21" s="193"/>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85" t="s">
        <v>78</v>
      </c>
      <c r="K25" s="408" t="s">
        <v>79</v>
      </c>
      <c r="L25" s="409"/>
      <c r="M25" s="31" t="s">
        <v>80</v>
      </c>
    </row>
    <row r="26" spans="1:13" ht="15.75" thickBot="1">
      <c r="A26" s="33"/>
      <c r="B26" s="391" t="s">
        <v>215</v>
      </c>
      <c r="C26" s="392"/>
      <c r="D26" s="392"/>
      <c r="E26" s="392"/>
      <c r="F26" s="392"/>
      <c r="G26" s="392"/>
      <c r="H26" s="392"/>
      <c r="I26" s="393"/>
      <c r="J26" s="184">
        <v>1</v>
      </c>
      <c r="K26" s="391" t="s">
        <v>8</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90" t="s">
        <v>83</v>
      </c>
      <c r="K30" s="421" t="s">
        <v>84</v>
      </c>
      <c r="L30" s="424"/>
      <c r="M30" s="44" t="s">
        <v>85</v>
      </c>
    </row>
    <row r="31" spans="1:13">
      <c r="A31" s="425"/>
      <c r="B31" s="426"/>
      <c r="C31" s="426"/>
      <c r="D31" s="426"/>
      <c r="E31" s="427"/>
      <c r="F31" s="428"/>
      <c r="G31" s="429"/>
      <c r="H31" s="430"/>
      <c r="I31" s="427"/>
      <c r="J31" s="72"/>
      <c r="K31" s="428"/>
      <c r="L31" s="429"/>
      <c r="M31" s="46"/>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0</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86" t="s">
        <v>79</v>
      </c>
      <c r="J37" s="190" t="s">
        <v>80</v>
      </c>
      <c r="K37" s="421" t="s">
        <v>89</v>
      </c>
      <c r="L37" s="424"/>
      <c r="M37" s="44" t="s">
        <v>85</v>
      </c>
    </row>
    <row r="38" spans="1:13">
      <c r="A38" s="425" t="s">
        <v>216</v>
      </c>
      <c r="B38" s="426"/>
      <c r="C38" s="426"/>
      <c r="D38" s="426"/>
      <c r="E38" s="426"/>
      <c r="F38" s="426"/>
      <c r="G38" s="426"/>
      <c r="H38" s="427"/>
      <c r="I38" s="73" t="s">
        <v>11</v>
      </c>
      <c r="J38" s="45">
        <v>0.114</v>
      </c>
      <c r="K38" s="456">
        <v>70068</v>
      </c>
      <c r="L38" s="457"/>
      <c r="M38" s="56">
        <f>K38*J38</f>
        <v>7987.7520000000004</v>
      </c>
    </row>
    <row r="39" spans="1:13">
      <c r="A39" s="425" t="s">
        <v>217</v>
      </c>
      <c r="B39" s="426"/>
      <c r="C39" s="426"/>
      <c r="D39" s="426"/>
      <c r="E39" s="426"/>
      <c r="F39" s="426"/>
      <c r="G39" s="426"/>
      <c r="H39" s="427"/>
      <c r="I39" s="73" t="s">
        <v>8</v>
      </c>
      <c r="J39" s="45">
        <v>0.3</v>
      </c>
      <c r="K39" s="456">
        <v>17821</v>
      </c>
      <c r="L39" s="457"/>
      <c r="M39" s="56">
        <f>K39*J39</f>
        <v>5346.3</v>
      </c>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c r="A42" s="425"/>
      <c r="B42" s="426"/>
      <c r="C42" s="426"/>
      <c r="D42" s="426"/>
      <c r="E42" s="426"/>
      <c r="F42" s="426"/>
      <c r="G42" s="426"/>
      <c r="H42" s="427"/>
      <c r="I42" s="73"/>
      <c r="J42" s="45"/>
      <c r="K42" s="456"/>
      <c r="L42" s="457"/>
      <c r="M42" s="56"/>
    </row>
    <row r="43" spans="1:13">
      <c r="A43" s="425"/>
      <c r="B43" s="426"/>
      <c r="C43" s="426"/>
      <c r="D43" s="426"/>
      <c r="E43" s="426"/>
      <c r="F43" s="426"/>
      <c r="G43" s="426"/>
      <c r="H43" s="427"/>
      <c r="I43" s="73"/>
      <c r="J43" s="45"/>
      <c r="K43" s="456"/>
      <c r="L43" s="457"/>
      <c r="M43" s="56"/>
    </row>
    <row r="44" spans="1:13">
      <c r="A44" s="425"/>
      <c r="B44" s="426"/>
      <c r="C44" s="426"/>
      <c r="D44" s="426"/>
      <c r="E44" s="426"/>
      <c r="F44" s="426"/>
      <c r="G44" s="426"/>
      <c r="H44" s="427"/>
      <c r="I44" s="73"/>
      <c r="J44" s="45"/>
      <c r="K44" s="456"/>
      <c r="L44" s="457"/>
      <c r="M44" s="56"/>
    </row>
    <row r="45" spans="1:13">
      <c r="A45" s="425"/>
      <c r="B45" s="426"/>
      <c r="C45" s="426"/>
      <c r="D45" s="426"/>
      <c r="E45" s="426"/>
      <c r="F45" s="426"/>
      <c r="G45" s="426"/>
      <c r="H45" s="427"/>
      <c r="I45" s="73"/>
      <c r="J45" s="45"/>
      <c r="K45" s="456"/>
      <c r="L45" s="457"/>
      <c r="M45" s="56"/>
    </row>
    <row r="46" spans="1:13" ht="15.75" thickBot="1">
      <c r="A46" s="410"/>
      <c r="B46" s="411"/>
      <c r="C46" s="411"/>
      <c r="D46" s="411"/>
      <c r="E46" s="411"/>
      <c r="F46" s="411"/>
      <c r="G46" s="411"/>
      <c r="H46" s="412"/>
      <c r="I46" s="74"/>
      <c r="J46" s="57"/>
      <c r="K46" s="466"/>
      <c r="L46" s="467"/>
      <c r="M46" s="75"/>
    </row>
    <row r="47" spans="1:13" ht="15.75" thickBot="1">
      <c r="A47" s="416" t="s">
        <v>87</v>
      </c>
      <c r="B47" s="417"/>
      <c r="C47" s="417"/>
      <c r="D47" s="417"/>
      <c r="E47" s="417"/>
      <c r="F47" s="417"/>
      <c r="G47" s="417"/>
      <c r="H47" s="417"/>
      <c r="I47" s="417"/>
      <c r="J47" s="417"/>
      <c r="K47" s="417"/>
      <c r="L47" s="418"/>
      <c r="M47" s="58">
        <f>SUM(M38:M46)</f>
        <v>13334.052</v>
      </c>
    </row>
    <row r="48" spans="1:13">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190" t="s">
        <v>92</v>
      </c>
      <c r="I51" s="187" t="s">
        <v>93</v>
      </c>
      <c r="J51" s="60" t="s">
        <v>94</v>
      </c>
      <c r="K51" s="421" t="s">
        <v>95</v>
      </c>
      <c r="L51" s="424"/>
      <c r="M51" s="44" t="s">
        <v>85</v>
      </c>
    </row>
    <row r="52" spans="1:14">
      <c r="A52" s="425"/>
      <c r="B52" s="426"/>
      <c r="C52" s="426"/>
      <c r="D52" s="426"/>
      <c r="E52" s="426"/>
      <c r="F52" s="426"/>
      <c r="G52" s="426"/>
      <c r="H52" s="61"/>
      <c r="I52" s="55"/>
      <c r="J52" s="61"/>
      <c r="K52" s="428"/>
      <c r="L52" s="429"/>
    </row>
    <row r="53" spans="1:14" ht="15.75" thickBot="1">
      <c r="A53" s="410"/>
      <c r="B53" s="411"/>
      <c r="C53" s="411"/>
      <c r="D53" s="411"/>
      <c r="E53" s="411"/>
      <c r="F53" s="411"/>
      <c r="G53" s="411"/>
      <c r="H53" s="47"/>
      <c r="I53" s="15"/>
      <c r="J53" s="47"/>
      <c r="K53" s="414"/>
      <c r="L53" s="415"/>
      <c r="M53" s="62"/>
    </row>
    <row r="54" spans="1:14" ht="15.75" thickBot="1">
      <c r="A54" s="416" t="s">
        <v>87</v>
      </c>
      <c r="B54" s="417"/>
      <c r="C54" s="417"/>
      <c r="D54" s="417"/>
      <c r="E54" s="417"/>
      <c r="F54" s="417"/>
      <c r="G54" s="417"/>
      <c r="H54" s="417"/>
      <c r="I54" s="417"/>
      <c r="J54" s="417"/>
      <c r="K54" s="417"/>
      <c r="L54" s="418"/>
      <c r="M54" s="63">
        <f>SUM(M53:M53)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190" t="s">
        <v>98</v>
      </c>
      <c r="I58" s="191" t="s">
        <v>99</v>
      </c>
      <c r="J58" s="191" t="s">
        <v>100</v>
      </c>
      <c r="K58" s="455" t="s">
        <v>84</v>
      </c>
      <c r="L58" s="455"/>
      <c r="M58" s="65" t="s">
        <v>85</v>
      </c>
    </row>
    <row r="59" spans="1:14" ht="15.75" thickBot="1">
      <c r="A59" s="432" t="s">
        <v>218</v>
      </c>
      <c r="B59" s="433"/>
      <c r="C59" s="433"/>
      <c r="D59" s="433"/>
      <c r="E59" s="433"/>
      <c r="F59" s="433"/>
      <c r="G59" s="433"/>
      <c r="H59" s="3">
        <v>118472</v>
      </c>
      <c r="I59" s="4">
        <v>2.2000000000000002</v>
      </c>
      <c r="J59" s="67">
        <f>(I59*H59)</f>
        <v>260638.40000000002</v>
      </c>
      <c r="K59" s="434">
        <v>16.715145643847329</v>
      </c>
      <c r="L59" s="434"/>
      <c r="M59" s="68">
        <f>J59/K59</f>
        <v>15592.948189233295</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15592.948189233295</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ROUND(M62+M54+M47+M33,0)</f>
        <v>28927</v>
      </c>
      <c r="N64" s="155"/>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188"/>
      <c r="I68" s="189"/>
      <c r="J68" s="81" t="s">
        <v>104</v>
      </c>
      <c r="K68" s="440" t="s">
        <v>105</v>
      </c>
      <c r="L68" s="441"/>
      <c r="M68" s="82"/>
    </row>
    <row r="69" spans="1:13">
      <c r="A69" s="442" t="s">
        <v>106</v>
      </c>
      <c r="B69" s="443"/>
      <c r="C69" s="443"/>
      <c r="D69" s="443"/>
      <c r="E69" s="443"/>
      <c r="F69" s="443"/>
      <c r="G69" s="443"/>
      <c r="H69" s="83"/>
      <c r="I69" s="84"/>
      <c r="J69" s="85">
        <v>0.19</v>
      </c>
      <c r="K69" s="444">
        <f>M64*J69</f>
        <v>5496.13</v>
      </c>
      <c r="L69" s="444"/>
      <c r="M69" s="86"/>
    </row>
    <row r="70" spans="1:13">
      <c r="A70" s="447" t="s">
        <v>107</v>
      </c>
      <c r="B70" s="448"/>
      <c r="C70" s="448"/>
      <c r="D70" s="448"/>
      <c r="E70" s="448"/>
      <c r="F70" s="448"/>
      <c r="G70" s="449"/>
      <c r="H70" s="77"/>
      <c r="I70" s="78"/>
      <c r="J70" s="5">
        <v>0.01</v>
      </c>
      <c r="K70" s="445">
        <f>M64*J70</f>
        <v>289.27</v>
      </c>
      <c r="L70" s="445"/>
      <c r="M70" s="6"/>
    </row>
    <row r="71" spans="1:13">
      <c r="A71" s="447" t="s">
        <v>108</v>
      </c>
      <c r="B71" s="448"/>
      <c r="C71" s="448"/>
      <c r="D71" s="448"/>
      <c r="E71" s="448"/>
      <c r="F71" s="448"/>
      <c r="G71" s="449"/>
      <c r="H71" s="77"/>
      <c r="I71" s="78"/>
      <c r="J71" s="5">
        <v>0.05</v>
      </c>
      <c r="K71" s="445">
        <f>M64*J71</f>
        <v>1446.3500000000001</v>
      </c>
      <c r="L71" s="445"/>
      <c r="M71" s="6"/>
    </row>
    <row r="72" spans="1:13" ht="15.75" thickBot="1">
      <c r="A72" s="450" t="s">
        <v>117</v>
      </c>
      <c r="B72" s="451"/>
      <c r="C72" s="451"/>
      <c r="D72" s="451"/>
      <c r="E72" s="451"/>
      <c r="F72" s="451"/>
      <c r="G72" s="452"/>
      <c r="H72" s="87"/>
      <c r="I72" s="88"/>
      <c r="J72" s="89">
        <v>0.19</v>
      </c>
      <c r="K72" s="446">
        <f>K71*J72</f>
        <v>274.80650000000003</v>
      </c>
      <c r="L72" s="446"/>
      <c r="M72" s="90"/>
    </row>
    <row r="73" spans="1:13" ht="15.75" thickBot="1">
      <c r="A73" s="435" t="s">
        <v>87</v>
      </c>
      <c r="B73" s="436"/>
      <c r="C73" s="436"/>
      <c r="D73" s="436"/>
      <c r="E73" s="436"/>
      <c r="F73" s="436"/>
      <c r="G73" s="436"/>
      <c r="H73" s="436"/>
      <c r="I73" s="436"/>
      <c r="J73" s="436"/>
      <c r="K73" s="436"/>
      <c r="L73" s="437"/>
      <c r="M73" s="76">
        <f>SUM(K69:L72)</f>
        <v>7506.5564999999997</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36434</v>
      </c>
    </row>
  </sheetData>
  <mergeCells count="83">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61:G61"/>
    <mergeCell ref="K61:L61"/>
    <mergeCell ref="A62:L62"/>
    <mergeCell ref="A64:L64"/>
    <mergeCell ref="A68:G68"/>
    <mergeCell ref="K68:L68"/>
    <mergeCell ref="A72:G72"/>
    <mergeCell ref="K72:L72"/>
    <mergeCell ref="A73:L73"/>
    <mergeCell ref="A75:L75"/>
    <mergeCell ref="A69:G69"/>
    <mergeCell ref="K69:L69"/>
    <mergeCell ref="A70:G70"/>
    <mergeCell ref="K70:L70"/>
    <mergeCell ref="A71:G71"/>
    <mergeCell ref="K71:L71"/>
  </mergeCells>
  <pageMargins left="0.7" right="0.7" top="0.75" bottom="0.75" header="0.3" footer="0.3"/>
  <pageSetup scale="56"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6"/>
  <sheetViews>
    <sheetView view="pageBreakPreview" topLeftCell="A46" zoomScale="80" zoomScaleNormal="100" zoomScaleSheetLayoutView="80" workbookViewId="0">
      <selection activeCell="M65" sqref="M65"/>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4.5703125" customWidth="1"/>
  </cols>
  <sheetData>
    <row r="1" spans="1:13" ht="15" customHeight="1">
      <c r="A1" s="458"/>
      <c r="B1" s="459"/>
      <c r="C1" s="459"/>
      <c r="D1" s="491" t="s">
        <v>67</v>
      </c>
      <c r="E1" s="491"/>
      <c r="F1" s="491"/>
      <c r="G1" s="491"/>
      <c r="H1" s="491"/>
      <c r="I1" s="491"/>
      <c r="J1" s="491"/>
      <c r="K1" s="493"/>
      <c r="L1" s="493"/>
      <c r="M1" s="494"/>
    </row>
    <row r="2" spans="1:13">
      <c r="A2" s="460"/>
      <c r="B2" s="389"/>
      <c r="C2" s="389"/>
      <c r="D2" s="492"/>
      <c r="E2" s="492"/>
      <c r="F2" s="492"/>
      <c r="G2" s="492"/>
      <c r="H2" s="492"/>
      <c r="I2" s="492"/>
      <c r="J2" s="492"/>
      <c r="K2" s="495"/>
      <c r="L2" s="495"/>
      <c r="M2" s="496"/>
    </row>
    <row r="3" spans="1:13">
      <c r="A3" s="460"/>
      <c r="B3" s="389"/>
      <c r="C3" s="389"/>
      <c r="D3" s="492"/>
      <c r="E3" s="492"/>
      <c r="F3" s="492"/>
      <c r="G3" s="492"/>
      <c r="H3" s="492"/>
      <c r="I3" s="492"/>
      <c r="J3" s="492"/>
      <c r="K3" s="495"/>
      <c r="L3" s="495"/>
      <c r="M3" s="496"/>
    </row>
    <row r="4" spans="1:13" ht="15" customHeight="1">
      <c r="A4" s="460"/>
      <c r="B4" s="389"/>
      <c r="C4" s="389"/>
      <c r="D4" s="389" t="s">
        <v>112</v>
      </c>
      <c r="E4" s="389"/>
      <c r="F4" s="389"/>
      <c r="G4" s="389"/>
      <c r="H4" s="389"/>
      <c r="I4" s="389"/>
      <c r="J4" s="389"/>
      <c r="K4" s="495"/>
      <c r="L4" s="495"/>
      <c r="M4" s="496"/>
    </row>
    <row r="5" spans="1:13">
      <c r="A5" s="460"/>
      <c r="B5" s="389"/>
      <c r="C5" s="389"/>
      <c r="D5" s="389"/>
      <c r="E5" s="389"/>
      <c r="F5" s="389"/>
      <c r="G5" s="389"/>
      <c r="H5" s="389"/>
      <c r="I5" s="389"/>
      <c r="J5" s="389"/>
      <c r="K5" s="495"/>
      <c r="L5" s="495"/>
      <c r="M5" s="496"/>
    </row>
    <row r="6" spans="1:13">
      <c r="A6" s="460"/>
      <c r="B6" s="389"/>
      <c r="C6" s="389"/>
      <c r="D6" s="389"/>
      <c r="E6" s="389"/>
      <c r="F6" s="389"/>
      <c r="G6" s="389"/>
      <c r="H6" s="389"/>
      <c r="I6" s="389"/>
      <c r="J6" s="389"/>
      <c r="K6" s="495"/>
      <c r="L6" s="495"/>
      <c r="M6" s="496"/>
    </row>
    <row r="7" spans="1:13" ht="15.75" thickBot="1">
      <c r="A7" s="461"/>
      <c r="B7" s="390"/>
      <c r="C7" s="390"/>
      <c r="D7" s="390"/>
      <c r="E7" s="390"/>
      <c r="F7" s="390"/>
      <c r="G7" s="390"/>
      <c r="H7" s="390"/>
      <c r="I7" s="390"/>
      <c r="J7" s="390"/>
      <c r="K7" s="497"/>
      <c r="L7" s="497"/>
      <c r="M7" s="498"/>
    </row>
    <row r="8" spans="1:13">
      <c r="A8" s="192"/>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93"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93"/>
      <c r="D17" s="193"/>
      <c r="E17" s="193"/>
      <c r="F17" s="193"/>
      <c r="G17" s="193"/>
      <c r="H17" s="193"/>
      <c r="I17" s="193"/>
      <c r="J17" s="193"/>
      <c r="K17" s="193"/>
      <c r="L17" s="193"/>
      <c r="M17" s="13"/>
    </row>
    <row r="18" spans="1:13">
      <c r="A18" s="25" t="s">
        <v>74</v>
      </c>
      <c r="B18" s="26"/>
      <c r="C18" s="379"/>
      <c r="D18" s="379"/>
      <c r="E18" s="379"/>
      <c r="F18" s="379"/>
      <c r="G18" s="379"/>
      <c r="H18" s="379"/>
      <c r="I18" s="379"/>
      <c r="J18" s="379"/>
      <c r="K18" s="379"/>
      <c r="L18" s="379"/>
      <c r="M18" s="380"/>
    </row>
    <row r="19" spans="1:13">
      <c r="A19" s="25"/>
      <c r="B19" s="26"/>
      <c r="C19" s="193"/>
      <c r="D19" s="193"/>
      <c r="E19" s="193"/>
      <c r="F19" s="193"/>
      <c r="G19" s="193"/>
      <c r="H19" s="193"/>
      <c r="I19" s="193"/>
      <c r="J19" s="193"/>
      <c r="K19" s="193"/>
      <c r="L19" s="193"/>
      <c r="M19" s="13"/>
    </row>
    <row r="20" spans="1:13" ht="31.5" customHeight="1">
      <c r="A20" s="464" t="s">
        <v>113</v>
      </c>
      <c r="B20" s="465"/>
      <c r="C20" s="379"/>
      <c r="D20" s="379"/>
      <c r="E20" s="379"/>
      <c r="F20" s="379"/>
      <c r="G20" s="379"/>
      <c r="H20" s="379"/>
      <c r="I20" s="379"/>
      <c r="J20" s="379"/>
      <c r="K20" s="379"/>
      <c r="L20" s="379"/>
      <c r="M20" s="380"/>
    </row>
    <row r="21" spans="1:13">
      <c r="A21" s="400"/>
      <c r="B21" s="401"/>
      <c r="C21" s="193"/>
      <c r="D21" s="193"/>
      <c r="E21" s="193"/>
      <c r="F21" s="193"/>
      <c r="G21" s="193"/>
      <c r="H21" s="193"/>
      <c r="I21" s="193"/>
      <c r="J21" s="193"/>
      <c r="K21" s="193"/>
      <c r="L21" s="193"/>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85" t="s">
        <v>78</v>
      </c>
      <c r="K25" s="408" t="s">
        <v>79</v>
      </c>
      <c r="L25" s="409"/>
      <c r="M25" s="31" t="s">
        <v>80</v>
      </c>
    </row>
    <row r="26" spans="1:13" ht="15.75" thickBot="1">
      <c r="A26" s="33"/>
      <c r="B26" s="391" t="s">
        <v>220</v>
      </c>
      <c r="C26" s="392"/>
      <c r="D26" s="392"/>
      <c r="E26" s="392"/>
      <c r="F26" s="392"/>
      <c r="G26" s="392"/>
      <c r="H26" s="392"/>
      <c r="I26" s="393"/>
      <c r="J26" s="184">
        <v>1</v>
      </c>
      <c r="K26" s="391" t="s">
        <v>8</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90" t="s">
        <v>83</v>
      </c>
      <c r="K30" s="421" t="s">
        <v>84</v>
      </c>
      <c r="L30" s="424"/>
      <c r="M30" s="44" t="s">
        <v>85</v>
      </c>
    </row>
    <row r="31" spans="1:13">
      <c r="A31" s="425" t="s">
        <v>124</v>
      </c>
      <c r="B31" s="426"/>
      <c r="C31" s="426"/>
      <c r="D31" s="426"/>
      <c r="E31" s="427"/>
      <c r="F31" s="428" t="s">
        <v>125</v>
      </c>
      <c r="G31" s="429"/>
      <c r="H31" s="430" t="s">
        <v>86</v>
      </c>
      <c r="I31" s="427"/>
      <c r="J31" s="72">
        <f>M63*10%</f>
        <v>2606.3840000000005</v>
      </c>
      <c r="K31" s="428">
        <v>1</v>
      </c>
      <c r="L31" s="429"/>
      <c r="M31" s="209">
        <f>J31/K31</f>
        <v>2606.3840000000005</v>
      </c>
    </row>
    <row r="32" spans="1:13">
      <c r="A32" s="425" t="s">
        <v>219</v>
      </c>
      <c r="B32" s="426"/>
      <c r="C32" s="426"/>
      <c r="D32" s="426"/>
      <c r="E32" s="427"/>
      <c r="F32" s="428" t="s">
        <v>110</v>
      </c>
      <c r="G32" s="429"/>
      <c r="H32" s="430" t="s">
        <v>86</v>
      </c>
      <c r="I32" s="427"/>
      <c r="J32" s="72">
        <v>25603</v>
      </c>
      <c r="K32" s="428">
        <v>20</v>
      </c>
      <c r="L32" s="429"/>
      <c r="M32" s="209">
        <f>J32/K32</f>
        <v>1280.1500000000001</v>
      </c>
    </row>
    <row r="33" spans="1:13" ht="15.75" thickBot="1">
      <c r="A33" s="425" t="s">
        <v>209</v>
      </c>
      <c r="B33" s="426"/>
      <c r="C33" s="426"/>
      <c r="D33" s="426"/>
      <c r="E33" s="427"/>
      <c r="F33" s="428" t="s">
        <v>210</v>
      </c>
      <c r="G33" s="429"/>
      <c r="H33" s="430" t="s">
        <v>211</v>
      </c>
      <c r="I33" s="427"/>
      <c r="J33" s="72">
        <v>49980</v>
      </c>
      <c r="K33" s="428">
        <v>0.2</v>
      </c>
      <c r="L33" s="429"/>
      <c r="M33" s="209">
        <f>J33*K33</f>
        <v>9996</v>
      </c>
    </row>
    <row r="34" spans="1:13" ht="15.75" thickBot="1">
      <c r="A34" s="416" t="s">
        <v>87</v>
      </c>
      <c r="B34" s="417"/>
      <c r="C34" s="417"/>
      <c r="D34" s="417"/>
      <c r="E34" s="417"/>
      <c r="F34" s="417"/>
      <c r="G34" s="417"/>
      <c r="H34" s="417"/>
      <c r="I34" s="417"/>
      <c r="J34" s="417"/>
      <c r="K34" s="417"/>
      <c r="L34" s="418"/>
      <c r="M34" s="210">
        <f>SUM(M31:M33)</f>
        <v>13882.534</v>
      </c>
    </row>
    <row r="35" spans="1:13">
      <c r="A35" s="50"/>
      <c r="B35" s="19"/>
      <c r="C35" s="19"/>
      <c r="D35" s="19"/>
      <c r="E35" s="19"/>
      <c r="F35" s="19"/>
      <c r="G35" s="19"/>
      <c r="H35" s="19"/>
      <c r="I35" s="19"/>
      <c r="J35" s="19"/>
      <c r="K35" s="19"/>
      <c r="L35" s="19"/>
      <c r="M35" s="214"/>
    </row>
    <row r="36" spans="1:13">
      <c r="A36" s="51" t="s">
        <v>88</v>
      </c>
      <c r="B36" s="52"/>
      <c r="C36" s="52"/>
      <c r="D36" s="52"/>
      <c r="E36" s="52"/>
      <c r="F36" s="52"/>
      <c r="G36" s="52"/>
      <c r="H36" s="52"/>
      <c r="I36" s="52"/>
      <c r="J36" s="52"/>
      <c r="K36" s="52"/>
      <c r="L36" s="52"/>
      <c r="M36" s="53"/>
    </row>
    <row r="37" spans="1:13" ht="15.75" thickBot="1">
      <c r="A37" s="14"/>
      <c r="B37" s="15"/>
      <c r="C37" s="15"/>
      <c r="D37" s="15"/>
      <c r="E37" s="15"/>
      <c r="F37" s="15"/>
      <c r="G37" s="15"/>
      <c r="H37" s="15"/>
      <c r="I37" s="19"/>
      <c r="J37" s="19"/>
      <c r="K37" s="19"/>
      <c r="L37" s="19"/>
      <c r="M37" s="24"/>
    </row>
    <row r="38" spans="1:13">
      <c r="A38" s="408" t="s">
        <v>77</v>
      </c>
      <c r="B38" s="431"/>
      <c r="C38" s="431"/>
      <c r="D38" s="431"/>
      <c r="E38" s="431"/>
      <c r="F38" s="431"/>
      <c r="G38" s="431"/>
      <c r="H38" s="424"/>
      <c r="I38" s="186" t="s">
        <v>79</v>
      </c>
      <c r="J38" s="190" t="s">
        <v>80</v>
      </c>
      <c r="K38" s="421" t="s">
        <v>89</v>
      </c>
      <c r="L38" s="424"/>
      <c r="M38" s="44" t="s">
        <v>85</v>
      </c>
    </row>
    <row r="39" spans="1:13">
      <c r="A39" s="425" t="s">
        <v>221</v>
      </c>
      <c r="B39" s="426"/>
      <c r="C39" s="426"/>
      <c r="D39" s="426"/>
      <c r="E39" s="426"/>
      <c r="F39" s="426"/>
      <c r="G39" s="426"/>
      <c r="H39" s="427"/>
      <c r="I39" s="73" t="s">
        <v>11</v>
      </c>
      <c r="J39" s="45">
        <v>0.32800000000000001</v>
      </c>
      <c r="K39" s="456">
        <v>70068</v>
      </c>
      <c r="L39" s="457"/>
      <c r="M39" s="56">
        <f>K39*J39</f>
        <v>22982.304</v>
      </c>
    </row>
    <row r="40" spans="1:13">
      <c r="A40" s="425" t="s">
        <v>217</v>
      </c>
      <c r="B40" s="426"/>
      <c r="C40" s="426"/>
      <c r="D40" s="426"/>
      <c r="E40" s="426"/>
      <c r="F40" s="426"/>
      <c r="G40" s="426"/>
      <c r="H40" s="427"/>
      <c r="I40" s="73" t="s">
        <v>8</v>
      </c>
      <c r="J40" s="45">
        <v>0.5</v>
      </c>
      <c r="K40" s="456">
        <v>17821</v>
      </c>
      <c r="L40" s="457"/>
      <c r="M40" s="56">
        <f>K40*J40</f>
        <v>8910.5</v>
      </c>
    </row>
    <row r="41" spans="1:13">
      <c r="A41" s="425"/>
      <c r="B41" s="426"/>
      <c r="C41" s="426"/>
      <c r="D41" s="426"/>
      <c r="E41" s="426"/>
      <c r="F41" s="426"/>
      <c r="G41" s="426"/>
      <c r="H41" s="427"/>
      <c r="I41" s="73"/>
      <c r="J41" s="45"/>
      <c r="K41" s="456"/>
      <c r="L41" s="457"/>
      <c r="M41" s="56"/>
    </row>
    <row r="42" spans="1:13">
      <c r="A42" s="425"/>
      <c r="B42" s="426"/>
      <c r="C42" s="426"/>
      <c r="D42" s="426"/>
      <c r="E42" s="426"/>
      <c r="F42" s="426"/>
      <c r="G42" s="426"/>
      <c r="H42" s="427"/>
      <c r="I42" s="73"/>
      <c r="J42" s="45"/>
      <c r="K42" s="456"/>
      <c r="L42" s="457"/>
      <c r="M42" s="56"/>
    </row>
    <row r="43" spans="1:13">
      <c r="A43" s="425"/>
      <c r="B43" s="426"/>
      <c r="C43" s="426"/>
      <c r="D43" s="426"/>
      <c r="E43" s="426"/>
      <c r="F43" s="426"/>
      <c r="G43" s="426"/>
      <c r="H43" s="427"/>
      <c r="I43" s="73"/>
      <c r="J43" s="45"/>
      <c r="K43" s="456"/>
      <c r="L43" s="457"/>
      <c r="M43" s="56"/>
    </row>
    <row r="44" spans="1:13">
      <c r="A44" s="425"/>
      <c r="B44" s="426"/>
      <c r="C44" s="426"/>
      <c r="D44" s="426"/>
      <c r="E44" s="426"/>
      <c r="F44" s="426"/>
      <c r="G44" s="426"/>
      <c r="H44" s="427"/>
      <c r="I44" s="73"/>
      <c r="J44" s="45"/>
      <c r="K44" s="456"/>
      <c r="L44" s="457"/>
      <c r="M44" s="56"/>
    </row>
    <row r="45" spans="1:13">
      <c r="A45" s="425"/>
      <c r="B45" s="426"/>
      <c r="C45" s="426"/>
      <c r="D45" s="426"/>
      <c r="E45" s="426"/>
      <c r="F45" s="426"/>
      <c r="G45" s="426"/>
      <c r="H45" s="427"/>
      <c r="I45" s="73"/>
      <c r="J45" s="45"/>
      <c r="K45" s="456"/>
      <c r="L45" s="457"/>
      <c r="M45" s="56"/>
    </row>
    <row r="46" spans="1:13">
      <c r="A46" s="425"/>
      <c r="B46" s="426"/>
      <c r="C46" s="426"/>
      <c r="D46" s="426"/>
      <c r="E46" s="426"/>
      <c r="F46" s="426"/>
      <c r="G46" s="426"/>
      <c r="H46" s="427"/>
      <c r="I46" s="73"/>
      <c r="J46" s="45"/>
      <c r="K46" s="456"/>
      <c r="L46" s="457"/>
      <c r="M46" s="56"/>
    </row>
    <row r="47" spans="1:13" ht="15.75" thickBot="1">
      <c r="A47" s="410"/>
      <c r="B47" s="411"/>
      <c r="C47" s="411"/>
      <c r="D47" s="411"/>
      <c r="E47" s="411"/>
      <c r="F47" s="411"/>
      <c r="G47" s="411"/>
      <c r="H47" s="412"/>
      <c r="I47" s="74"/>
      <c r="J47" s="57"/>
      <c r="K47" s="466"/>
      <c r="L47" s="467"/>
      <c r="M47" s="75"/>
    </row>
    <row r="48" spans="1:13" ht="15.75" thickBot="1">
      <c r="A48" s="416" t="s">
        <v>87</v>
      </c>
      <c r="B48" s="417"/>
      <c r="C48" s="417"/>
      <c r="D48" s="417"/>
      <c r="E48" s="417"/>
      <c r="F48" s="417"/>
      <c r="G48" s="417"/>
      <c r="H48" s="417"/>
      <c r="I48" s="417"/>
      <c r="J48" s="417"/>
      <c r="K48" s="417"/>
      <c r="L48" s="418"/>
      <c r="M48" s="58">
        <f>SUM(M39:M47)</f>
        <v>31892.804</v>
      </c>
    </row>
    <row r="49" spans="1:13">
      <c r="A49" s="30"/>
      <c r="B49" s="19"/>
      <c r="C49" s="19"/>
      <c r="D49" s="19"/>
      <c r="E49" s="19"/>
      <c r="F49" s="19"/>
      <c r="G49" s="19"/>
      <c r="H49" s="19"/>
      <c r="I49" s="19"/>
      <c r="J49" s="19"/>
      <c r="K49" s="19"/>
      <c r="L49" s="19"/>
      <c r="M49" s="24"/>
    </row>
    <row r="50" spans="1:13">
      <c r="A50" s="51" t="s">
        <v>90</v>
      </c>
      <c r="B50" s="52"/>
      <c r="C50" s="52"/>
      <c r="D50" s="52"/>
      <c r="E50" s="52"/>
      <c r="F50" s="52"/>
      <c r="G50" s="52"/>
      <c r="H50" s="52"/>
      <c r="I50" s="52"/>
      <c r="J50" s="52"/>
      <c r="K50" s="52"/>
      <c r="L50" s="52"/>
      <c r="M50" s="53"/>
    </row>
    <row r="51" spans="1:13" ht="15.75" thickBot="1">
      <c r="A51" s="30"/>
      <c r="B51" s="19"/>
      <c r="C51" s="19"/>
      <c r="D51" s="19"/>
      <c r="E51" s="19"/>
      <c r="F51" s="19"/>
      <c r="G51" s="19"/>
      <c r="H51" s="19"/>
      <c r="I51" s="19"/>
      <c r="J51" s="19"/>
      <c r="K51" s="19"/>
      <c r="L51" s="19"/>
      <c r="M51" s="24"/>
    </row>
    <row r="52" spans="1:13">
      <c r="A52" s="408" t="s">
        <v>91</v>
      </c>
      <c r="B52" s="431"/>
      <c r="C52" s="431"/>
      <c r="D52" s="431"/>
      <c r="E52" s="431"/>
      <c r="F52" s="431"/>
      <c r="G52" s="431"/>
      <c r="H52" s="190" t="s">
        <v>92</v>
      </c>
      <c r="I52" s="187" t="s">
        <v>93</v>
      </c>
      <c r="J52" s="60" t="s">
        <v>94</v>
      </c>
      <c r="K52" s="421" t="s">
        <v>95</v>
      </c>
      <c r="L52" s="424"/>
      <c r="M52" s="44" t="s">
        <v>85</v>
      </c>
    </row>
    <row r="53" spans="1:13">
      <c r="A53" s="425"/>
      <c r="B53" s="426"/>
      <c r="C53" s="426"/>
      <c r="D53" s="426"/>
      <c r="E53" s="426"/>
      <c r="F53" s="426"/>
      <c r="G53" s="426"/>
      <c r="H53" s="61"/>
      <c r="I53" s="55"/>
      <c r="J53" s="61"/>
      <c r="K53" s="428"/>
      <c r="L53" s="429"/>
    </row>
    <row r="54" spans="1:13" ht="15.75" thickBot="1">
      <c r="A54" s="410"/>
      <c r="B54" s="411"/>
      <c r="C54" s="411"/>
      <c r="D54" s="411"/>
      <c r="E54" s="411"/>
      <c r="F54" s="411"/>
      <c r="G54" s="411"/>
      <c r="H54" s="47"/>
      <c r="I54" s="15"/>
      <c r="J54" s="47"/>
      <c r="K54" s="414"/>
      <c r="L54" s="415"/>
      <c r="M54" s="62"/>
    </row>
    <row r="55" spans="1:13" ht="15.75" thickBot="1">
      <c r="A55" s="416" t="s">
        <v>87</v>
      </c>
      <c r="B55" s="417"/>
      <c r="C55" s="417"/>
      <c r="D55" s="417"/>
      <c r="E55" s="417"/>
      <c r="F55" s="417"/>
      <c r="G55" s="417"/>
      <c r="H55" s="417"/>
      <c r="I55" s="417"/>
      <c r="J55" s="417"/>
      <c r="K55" s="417"/>
      <c r="L55" s="418"/>
      <c r="M55" s="63">
        <f>SUM(M54:M54)</f>
        <v>0</v>
      </c>
    </row>
    <row r="56" spans="1:13">
      <c r="A56" s="30"/>
      <c r="B56" s="19"/>
      <c r="C56" s="19"/>
      <c r="D56" s="19"/>
      <c r="E56" s="19"/>
      <c r="F56" s="19"/>
      <c r="G56" s="19"/>
      <c r="H56" s="19"/>
      <c r="I56" s="19"/>
      <c r="J56" s="19"/>
      <c r="K56" s="19"/>
      <c r="L56" s="19"/>
      <c r="M56" s="24"/>
    </row>
    <row r="57" spans="1:13">
      <c r="A57" s="51" t="s">
        <v>96</v>
      </c>
      <c r="B57" s="52"/>
      <c r="C57" s="52"/>
      <c r="D57" s="52"/>
      <c r="E57" s="52"/>
      <c r="F57" s="52"/>
      <c r="G57" s="52"/>
      <c r="H57" s="52"/>
      <c r="I57" s="52"/>
      <c r="J57" s="52"/>
      <c r="K57" s="52"/>
      <c r="L57" s="52"/>
      <c r="M57" s="53"/>
    </row>
    <row r="58" spans="1:13" ht="15.75" thickBot="1">
      <c r="A58" s="30"/>
      <c r="B58" s="19"/>
      <c r="C58" s="19"/>
      <c r="D58" s="19"/>
      <c r="E58" s="19"/>
      <c r="F58" s="19"/>
      <c r="G58" s="19"/>
      <c r="H58" s="19"/>
      <c r="I58" s="19"/>
      <c r="J58" s="19"/>
      <c r="K58" s="19"/>
      <c r="L58" s="19"/>
      <c r="M58" s="24"/>
    </row>
    <row r="59" spans="1:13" ht="26.25">
      <c r="A59" s="453" t="s">
        <v>97</v>
      </c>
      <c r="B59" s="454"/>
      <c r="C59" s="454"/>
      <c r="D59" s="454"/>
      <c r="E59" s="454"/>
      <c r="F59" s="454"/>
      <c r="G59" s="454"/>
      <c r="H59" s="190" t="s">
        <v>98</v>
      </c>
      <c r="I59" s="191" t="s">
        <v>99</v>
      </c>
      <c r="J59" s="191" t="s">
        <v>100</v>
      </c>
      <c r="K59" s="455" t="s">
        <v>84</v>
      </c>
      <c r="L59" s="455"/>
      <c r="M59" s="65" t="s">
        <v>85</v>
      </c>
    </row>
    <row r="60" spans="1:13" ht="15.75" thickBot="1">
      <c r="A60" s="432" t="s">
        <v>218</v>
      </c>
      <c r="B60" s="433"/>
      <c r="C60" s="433"/>
      <c r="D60" s="433"/>
      <c r="E60" s="433"/>
      <c r="F60" s="433"/>
      <c r="G60" s="433"/>
      <c r="H60" s="3">
        <v>118472</v>
      </c>
      <c r="I60" s="4">
        <v>2.2000000000000002</v>
      </c>
      <c r="J60" s="67">
        <f>(I60*H60)</f>
        <v>260638.40000000002</v>
      </c>
      <c r="K60" s="434">
        <v>10</v>
      </c>
      <c r="L60" s="434"/>
      <c r="M60" s="68">
        <f>J60/K60</f>
        <v>26063.840000000004</v>
      </c>
    </row>
    <row r="61" spans="1:13">
      <c r="A61" s="471"/>
      <c r="B61" s="472"/>
      <c r="C61" s="472"/>
      <c r="D61" s="472"/>
      <c r="E61" s="472"/>
      <c r="F61" s="472"/>
      <c r="G61" s="472"/>
      <c r="H61" s="1"/>
      <c r="I61" s="2"/>
      <c r="J61" s="66"/>
      <c r="K61" s="473"/>
      <c r="L61" s="473"/>
      <c r="M61" s="56"/>
    </row>
    <row r="62" spans="1:13" ht="15.75" thickBot="1">
      <c r="A62" s="432"/>
      <c r="B62" s="433"/>
      <c r="C62" s="433"/>
      <c r="D62" s="433"/>
      <c r="E62" s="433"/>
      <c r="F62" s="433"/>
      <c r="G62" s="433"/>
      <c r="H62" s="3"/>
      <c r="I62" s="4"/>
      <c r="J62" s="67"/>
      <c r="K62" s="434"/>
      <c r="L62" s="434"/>
      <c r="M62" s="68"/>
    </row>
    <row r="63" spans="1:13" ht="15.75" thickBot="1">
      <c r="A63" s="435" t="s">
        <v>87</v>
      </c>
      <c r="B63" s="436"/>
      <c r="C63" s="436"/>
      <c r="D63" s="436"/>
      <c r="E63" s="436"/>
      <c r="F63" s="436"/>
      <c r="G63" s="436"/>
      <c r="H63" s="436"/>
      <c r="I63" s="436"/>
      <c r="J63" s="436"/>
      <c r="K63" s="436"/>
      <c r="L63" s="437"/>
      <c r="M63" s="69">
        <f>SUM(M60:M62)</f>
        <v>26063.840000000004</v>
      </c>
    </row>
    <row r="64" spans="1:13" ht="15.75" thickBot="1">
      <c r="A64" s="30"/>
      <c r="B64" s="19"/>
      <c r="C64" s="19"/>
      <c r="D64" s="19"/>
      <c r="E64" s="19"/>
      <c r="F64" s="19"/>
      <c r="G64" s="19"/>
      <c r="H64" s="19"/>
      <c r="I64" s="19"/>
      <c r="J64" s="19"/>
      <c r="K64" s="19"/>
      <c r="L64" s="19"/>
      <c r="M64" s="24"/>
    </row>
    <row r="65" spans="1:14" ht="15.75" thickBot="1">
      <c r="A65" s="416" t="s">
        <v>101</v>
      </c>
      <c r="B65" s="417"/>
      <c r="C65" s="417"/>
      <c r="D65" s="417"/>
      <c r="E65" s="417"/>
      <c r="F65" s="417"/>
      <c r="G65" s="417"/>
      <c r="H65" s="417"/>
      <c r="I65" s="417"/>
      <c r="J65" s="417"/>
      <c r="K65" s="417"/>
      <c r="L65" s="418"/>
      <c r="M65" s="70">
        <f>+ROUND(75876.5398036,0)</f>
        <v>75877</v>
      </c>
      <c r="N65" s="155"/>
    </row>
    <row r="66" spans="1:14">
      <c r="A66" s="30"/>
      <c r="B66" s="19"/>
      <c r="C66" s="19"/>
      <c r="D66" s="19"/>
      <c r="E66" s="19"/>
      <c r="F66" s="19"/>
      <c r="G66" s="19"/>
      <c r="H66" s="19"/>
      <c r="I66" s="19"/>
      <c r="J66" s="19"/>
      <c r="K66" s="19"/>
      <c r="L66" s="19"/>
      <c r="M66" s="24"/>
    </row>
    <row r="67" spans="1:14">
      <c r="A67" s="51" t="s">
        <v>102</v>
      </c>
      <c r="B67" s="52"/>
      <c r="C67" s="52"/>
      <c r="D67" s="52"/>
      <c r="E67" s="52"/>
      <c r="F67" s="52"/>
      <c r="G67" s="52"/>
      <c r="H67" s="52"/>
      <c r="I67" s="52"/>
      <c r="J67" s="52"/>
      <c r="K67" s="52"/>
      <c r="L67" s="52"/>
      <c r="M67" s="53"/>
    </row>
    <row r="68" spans="1:14" ht="15.75" thickBot="1">
      <c r="A68" s="30"/>
      <c r="B68" s="19"/>
      <c r="C68" s="19"/>
      <c r="D68" s="19"/>
      <c r="E68" s="19"/>
      <c r="F68" s="19"/>
      <c r="G68" s="19"/>
      <c r="H68" s="19"/>
      <c r="I68" s="19"/>
      <c r="J68" s="19"/>
      <c r="K68" s="19"/>
      <c r="L68" s="19"/>
      <c r="M68" s="24"/>
    </row>
    <row r="69" spans="1:14" ht="15.75" thickBot="1">
      <c r="A69" s="438" t="s">
        <v>103</v>
      </c>
      <c r="B69" s="439"/>
      <c r="C69" s="439"/>
      <c r="D69" s="439"/>
      <c r="E69" s="439"/>
      <c r="F69" s="439"/>
      <c r="G69" s="439"/>
      <c r="H69" s="188"/>
      <c r="I69" s="189"/>
      <c r="J69" s="81" t="s">
        <v>104</v>
      </c>
      <c r="K69" s="440" t="s">
        <v>105</v>
      </c>
      <c r="L69" s="441"/>
      <c r="M69" s="82"/>
    </row>
    <row r="70" spans="1:14">
      <c r="A70" s="442" t="s">
        <v>106</v>
      </c>
      <c r="B70" s="443"/>
      <c r="C70" s="443"/>
      <c r="D70" s="443"/>
      <c r="E70" s="443"/>
      <c r="F70" s="443"/>
      <c r="G70" s="443"/>
      <c r="H70" s="83"/>
      <c r="I70" s="84"/>
      <c r="J70" s="85">
        <v>0.19</v>
      </c>
      <c r="K70" s="444">
        <f>M65*J70</f>
        <v>14416.630000000001</v>
      </c>
      <c r="L70" s="444"/>
      <c r="M70" s="86"/>
    </row>
    <row r="71" spans="1:14">
      <c r="A71" s="447" t="s">
        <v>107</v>
      </c>
      <c r="B71" s="448"/>
      <c r="C71" s="448"/>
      <c r="D71" s="448"/>
      <c r="E71" s="448"/>
      <c r="F71" s="448"/>
      <c r="G71" s="449"/>
      <c r="H71" s="77"/>
      <c r="I71" s="78"/>
      <c r="J71" s="5">
        <v>0.01</v>
      </c>
      <c r="K71" s="445">
        <f>M65*J71</f>
        <v>758.77</v>
      </c>
      <c r="L71" s="445"/>
      <c r="M71" s="6"/>
    </row>
    <row r="72" spans="1:14">
      <c r="A72" s="447" t="s">
        <v>108</v>
      </c>
      <c r="B72" s="448"/>
      <c r="C72" s="448"/>
      <c r="D72" s="448"/>
      <c r="E72" s="448"/>
      <c r="F72" s="448"/>
      <c r="G72" s="449"/>
      <c r="H72" s="77"/>
      <c r="I72" s="78"/>
      <c r="J72" s="5">
        <v>0.05</v>
      </c>
      <c r="K72" s="445">
        <f>M65*J72</f>
        <v>3793.8500000000004</v>
      </c>
      <c r="L72" s="445"/>
      <c r="M72" s="6"/>
    </row>
    <row r="73" spans="1:14" ht="15.75" thickBot="1">
      <c r="A73" s="450" t="s">
        <v>117</v>
      </c>
      <c r="B73" s="451"/>
      <c r="C73" s="451"/>
      <c r="D73" s="451"/>
      <c r="E73" s="451"/>
      <c r="F73" s="451"/>
      <c r="G73" s="452"/>
      <c r="H73" s="87"/>
      <c r="I73" s="88"/>
      <c r="J73" s="89">
        <v>0.19</v>
      </c>
      <c r="K73" s="446">
        <f>K72*J73</f>
        <v>720.83150000000012</v>
      </c>
      <c r="L73" s="446"/>
      <c r="M73" s="90"/>
    </row>
    <row r="74" spans="1:14" ht="15.75" thickBot="1">
      <c r="A74" s="435" t="s">
        <v>87</v>
      </c>
      <c r="B74" s="436"/>
      <c r="C74" s="436"/>
      <c r="D74" s="436"/>
      <c r="E74" s="436"/>
      <c r="F74" s="436"/>
      <c r="G74" s="436"/>
      <c r="H74" s="436"/>
      <c r="I74" s="436"/>
      <c r="J74" s="436"/>
      <c r="K74" s="436"/>
      <c r="L74" s="437"/>
      <c r="M74" s="76">
        <f>SUM(K70:L73)</f>
        <v>19690.0815</v>
      </c>
    </row>
    <row r="75" spans="1:14" ht="15.75" thickBot="1">
      <c r="A75" s="30"/>
      <c r="B75" s="19"/>
      <c r="C75" s="19"/>
      <c r="D75" s="19"/>
      <c r="E75" s="19"/>
      <c r="F75" s="19"/>
      <c r="G75" s="19"/>
      <c r="H75" s="19"/>
      <c r="I75" s="19"/>
      <c r="J75" s="19"/>
      <c r="K75" s="19"/>
      <c r="L75" s="19"/>
      <c r="M75" s="24"/>
    </row>
    <row r="76" spans="1:14" ht="15.75" thickBot="1">
      <c r="A76" s="416" t="s">
        <v>109</v>
      </c>
      <c r="B76" s="417"/>
      <c r="C76" s="417"/>
      <c r="D76" s="417"/>
      <c r="E76" s="417"/>
      <c r="F76" s="417"/>
      <c r="G76" s="417"/>
      <c r="H76" s="417"/>
      <c r="I76" s="417"/>
      <c r="J76" s="417"/>
      <c r="K76" s="417"/>
      <c r="L76" s="418"/>
      <c r="M76" s="71">
        <f>ROUND(M65+M74,0)</f>
        <v>95567</v>
      </c>
    </row>
  </sheetData>
  <mergeCells count="87">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8:H38"/>
    <mergeCell ref="K38:L38"/>
    <mergeCell ref="A30:E30"/>
    <mergeCell ref="F30:G30"/>
    <mergeCell ref="H30:I30"/>
    <mergeCell ref="K30:L30"/>
    <mergeCell ref="A31:E31"/>
    <mergeCell ref="F31:G31"/>
    <mergeCell ref="H31:I31"/>
    <mergeCell ref="K31:L31"/>
    <mergeCell ref="A33:E33"/>
    <mergeCell ref="F33:G33"/>
    <mergeCell ref="H33:I33"/>
    <mergeCell ref="K33:L33"/>
    <mergeCell ref="A34:L34"/>
    <mergeCell ref="A39:H39"/>
    <mergeCell ref="K39:L39"/>
    <mergeCell ref="A40:H40"/>
    <mergeCell ref="K40:L40"/>
    <mergeCell ref="A41:H41"/>
    <mergeCell ref="K41:L41"/>
    <mergeCell ref="A42:H42"/>
    <mergeCell ref="K42:L42"/>
    <mergeCell ref="A43:H43"/>
    <mergeCell ref="K43:L43"/>
    <mergeCell ref="A44:H44"/>
    <mergeCell ref="K44:L44"/>
    <mergeCell ref="A54:G54"/>
    <mergeCell ref="K54:L54"/>
    <mergeCell ref="A45:H45"/>
    <mergeCell ref="K45:L45"/>
    <mergeCell ref="A46:H46"/>
    <mergeCell ref="K46:L46"/>
    <mergeCell ref="A47:H47"/>
    <mergeCell ref="K47:L47"/>
    <mergeCell ref="A48:L48"/>
    <mergeCell ref="A52:G52"/>
    <mergeCell ref="K52:L52"/>
    <mergeCell ref="A53:G53"/>
    <mergeCell ref="K53:L53"/>
    <mergeCell ref="A63:L63"/>
    <mergeCell ref="A65:L65"/>
    <mergeCell ref="A69:G69"/>
    <mergeCell ref="K69:L69"/>
    <mergeCell ref="A55:L55"/>
    <mergeCell ref="A59:G59"/>
    <mergeCell ref="K59:L59"/>
    <mergeCell ref="A60:G60"/>
    <mergeCell ref="K60:L60"/>
    <mergeCell ref="A61:G61"/>
    <mergeCell ref="K61:L61"/>
    <mergeCell ref="A73:G73"/>
    <mergeCell ref="K73:L73"/>
    <mergeCell ref="A74:L74"/>
    <mergeCell ref="A76:L76"/>
    <mergeCell ref="A32:E32"/>
    <mergeCell ref="F32:G32"/>
    <mergeCell ref="H32:I32"/>
    <mergeCell ref="K32:L32"/>
    <mergeCell ref="A70:G70"/>
    <mergeCell ref="K70:L70"/>
    <mergeCell ref="A71:G71"/>
    <mergeCell ref="K71:L71"/>
    <mergeCell ref="A72:G72"/>
    <mergeCell ref="K72:L72"/>
    <mergeCell ref="A62:G62"/>
    <mergeCell ref="K62:L62"/>
  </mergeCells>
  <pageMargins left="0.7" right="0.7" top="0.75" bottom="0.75" header="0.3" footer="0.3"/>
  <pageSetup scale="56"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9"/>
  <sheetViews>
    <sheetView view="pageBreakPreview" topLeftCell="A24" zoomScale="80" zoomScaleNormal="100" zoomScaleSheetLayoutView="80" workbookViewId="0">
      <selection activeCell="A48" sqref="A48:H48"/>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4.5703125" customWidth="1"/>
  </cols>
  <sheetData>
    <row r="1" spans="1:13" ht="15" customHeight="1">
      <c r="A1" s="458"/>
      <c r="B1" s="459"/>
      <c r="C1" s="459"/>
      <c r="D1" s="491" t="s">
        <v>67</v>
      </c>
      <c r="E1" s="491"/>
      <c r="F1" s="491"/>
      <c r="G1" s="491"/>
      <c r="H1" s="491"/>
      <c r="I1" s="491"/>
      <c r="J1" s="491"/>
      <c r="K1" s="493"/>
      <c r="L1" s="493"/>
      <c r="M1" s="494"/>
    </row>
    <row r="2" spans="1:13">
      <c r="A2" s="460"/>
      <c r="B2" s="389"/>
      <c r="C2" s="389"/>
      <c r="D2" s="492"/>
      <c r="E2" s="492"/>
      <c r="F2" s="492"/>
      <c r="G2" s="492"/>
      <c r="H2" s="492"/>
      <c r="I2" s="492"/>
      <c r="J2" s="492"/>
      <c r="K2" s="495"/>
      <c r="L2" s="495"/>
      <c r="M2" s="496"/>
    </row>
    <row r="3" spans="1:13">
      <c r="A3" s="460"/>
      <c r="B3" s="389"/>
      <c r="C3" s="389"/>
      <c r="D3" s="492"/>
      <c r="E3" s="492"/>
      <c r="F3" s="492"/>
      <c r="G3" s="492"/>
      <c r="H3" s="492"/>
      <c r="I3" s="492"/>
      <c r="J3" s="492"/>
      <c r="K3" s="495"/>
      <c r="L3" s="495"/>
      <c r="M3" s="496"/>
    </row>
    <row r="4" spans="1:13" ht="15" customHeight="1">
      <c r="A4" s="460"/>
      <c r="B4" s="389"/>
      <c r="C4" s="389"/>
      <c r="D4" s="389" t="s">
        <v>112</v>
      </c>
      <c r="E4" s="389"/>
      <c r="F4" s="389"/>
      <c r="G4" s="389"/>
      <c r="H4" s="389"/>
      <c r="I4" s="389"/>
      <c r="J4" s="389"/>
      <c r="K4" s="495"/>
      <c r="L4" s="495"/>
      <c r="M4" s="496"/>
    </row>
    <row r="5" spans="1:13">
      <c r="A5" s="460"/>
      <c r="B5" s="389"/>
      <c r="C5" s="389"/>
      <c r="D5" s="389"/>
      <c r="E5" s="389"/>
      <c r="F5" s="389"/>
      <c r="G5" s="389"/>
      <c r="H5" s="389"/>
      <c r="I5" s="389"/>
      <c r="J5" s="389"/>
      <c r="K5" s="495"/>
      <c r="L5" s="495"/>
      <c r="M5" s="496"/>
    </row>
    <row r="6" spans="1:13">
      <c r="A6" s="460"/>
      <c r="B6" s="389"/>
      <c r="C6" s="389"/>
      <c r="D6" s="389"/>
      <c r="E6" s="389"/>
      <c r="F6" s="389"/>
      <c r="G6" s="389"/>
      <c r="H6" s="389"/>
      <c r="I6" s="389"/>
      <c r="J6" s="389"/>
      <c r="K6" s="495"/>
      <c r="L6" s="495"/>
      <c r="M6" s="496"/>
    </row>
    <row r="7" spans="1:13" ht="15.75" thickBot="1">
      <c r="A7" s="461"/>
      <c r="B7" s="390"/>
      <c r="C7" s="390"/>
      <c r="D7" s="390"/>
      <c r="E7" s="390"/>
      <c r="F7" s="390"/>
      <c r="G7" s="390"/>
      <c r="H7" s="390"/>
      <c r="I7" s="390"/>
      <c r="J7" s="390"/>
      <c r="K7" s="497"/>
      <c r="L7" s="497"/>
      <c r="M7" s="498"/>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224"/>
      <c r="D17" s="224"/>
      <c r="E17" s="224"/>
      <c r="F17" s="224"/>
      <c r="G17" s="224"/>
      <c r="H17" s="224"/>
      <c r="I17" s="224"/>
      <c r="J17" s="224"/>
      <c r="K17" s="224"/>
      <c r="L17" s="224"/>
      <c r="M17" s="13"/>
    </row>
    <row r="18" spans="1:13">
      <c r="A18" s="25" t="s">
        <v>74</v>
      </c>
      <c r="B18" s="26"/>
      <c r="C18" s="379"/>
      <c r="D18" s="379"/>
      <c r="E18" s="379"/>
      <c r="F18" s="379"/>
      <c r="G18" s="379"/>
      <c r="H18" s="379"/>
      <c r="I18" s="379"/>
      <c r="J18" s="379"/>
      <c r="K18" s="379"/>
      <c r="L18" s="379"/>
      <c r="M18" s="380"/>
    </row>
    <row r="19" spans="1:13">
      <c r="A19" s="25"/>
      <c r="B19" s="26"/>
      <c r="C19" s="224"/>
      <c r="D19" s="224"/>
      <c r="E19" s="224"/>
      <c r="F19" s="224"/>
      <c r="G19" s="224"/>
      <c r="H19" s="224"/>
      <c r="I19" s="224"/>
      <c r="J19" s="224"/>
      <c r="K19" s="224"/>
      <c r="L19" s="224"/>
      <c r="M19" s="13"/>
    </row>
    <row r="20" spans="1:13" ht="31.5" customHeight="1">
      <c r="A20" s="464" t="s">
        <v>113</v>
      </c>
      <c r="B20" s="465"/>
      <c r="C20" s="379"/>
      <c r="D20" s="379"/>
      <c r="E20" s="379"/>
      <c r="F20" s="379"/>
      <c r="G20" s="379"/>
      <c r="H20" s="379"/>
      <c r="I20" s="379"/>
      <c r="J20" s="379"/>
      <c r="K20" s="379"/>
      <c r="L20" s="379"/>
      <c r="M20" s="380"/>
    </row>
    <row r="21" spans="1:13">
      <c r="A21" s="400"/>
      <c r="B21" s="401"/>
      <c r="C21" s="224"/>
      <c r="D21" s="224"/>
      <c r="E21" s="224"/>
      <c r="F21" s="224"/>
      <c r="G21" s="224"/>
      <c r="H21" s="224"/>
      <c r="I21" s="224"/>
      <c r="J21" s="224"/>
      <c r="K21" s="224"/>
      <c r="L21" s="224"/>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216" t="s">
        <v>78</v>
      </c>
      <c r="K25" s="408" t="s">
        <v>79</v>
      </c>
      <c r="L25" s="409"/>
      <c r="M25" s="31" t="s">
        <v>80</v>
      </c>
    </row>
    <row r="26" spans="1:13" ht="45.75" customHeight="1" thickBot="1">
      <c r="A26" s="227"/>
      <c r="B26" s="505" t="s">
        <v>235</v>
      </c>
      <c r="C26" s="506"/>
      <c r="D26" s="506"/>
      <c r="E26" s="506"/>
      <c r="F26" s="506"/>
      <c r="G26" s="506"/>
      <c r="H26" s="506"/>
      <c r="I26" s="507"/>
      <c r="J26" s="226">
        <v>1</v>
      </c>
      <c r="K26" s="508" t="s">
        <v>25</v>
      </c>
      <c r="L26" s="507"/>
      <c r="M26" s="228"/>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221" t="s">
        <v>83</v>
      </c>
      <c r="K30" s="421" t="s">
        <v>84</v>
      </c>
      <c r="L30" s="424"/>
      <c r="M30" s="44" t="s">
        <v>85</v>
      </c>
    </row>
    <row r="31" spans="1:13">
      <c r="A31" s="425" t="s">
        <v>225</v>
      </c>
      <c r="B31" s="426"/>
      <c r="C31" s="426"/>
      <c r="D31" s="426"/>
      <c r="E31" s="427"/>
      <c r="F31" s="428" t="s">
        <v>110</v>
      </c>
      <c r="G31" s="429"/>
      <c r="H31" s="430" t="s">
        <v>86</v>
      </c>
      <c r="I31" s="427"/>
      <c r="J31" s="72">
        <v>111191</v>
      </c>
      <c r="K31" s="428">
        <v>83.33</v>
      </c>
      <c r="L31" s="429"/>
      <c r="M31" s="209">
        <f>J31/K31</f>
        <v>1334.3453738149526</v>
      </c>
    </row>
    <row r="32" spans="1:13">
      <c r="A32" s="425" t="s">
        <v>209</v>
      </c>
      <c r="B32" s="426"/>
      <c r="C32" s="426"/>
      <c r="D32" s="426"/>
      <c r="E32" s="427"/>
      <c r="F32" s="428" t="s">
        <v>210</v>
      </c>
      <c r="G32" s="429"/>
      <c r="H32" s="430" t="s">
        <v>211</v>
      </c>
      <c r="I32" s="427"/>
      <c r="J32" s="72">
        <v>49980</v>
      </c>
      <c r="K32" s="428">
        <v>1.4999999999999999E-2</v>
      </c>
      <c r="L32" s="429"/>
      <c r="M32" s="209">
        <f>J32*K32</f>
        <v>749.69999999999993</v>
      </c>
    </row>
    <row r="33" spans="1:13">
      <c r="A33" s="425" t="s">
        <v>226</v>
      </c>
      <c r="B33" s="426"/>
      <c r="C33" s="426"/>
      <c r="D33" s="426"/>
      <c r="E33" s="427"/>
      <c r="F33" s="428" t="s">
        <v>110</v>
      </c>
      <c r="G33" s="429"/>
      <c r="H33" s="430" t="s">
        <v>211</v>
      </c>
      <c r="I33" s="427"/>
      <c r="J33" s="72">
        <v>41035</v>
      </c>
      <c r="K33" s="428">
        <v>667</v>
      </c>
      <c r="L33" s="429"/>
      <c r="M33" s="209">
        <f t="shared" ref="M33:M36" si="0">J33/K33</f>
        <v>61.521739130434781</v>
      </c>
    </row>
    <row r="34" spans="1:13">
      <c r="A34" s="425" t="s">
        <v>227</v>
      </c>
      <c r="B34" s="426"/>
      <c r="C34" s="426"/>
      <c r="D34" s="426"/>
      <c r="E34" s="427"/>
      <c r="F34" s="428" t="s">
        <v>110</v>
      </c>
      <c r="G34" s="429"/>
      <c r="H34" s="430" t="s">
        <v>211</v>
      </c>
      <c r="I34" s="427"/>
      <c r="J34" s="72">
        <v>66185</v>
      </c>
      <c r="K34" s="428">
        <v>455</v>
      </c>
      <c r="L34" s="429"/>
      <c r="M34" s="209">
        <f t="shared" si="0"/>
        <v>145.46153846153845</v>
      </c>
    </row>
    <row r="35" spans="1:13">
      <c r="A35" s="425" t="s">
        <v>228</v>
      </c>
      <c r="B35" s="426"/>
      <c r="C35" s="426"/>
      <c r="D35" s="426"/>
      <c r="E35" s="427"/>
      <c r="F35" s="428" t="s">
        <v>110</v>
      </c>
      <c r="G35" s="429"/>
      <c r="H35" s="430" t="s">
        <v>211</v>
      </c>
      <c r="I35" s="427"/>
      <c r="J35" s="72">
        <v>15289</v>
      </c>
      <c r="K35" s="428">
        <v>455</v>
      </c>
      <c r="L35" s="429"/>
      <c r="M35" s="209">
        <f t="shared" si="0"/>
        <v>33.6021978021978</v>
      </c>
    </row>
    <row r="36" spans="1:13" ht="15.75" thickBot="1">
      <c r="A36" s="425" t="s">
        <v>229</v>
      </c>
      <c r="B36" s="426"/>
      <c r="C36" s="426"/>
      <c r="D36" s="426"/>
      <c r="E36" s="427"/>
      <c r="F36" s="428" t="s">
        <v>110</v>
      </c>
      <c r="G36" s="429"/>
      <c r="H36" s="430" t="s">
        <v>211</v>
      </c>
      <c r="I36" s="427"/>
      <c r="J36" s="72">
        <v>29121</v>
      </c>
      <c r="K36" s="428">
        <v>200</v>
      </c>
      <c r="L36" s="429"/>
      <c r="M36" s="209">
        <f t="shared" si="0"/>
        <v>145.60499999999999</v>
      </c>
    </row>
    <row r="37" spans="1:13" ht="15.75" thickBot="1">
      <c r="A37" s="416" t="s">
        <v>87</v>
      </c>
      <c r="B37" s="417"/>
      <c r="C37" s="417"/>
      <c r="D37" s="417"/>
      <c r="E37" s="417"/>
      <c r="F37" s="417"/>
      <c r="G37" s="417"/>
      <c r="H37" s="417"/>
      <c r="I37" s="417"/>
      <c r="J37" s="417"/>
      <c r="K37" s="417"/>
      <c r="L37" s="418"/>
      <c r="M37" s="210">
        <f>SUM(M31:M36)</f>
        <v>2470.2358492091239</v>
      </c>
    </row>
    <row r="38" spans="1:13">
      <c r="A38" s="50"/>
      <c r="B38" s="19"/>
      <c r="C38" s="19"/>
      <c r="D38" s="19"/>
      <c r="E38" s="19"/>
      <c r="F38" s="19"/>
      <c r="G38" s="19"/>
      <c r="H38" s="19"/>
      <c r="I38" s="19"/>
      <c r="J38" s="19"/>
      <c r="K38" s="19"/>
      <c r="L38" s="19"/>
      <c r="M38" s="214"/>
    </row>
    <row r="39" spans="1:13">
      <c r="A39" s="51" t="s">
        <v>88</v>
      </c>
      <c r="B39" s="52"/>
      <c r="C39" s="52"/>
      <c r="D39" s="52"/>
      <c r="E39" s="52"/>
      <c r="F39" s="52"/>
      <c r="G39" s="52"/>
      <c r="H39" s="52"/>
      <c r="I39" s="52"/>
      <c r="J39" s="52"/>
      <c r="K39" s="52"/>
      <c r="L39" s="52"/>
      <c r="M39" s="53"/>
    </row>
    <row r="40" spans="1:13" ht="15.75" thickBot="1">
      <c r="A40" s="14"/>
      <c r="B40" s="15"/>
      <c r="C40" s="15"/>
      <c r="D40" s="15"/>
      <c r="E40" s="15"/>
      <c r="F40" s="15"/>
      <c r="G40" s="15"/>
      <c r="H40" s="15"/>
      <c r="I40" s="19"/>
      <c r="J40" s="19"/>
      <c r="K40" s="19"/>
      <c r="L40" s="19"/>
      <c r="M40" s="24"/>
    </row>
    <row r="41" spans="1:13">
      <c r="A41" s="408" t="s">
        <v>77</v>
      </c>
      <c r="B41" s="431"/>
      <c r="C41" s="431"/>
      <c r="D41" s="431"/>
      <c r="E41" s="431"/>
      <c r="F41" s="431"/>
      <c r="G41" s="431"/>
      <c r="H41" s="424"/>
      <c r="I41" s="217" t="s">
        <v>79</v>
      </c>
      <c r="J41" s="221" t="s">
        <v>80</v>
      </c>
      <c r="K41" s="421" t="s">
        <v>89</v>
      </c>
      <c r="L41" s="424"/>
      <c r="M41" s="44" t="s">
        <v>85</v>
      </c>
    </row>
    <row r="42" spans="1:13">
      <c r="A42" s="425" t="s">
        <v>230</v>
      </c>
      <c r="B42" s="426"/>
      <c r="C42" s="426"/>
      <c r="D42" s="426"/>
      <c r="E42" s="426"/>
      <c r="F42" s="426"/>
      <c r="G42" s="426"/>
      <c r="H42" s="427"/>
      <c r="I42" s="73" t="s">
        <v>25</v>
      </c>
      <c r="J42" s="45">
        <v>1.02</v>
      </c>
      <c r="K42" s="456">
        <f>4531*1.0562</f>
        <v>4785.6422000000002</v>
      </c>
      <c r="L42" s="457"/>
      <c r="M42" s="56">
        <f>K42*J42</f>
        <v>4881.3550439999999</v>
      </c>
    </row>
    <row r="43" spans="1:13">
      <c r="A43" s="425" t="s">
        <v>231</v>
      </c>
      <c r="B43" s="426"/>
      <c r="C43" s="426"/>
      <c r="D43" s="426"/>
      <c r="E43" s="426"/>
      <c r="F43" s="426"/>
      <c r="G43" s="426"/>
      <c r="H43" s="427"/>
      <c r="I43" s="73" t="s">
        <v>25</v>
      </c>
      <c r="J43" s="165">
        <v>7.0000000000000001E-3</v>
      </c>
      <c r="K43" s="456">
        <f>20484*1.0562</f>
        <v>21635.200800000002</v>
      </c>
      <c r="L43" s="457"/>
      <c r="M43" s="56">
        <f>K43*J43</f>
        <v>151.44640560000002</v>
      </c>
    </row>
    <row r="44" spans="1:13">
      <c r="A44" s="425" t="s">
        <v>232</v>
      </c>
      <c r="B44" s="426"/>
      <c r="C44" s="426"/>
      <c r="D44" s="426"/>
      <c r="E44" s="426"/>
      <c r="F44" s="426"/>
      <c r="G44" s="426"/>
      <c r="H44" s="427"/>
      <c r="I44" s="73" t="s">
        <v>25</v>
      </c>
      <c r="J44" s="45">
        <v>0.05</v>
      </c>
      <c r="K44" s="456">
        <f>3971*1.0562</f>
        <v>4194.1702000000005</v>
      </c>
      <c r="L44" s="457"/>
      <c r="M44" s="56">
        <f t="shared" ref="M44:M47" si="1">K44*J44</f>
        <v>209.70851000000005</v>
      </c>
    </row>
    <row r="45" spans="1:13">
      <c r="A45" s="425" t="s">
        <v>207</v>
      </c>
      <c r="B45" s="426"/>
      <c r="C45" s="426"/>
      <c r="D45" s="426"/>
      <c r="E45" s="426"/>
      <c r="F45" s="426"/>
      <c r="G45" s="426"/>
      <c r="H45" s="427"/>
      <c r="I45" s="73" t="s">
        <v>233</v>
      </c>
      <c r="J45" s="229">
        <v>1.8E-3</v>
      </c>
      <c r="K45" s="456">
        <f>86156*1.0562</f>
        <v>90997.967199999999</v>
      </c>
      <c r="L45" s="457"/>
      <c r="M45" s="56">
        <f t="shared" si="1"/>
        <v>163.79634095999998</v>
      </c>
    </row>
    <row r="46" spans="1:13">
      <c r="A46" s="425" t="s">
        <v>234</v>
      </c>
      <c r="B46" s="426"/>
      <c r="C46" s="426"/>
      <c r="D46" s="426"/>
      <c r="E46" s="426"/>
      <c r="F46" s="426"/>
      <c r="G46" s="426"/>
      <c r="H46" s="427"/>
      <c r="I46" s="73" t="s">
        <v>233</v>
      </c>
      <c r="J46" s="229">
        <v>1.8E-3</v>
      </c>
      <c r="K46" s="456">
        <f>52931*1.0562</f>
        <v>55905.722200000004</v>
      </c>
      <c r="L46" s="457"/>
      <c r="M46" s="56">
        <f t="shared" si="1"/>
        <v>100.63029996</v>
      </c>
    </row>
    <row r="47" spans="1:13">
      <c r="A47" s="425" t="s">
        <v>206</v>
      </c>
      <c r="B47" s="426"/>
      <c r="C47" s="426"/>
      <c r="D47" s="426"/>
      <c r="E47" s="426"/>
      <c r="F47" s="426"/>
      <c r="G47" s="426"/>
      <c r="H47" s="427"/>
      <c r="I47" s="73" t="s">
        <v>233</v>
      </c>
      <c r="J47" s="229">
        <v>8.0000000000000004E-4</v>
      </c>
      <c r="K47" s="456">
        <f>43012*1.0562</f>
        <v>45429.274400000002</v>
      </c>
      <c r="L47" s="457"/>
      <c r="M47" s="56">
        <f t="shared" si="1"/>
        <v>36.343419520000005</v>
      </c>
    </row>
    <row r="48" spans="1:13">
      <c r="A48" s="425"/>
      <c r="B48" s="426"/>
      <c r="C48" s="426"/>
      <c r="D48" s="426"/>
      <c r="E48" s="426"/>
      <c r="F48" s="426"/>
      <c r="G48" s="426"/>
      <c r="H48" s="427"/>
      <c r="I48" s="73"/>
      <c r="J48" s="45"/>
      <c r="K48" s="456"/>
      <c r="L48" s="457"/>
      <c r="M48" s="56"/>
    </row>
    <row r="49" spans="1:13">
      <c r="A49" s="425"/>
      <c r="B49" s="426"/>
      <c r="C49" s="426"/>
      <c r="D49" s="426"/>
      <c r="E49" s="426"/>
      <c r="F49" s="426"/>
      <c r="G49" s="426"/>
      <c r="H49" s="427"/>
      <c r="I49" s="73"/>
      <c r="J49" s="45"/>
      <c r="K49" s="456"/>
      <c r="L49" s="457"/>
      <c r="M49" s="56"/>
    </row>
    <row r="50" spans="1:13" ht="15.75" thickBot="1">
      <c r="A50" s="410"/>
      <c r="B50" s="411"/>
      <c r="C50" s="411"/>
      <c r="D50" s="411"/>
      <c r="E50" s="411"/>
      <c r="F50" s="411"/>
      <c r="G50" s="411"/>
      <c r="H50" s="412"/>
      <c r="I50" s="74"/>
      <c r="J50" s="57"/>
      <c r="K50" s="466"/>
      <c r="L50" s="467"/>
      <c r="M50" s="75"/>
    </row>
    <row r="51" spans="1:13" ht="15.75" thickBot="1">
      <c r="A51" s="416" t="s">
        <v>87</v>
      </c>
      <c r="B51" s="417"/>
      <c r="C51" s="417"/>
      <c r="D51" s="417"/>
      <c r="E51" s="417"/>
      <c r="F51" s="417"/>
      <c r="G51" s="417"/>
      <c r="H51" s="417"/>
      <c r="I51" s="417"/>
      <c r="J51" s="417"/>
      <c r="K51" s="417"/>
      <c r="L51" s="418"/>
      <c r="M51" s="58">
        <f>SUM(M42:M50)</f>
        <v>5543.2800200399997</v>
      </c>
    </row>
    <row r="52" spans="1:13">
      <c r="A52" s="30"/>
      <c r="B52" s="19"/>
      <c r="C52" s="19"/>
      <c r="D52" s="19"/>
      <c r="E52" s="19"/>
      <c r="F52" s="19"/>
      <c r="G52" s="19"/>
      <c r="H52" s="19"/>
      <c r="I52" s="19"/>
      <c r="J52" s="19"/>
      <c r="K52" s="19"/>
      <c r="L52" s="19"/>
      <c r="M52" s="24"/>
    </row>
    <row r="53" spans="1:13">
      <c r="A53" s="51" t="s">
        <v>90</v>
      </c>
      <c r="B53" s="52"/>
      <c r="C53" s="52"/>
      <c r="D53" s="52"/>
      <c r="E53" s="52"/>
      <c r="F53" s="52"/>
      <c r="G53" s="52"/>
      <c r="H53" s="52"/>
      <c r="I53" s="52"/>
      <c r="J53" s="52"/>
      <c r="K53" s="52"/>
      <c r="L53" s="52"/>
      <c r="M53" s="53"/>
    </row>
    <row r="54" spans="1:13" ht="15.75" thickBot="1">
      <c r="A54" s="30"/>
      <c r="B54" s="19"/>
      <c r="C54" s="19"/>
      <c r="D54" s="19"/>
      <c r="E54" s="19"/>
      <c r="F54" s="19"/>
      <c r="G54" s="19"/>
      <c r="H54" s="19"/>
      <c r="I54" s="19"/>
      <c r="J54" s="19"/>
      <c r="K54" s="19"/>
      <c r="L54" s="19"/>
      <c r="M54" s="24"/>
    </row>
    <row r="55" spans="1:13">
      <c r="A55" s="408" t="s">
        <v>91</v>
      </c>
      <c r="B55" s="431"/>
      <c r="C55" s="431"/>
      <c r="D55" s="431"/>
      <c r="E55" s="431"/>
      <c r="F55" s="431"/>
      <c r="G55" s="431"/>
      <c r="H55" s="221" t="s">
        <v>92</v>
      </c>
      <c r="I55" s="218" t="s">
        <v>93</v>
      </c>
      <c r="J55" s="60" t="s">
        <v>94</v>
      </c>
      <c r="K55" s="421" t="s">
        <v>95</v>
      </c>
      <c r="L55" s="424"/>
      <c r="M55" s="44" t="s">
        <v>85</v>
      </c>
    </row>
    <row r="56" spans="1:13">
      <c r="A56" s="425"/>
      <c r="B56" s="426"/>
      <c r="C56" s="426"/>
      <c r="D56" s="426"/>
      <c r="E56" s="426"/>
      <c r="F56" s="426"/>
      <c r="G56" s="426"/>
      <c r="H56" s="61"/>
      <c r="I56" s="55"/>
      <c r="J56" s="61"/>
      <c r="K56" s="428"/>
      <c r="L56" s="429"/>
    </row>
    <row r="57" spans="1:13" ht="15.75" thickBot="1">
      <c r="A57" s="410"/>
      <c r="B57" s="411"/>
      <c r="C57" s="411"/>
      <c r="D57" s="411"/>
      <c r="E57" s="411"/>
      <c r="F57" s="411"/>
      <c r="G57" s="411"/>
      <c r="H57" s="47"/>
      <c r="I57" s="15"/>
      <c r="J57" s="47"/>
      <c r="K57" s="414"/>
      <c r="L57" s="415"/>
      <c r="M57" s="62"/>
    </row>
    <row r="58" spans="1:13" ht="15.75" thickBot="1">
      <c r="A58" s="416" t="s">
        <v>87</v>
      </c>
      <c r="B58" s="417"/>
      <c r="C58" s="417"/>
      <c r="D58" s="417"/>
      <c r="E58" s="417"/>
      <c r="F58" s="417"/>
      <c r="G58" s="417"/>
      <c r="H58" s="417"/>
      <c r="I58" s="417"/>
      <c r="J58" s="417"/>
      <c r="K58" s="417"/>
      <c r="L58" s="418"/>
      <c r="M58" s="63">
        <f>SUM(M57:M57)</f>
        <v>0</v>
      </c>
    </row>
    <row r="59" spans="1:13">
      <c r="A59" s="30"/>
      <c r="B59" s="19"/>
      <c r="C59" s="19"/>
      <c r="D59" s="19"/>
      <c r="E59" s="19"/>
      <c r="F59" s="19"/>
      <c r="G59" s="19"/>
      <c r="H59" s="19"/>
      <c r="I59" s="19"/>
      <c r="J59" s="19"/>
      <c r="K59" s="19"/>
      <c r="L59" s="19"/>
      <c r="M59" s="24"/>
    </row>
    <row r="60" spans="1:13">
      <c r="A60" s="51" t="s">
        <v>96</v>
      </c>
      <c r="B60" s="52"/>
      <c r="C60" s="52"/>
      <c r="D60" s="52"/>
      <c r="E60" s="52"/>
      <c r="F60" s="52"/>
      <c r="G60" s="52"/>
      <c r="H60" s="52"/>
      <c r="I60" s="52"/>
      <c r="J60" s="52"/>
      <c r="K60" s="52"/>
      <c r="L60" s="52"/>
      <c r="M60" s="53"/>
    </row>
    <row r="61" spans="1:13" ht="15.75" thickBot="1">
      <c r="A61" s="30"/>
      <c r="B61" s="19"/>
      <c r="C61" s="19"/>
      <c r="D61" s="19"/>
      <c r="E61" s="19"/>
      <c r="F61" s="19"/>
      <c r="G61" s="19"/>
      <c r="H61" s="19"/>
      <c r="I61" s="19"/>
      <c r="J61" s="19"/>
      <c r="K61" s="19"/>
      <c r="L61" s="19"/>
      <c r="M61" s="24"/>
    </row>
    <row r="62" spans="1:13" ht="26.25">
      <c r="A62" s="453" t="s">
        <v>97</v>
      </c>
      <c r="B62" s="454"/>
      <c r="C62" s="454"/>
      <c r="D62" s="454"/>
      <c r="E62" s="454"/>
      <c r="F62" s="454"/>
      <c r="G62" s="454"/>
      <c r="H62" s="221" t="s">
        <v>98</v>
      </c>
      <c r="I62" s="222" t="s">
        <v>99</v>
      </c>
      <c r="J62" s="222" t="s">
        <v>100</v>
      </c>
      <c r="K62" s="455" t="s">
        <v>84</v>
      </c>
      <c r="L62" s="455"/>
      <c r="M62" s="65" t="s">
        <v>85</v>
      </c>
    </row>
    <row r="63" spans="1:13" ht="15.75" thickBot="1">
      <c r="A63" s="432" t="s">
        <v>218</v>
      </c>
      <c r="B63" s="433"/>
      <c r="C63" s="433"/>
      <c r="D63" s="433"/>
      <c r="E63" s="433"/>
      <c r="F63" s="433"/>
      <c r="G63" s="433"/>
      <c r="H63" s="3">
        <v>118472</v>
      </c>
      <c r="I63" s="4">
        <v>2.2000000000000002</v>
      </c>
      <c r="J63" s="67">
        <f>(I63*H63)</f>
        <v>260638.40000000002</v>
      </c>
      <c r="K63" s="434">
        <v>60</v>
      </c>
      <c r="L63" s="434"/>
      <c r="M63" s="68">
        <f>J63/K63</f>
        <v>4343.9733333333334</v>
      </c>
    </row>
    <row r="64" spans="1:13">
      <c r="A64" s="471"/>
      <c r="B64" s="472"/>
      <c r="C64" s="472"/>
      <c r="D64" s="472"/>
      <c r="E64" s="472"/>
      <c r="F64" s="472"/>
      <c r="G64" s="472"/>
      <c r="H64" s="1"/>
      <c r="I64" s="2"/>
      <c r="J64" s="66"/>
      <c r="K64" s="473"/>
      <c r="L64" s="473"/>
      <c r="M64" s="56"/>
    </row>
    <row r="65" spans="1:14" ht="15.75" thickBot="1">
      <c r="A65" s="432"/>
      <c r="B65" s="433"/>
      <c r="C65" s="433"/>
      <c r="D65" s="433"/>
      <c r="E65" s="433"/>
      <c r="F65" s="433"/>
      <c r="G65" s="433"/>
      <c r="H65" s="3"/>
      <c r="I65" s="4"/>
      <c r="J65" s="67"/>
      <c r="K65" s="434"/>
      <c r="L65" s="434"/>
      <c r="M65" s="68"/>
    </row>
    <row r="66" spans="1:14" ht="15.75" thickBot="1">
      <c r="A66" s="435" t="s">
        <v>87</v>
      </c>
      <c r="B66" s="436"/>
      <c r="C66" s="436"/>
      <c r="D66" s="436"/>
      <c r="E66" s="436"/>
      <c r="F66" s="436"/>
      <c r="G66" s="436"/>
      <c r="H66" s="436"/>
      <c r="I66" s="436"/>
      <c r="J66" s="436"/>
      <c r="K66" s="436"/>
      <c r="L66" s="437"/>
      <c r="M66" s="69">
        <f>SUM(M63:M65)</f>
        <v>4343.9733333333334</v>
      </c>
    </row>
    <row r="67" spans="1:14" ht="15.75" thickBot="1">
      <c r="A67" s="30"/>
      <c r="B67" s="19"/>
      <c r="C67" s="19"/>
      <c r="D67" s="19"/>
      <c r="E67" s="19"/>
      <c r="F67" s="19"/>
      <c r="G67" s="19"/>
      <c r="H67" s="19"/>
      <c r="I67" s="19"/>
      <c r="J67" s="19"/>
      <c r="K67" s="19"/>
      <c r="L67" s="19"/>
      <c r="M67" s="24"/>
    </row>
    <row r="68" spans="1:14" ht="15.75" thickBot="1">
      <c r="A68" s="416" t="s">
        <v>101</v>
      </c>
      <c r="B68" s="417"/>
      <c r="C68" s="417"/>
      <c r="D68" s="417"/>
      <c r="E68" s="417"/>
      <c r="F68" s="417"/>
      <c r="G68" s="417"/>
      <c r="H68" s="417"/>
      <c r="I68" s="417"/>
      <c r="J68" s="417"/>
      <c r="K68" s="417"/>
      <c r="L68" s="418"/>
      <c r="M68" s="70">
        <f>+ROUND(13051.9800957676,0)</f>
        <v>13052</v>
      </c>
      <c r="N68" s="155"/>
    </row>
    <row r="69" spans="1:14">
      <c r="A69" s="30"/>
      <c r="B69" s="19"/>
      <c r="C69" s="19"/>
      <c r="D69" s="19"/>
      <c r="E69" s="19"/>
      <c r="F69" s="19"/>
      <c r="G69" s="19"/>
      <c r="H69" s="19"/>
      <c r="I69" s="19"/>
      <c r="J69" s="19"/>
      <c r="K69" s="19"/>
      <c r="L69" s="19"/>
      <c r="M69" s="24"/>
    </row>
    <row r="70" spans="1:14">
      <c r="A70" s="51" t="s">
        <v>102</v>
      </c>
      <c r="B70" s="52"/>
      <c r="C70" s="52"/>
      <c r="D70" s="52"/>
      <c r="E70" s="52"/>
      <c r="F70" s="52"/>
      <c r="G70" s="52"/>
      <c r="H70" s="52"/>
      <c r="I70" s="52"/>
      <c r="J70" s="52"/>
      <c r="K70" s="52"/>
      <c r="L70" s="52"/>
      <c r="M70" s="53"/>
    </row>
    <row r="71" spans="1:14" ht="15.75" thickBot="1">
      <c r="A71" s="30"/>
      <c r="B71" s="19"/>
      <c r="C71" s="19"/>
      <c r="D71" s="19"/>
      <c r="E71" s="19"/>
      <c r="F71" s="19"/>
      <c r="G71" s="19"/>
      <c r="H71" s="19"/>
      <c r="I71" s="19"/>
      <c r="J71" s="19"/>
      <c r="K71" s="19"/>
      <c r="L71" s="19"/>
      <c r="M71" s="24"/>
    </row>
    <row r="72" spans="1:14" ht="15.75" thickBot="1">
      <c r="A72" s="438" t="s">
        <v>103</v>
      </c>
      <c r="B72" s="439"/>
      <c r="C72" s="439"/>
      <c r="D72" s="439"/>
      <c r="E72" s="439"/>
      <c r="F72" s="439"/>
      <c r="G72" s="439"/>
      <c r="H72" s="219"/>
      <c r="I72" s="220"/>
      <c r="J72" s="81" t="s">
        <v>104</v>
      </c>
      <c r="K72" s="440" t="s">
        <v>105</v>
      </c>
      <c r="L72" s="441"/>
      <c r="M72" s="82"/>
    </row>
    <row r="73" spans="1:14">
      <c r="A73" s="442" t="s">
        <v>106</v>
      </c>
      <c r="B73" s="443"/>
      <c r="C73" s="443"/>
      <c r="D73" s="443"/>
      <c r="E73" s="443"/>
      <c r="F73" s="443"/>
      <c r="G73" s="443"/>
      <c r="H73" s="83"/>
      <c r="I73" s="84"/>
      <c r="J73" s="85">
        <v>0.19</v>
      </c>
      <c r="K73" s="444">
        <f>M68*J73</f>
        <v>2479.88</v>
      </c>
      <c r="L73" s="444"/>
      <c r="M73" s="86"/>
    </row>
    <row r="74" spans="1:14">
      <c r="A74" s="447" t="s">
        <v>107</v>
      </c>
      <c r="B74" s="448"/>
      <c r="C74" s="448"/>
      <c r="D74" s="448"/>
      <c r="E74" s="448"/>
      <c r="F74" s="448"/>
      <c r="G74" s="449"/>
      <c r="H74" s="77"/>
      <c r="I74" s="78"/>
      <c r="J74" s="5">
        <v>0.01</v>
      </c>
      <c r="K74" s="445">
        <f>M68*J74</f>
        <v>130.52000000000001</v>
      </c>
      <c r="L74" s="445"/>
      <c r="M74" s="6"/>
    </row>
    <row r="75" spans="1:14">
      <c r="A75" s="447" t="s">
        <v>108</v>
      </c>
      <c r="B75" s="448"/>
      <c r="C75" s="448"/>
      <c r="D75" s="448"/>
      <c r="E75" s="448"/>
      <c r="F75" s="448"/>
      <c r="G75" s="449"/>
      <c r="H75" s="77"/>
      <c r="I75" s="78"/>
      <c r="J75" s="5">
        <v>0.05</v>
      </c>
      <c r="K75" s="445">
        <f>M68*J75</f>
        <v>652.6</v>
      </c>
      <c r="L75" s="445"/>
      <c r="M75" s="6"/>
    </row>
    <row r="76" spans="1:14" ht="15.75" thickBot="1">
      <c r="A76" s="450" t="s">
        <v>117</v>
      </c>
      <c r="B76" s="451"/>
      <c r="C76" s="451"/>
      <c r="D76" s="451"/>
      <c r="E76" s="451"/>
      <c r="F76" s="451"/>
      <c r="G76" s="452"/>
      <c r="H76" s="87"/>
      <c r="I76" s="88"/>
      <c r="J76" s="89">
        <v>0.19</v>
      </c>
      <c r="K76" s="446">
        <f>K75*J76</f>
        <v>123.994</v>
      </c>
      <c r="L76" s="446"/>
      <c r="M76" s="90"/>
    </row>
    <row r="77" spans="1:14" ht="15.75" thickBot="1">
      <c r="A77" s="435" t="s">
        <v>87</v>
      </c>
      <c r="B77" s="436"/>
      <c r="C77" s="436"/>
      <c r="D77" s="436"/>
      <c r="E77" s="436"/>
      <c r="F77" s="436"/>
      <c r="G77" s="436"/>
      <c r="H77" s="436"/>
      <c r="I77" s="436"/>
      <c r="J77" s="436"/>
      <c r="K77" s="436"/>
      <c r="L77" s="437"/>
      <c r="M77" s="76">
        <f>SUM(K73:L76)</f>
        <v>3386.9940000000001</v>
      </c>
    </row>
    <row r="78" spans="1:14" ht="15.75" thickBot="1">
      <c r="A78" s="30"/>
      <c r="B78" s="19"/>
      <c r="C78" s="19"/>
      <c r="D78" s="19"/>
      <c r="E78" s="19"/>
      <c r="F78" s="19"/>
      <c r="G78" s="19"/>
      <c r="H78" s="19"/>
      <c r="I78" s="19"/>
      <c r="J78" s="19"/>
      <c r="K78" s="19"/>
      <c r="L78" s="19"/>
      <c r="M78" s="24"/>
    </row>
    <row r="79" spans="1:14" ht="15.75" thickBot="1">
      <c r="A79" s="416" t="s">
        <v>109</v>
      </c>
      <c r="B79" s="417"/>
      <c r="C79" s="417"/>
      <c r="D79" s="417"/>
      <c r="E79" s="417"/>
      <c r="F79" s="417"/>
      <c r="G79" s="417"/>
      <c r="H79" s="417"/>
      <c r="I79" s="417"/>
      <c r="J79" s="417"/>
      <c r="K79" s="417"/>
      <c r="L79" s="418"/>
      <c r="M79" s="71">
        <f>ROUND(M68+M77,0)</f>
        <v>16439</v>
      </c>
    </row>
  </sheetData>
  <mergeCells count="99">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L37"/>
    <mergeCell ref="A41:H41"/>
    <mergeCell ref="K41:L41"/>
    <mergeCell ref="A42:H42"/>
    <mergeCell ref="A30:E30"/>
    <mergeCell ref="F30:G30"/>
    <mergeCell ref="H30:I30"/>
    <mergeCell ref="K30:L30"/>
    <mergeCell ref="A31:E31"/>
    <mergeCell ref="F31:G31"/>
    <mergeCell ref="H31:I31"/>
    <mergeCell ref="K31:L31"/>
    <mergeCell ref="A32:E32"/>
    <mergeCell ref="F32:G32"/>
    <mergeCell ref="H32:I32"/>
    <mergeCell ref="K32:L32"/>
    <mergeCell ref="A36:E36"/>
    <mergeCell ref="F36:G36"/>
    <mergeCell ref="H36:I36"/>
    <mergeCell ref="K36:L36"/>
    <mergeCell ref="A33:E33"/>
    <mergeCell ref="F33:G33"/>
    <mergeCell ref="A35:E35"/>
    <mergeCell ref="F35:G35"/>
    <mergeCell ref="H35:I35"/>
    <mergeCell ref="K35:L35"/>
    <mergeCell ref="H33:I33"/>
    <mergeCell ref="K33:L33"/>
    <mergeCell ref="A34:E34"/>
    <mergeCell ref="F34:G34"/>
    <mergeCell ref="H34:I34"/>
    <mergeCell ref="K34:L34"/>
    <mergeCell ref="K42:L42"/>
    <mergeCell ref="A44:H44"/>
    <mergeCell ref="K44:L44"/>
    <mergeCell ref="A45:H45"/>
    <mergeCell ref="K45:L45"/>
    <mergeCell ref="A43:H43"/>
    <mergeCell ref="K43:L43"/>
    <mergeCell ref="A46:H46"/>
    <mergeCell ref="K46:L46"/>
    <mergeCell ref="A56:G56"/>
    <mergeCell ref="K56:L56"/>
    <mergeCell ref="A47:H47"/>
    <mergeCell ref="K47:L47"/>
    <mergeCell ref="A48:H48"/>
    <mergeCell ref="K48:L48"/>
    <mergeCell ref="A49:H49"/>
    <mergeCell ref="K49:L49"/>
    <mergeCell ref="A50:H50"/>
    <mergeCell ref="K50:L50"/>
    <mergeCell ref="A51:L51"/>
    <mergeCell ref="A55:G55"/>
    <mergeCell ref="K55:L55"/>
    <mergeCell ref="A68:L68"/>
    <mergeCell ref="A57:G57"/>
    <mergeCell ref="K57:L57"/>
    <mergeCell ref="A58:L58"/>
    <mergeCell ref="A62:G62"/>
    <mergeCell ref="K62:L62"/>
    <mergeCell ref="A63:G63"/>
    <mergeCell ref="K63:L63"/>
    <mergeCell ref="A64:G64"/>
    <mergeCell ref="K64:L64"/>
    <mergeCell ref="A65:G65"/>
    <mergeCell ref="K65:L65"/>
    <mergeCell ref="A66:L66"/>
    <mergeCell ref="A79:L79"/>
    <mergeCell ref="A72:G72"/>
    <mergeCell ref="K72:L72"/>
    <mergeCell ref="A73:G73"/>
    <mergeCell ref="K73:L73"/>
    <mergeCell ref="A74:G74"/>
    <mergeCell ref="K74:L74"/>
    <mergeCell ref="A75:G75"/>
    <mergeCell ref="K75:L75"/>
    <mergeCell ref="A76:G76"/>
    <mergeCell ref="K76:L76"/>
    <mergeCell ref="A77:L77"/>
  </mergeCells>
  <pageMargins left="0.7" right="0.7" top="0.75" bottom="0.75" header="0.3" footer="0.3"/>
  <pageSetup scale="56"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6"/>
  <sheetViews>
    <sheetView view="pageBreakPreview" topLeftCell="A49" zoomScale="80" zoomScaleNormal="100" zoomScaleSheetLayoutView="80" workbookViewId="0">
      <selection activeCell="M65" sqref="M65"/>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4.5703125" customWidth="1"/>
  </cols>
  <sheetData>
    <row r="1" spans="1:13" ht="15" customHeight="1">
      <c r="A1" s="458"/>
      <c r="B1" s="459"/>
      <c r="C1" s="459"/>
      <c r="D1" s="491" t="s">
        <v>67</v>
      </c>
      <c r="E1" s="491"/>
      <c r="F1" s="491"/>
      <c r="G1" s="491"/>
      <c r="H1" s="491"/>
      <c r="I1" s="491"/>
      <c r="J1" s="491"/>
      <c r="K1" s="493"/>
      <c r="L1" s="493"/>
      <c r="M1" s="494"/>
    </row>
    <row r="2" spans="1:13">
      <c r="A2" s="460"/>
      <c r="B2" s="389"/>
      <c r="C2" s="389"/>
      <c r="D2" s="492"/>
      <c r="E2" s="492"/>
      <c r="F2" s="492"/>
      <c r="G2" s="492"/>
      <c r="H2" s="492"/>
      <c r="I2" s="492"/>
      <c r="J2" s="492"/>
      <c r="K2" s="495"/>
      <c r="L2" s="495"/>
      <c r="M2" s="496"/>
    </row>
    <row r="3" spans="1:13">
      <c r="A3" s="460"/>
      <c r="B3" s="389"/>
      <c r="C3" s="389"/>
      <c r="D3" s="492"/>
      <c r="E3" s="492"/>
      <c r="F3" s="492"/>
      <c r="G3" s="492"/>
      <c r="H3" s="492"/>
      <c r="I3" s="492"/>
      <c r="J3" s="492"/>
      <c r="K3" s="495"/>
      <c r="L3" s="495"/>
      <c r="M3" s="496"/>
    </row>
    <row r="4" spans="1:13" ht="15" customHeight="1">
      <c r="A4" s="460"/>
      <c r="B4" s="389"/>
      <c r="C4" s="389"/>
      <c r="D4" s="389" t="s">
        <v>112</v>
      </c>
      <c r="E4" s="389"/>
      <c r="F4" s="389"/>
      <c r="G4" s="389"/>
      <c r="H4" s="389"/>
      <c r="I4" s="389"/>
      <c r="J4" s="389"/>
      <c r="K4" s="495"/>
      <c r="L4" s="495"/>
      <c r="M4" s="496"/>
    </row>
    <row r="5" spans="1:13">
      <c r="A5" s="460"/>
      <c r="B5" s="389"/>
      <c r="C5" s="389"/>
      <c r="D5" s="389"/>
      <c r="E5" s="389"/>
      <c r="F5" s="389"/>
      <c r="G5" s="389"/>
      <c r="H5" s="389"/>
      <c r="I5" s="389"/>
      <c r="J5" s="389"/>
      <c r="K5" s="495"/>
      <c r="L5" s="495"/>
      <c r="M5" s="496"/>
    </row>
    <row r="6" spans="1:13">
      <c r="A6" s="460"/>
      <c r="B6" s="389"/>
      <c r="C6" s="389"/>
      <c r="D6" s="389"/>
      <c r="E6" s="389"/>
      <c r="F6" s="389"/>
      <c r="G6" s="389"/>
      <c r="H6" s="389"/>
      <c r="I6" s="389"/>
      <c r="J6" s="389"/>
      <c r="K6" s="495"/>
      <c r="L6" s="495"/>
      <c r="M6" s="496"/>
    </row>
    <row r="7" spans="1:13" ht="15.75" thickBot="1">
      <c r="A7" s="461"/>
      <c r="B7" s="390"/>
      <c r="C7" s="390"/>
      <c r="D7" s="390"/>
      <c r="E7" s="390"/>
      <c r="F7" s="390"/>
      <c r="G7" s="390"/>
      <c r="H7" s="390"/>
      <c r="I7" s="390"/>
      <c r="J7" s="390"/>
      <c r="K7" s="497"/>
      <c r="L7" s="497"/>
      <c r="M7" s="498"/>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224"/>
      <c r="D17" s="224"/>
      <c r="E17" s="224"/>
      <c r="F17" s="224"/>
      <c r="G17" s="224"/>
      <c r="H17" s="224"/>
      <c r="I17" s="224"/>
      <c r="J17" s="224"/>
      <c r="K17" s="224"/>
      <c r="L17" s="224"/>
      <c r="M17" s="13"/>
    </row>
    <row r="18" spans="1:13">
      <c r="A18" s="25" t="s">
        <v>74</v>
      </c>
      <c r="B18" s="26"/>
      <c r="C18" s="379"/>
      <c r="D18" s="379"/>
      <c r="E18" s="379"/>
      <c r="F18" s="379"/>
      <c r="G18" s="379"/>
      <c r="H18" s="379"/>
      <c r="I18" s="379"/>
      <c r="J18" s="379"/>
      <c r="K18" s="379"/>
      <c r="L18" s="379"/>
      <c r="M18" s="380"/>
    </row>
    <row r="19" spans="1:13">
      <c r="A19" s="25"/>
      <c r="B19" s="26"/>
      <c r="C19" s="224"/>
      <c r="D19" s="224"/>
      <c r="E19" s="224"/>
      <c r="F19" s="224"/>
      <c r="G19" s="224"/>
      <c r="H19" s="224"/>
      <c r="I19" s="224"/>
      <c r="J19" s="224"/>
      <c r="K19" s="224"/>
      <c r="L19" s="224"/>
      <c r="M19" s="13"/>
    </row>
    <row r="20" spans="1:13" ht="31.5" customHeight="1">
      <c r="A20" s="464" t="s">
        <v>113</v>
      </c>
      <c r="B20" s="465"/>
      <c r="C20" s="379"/>
      <c r="D20" s="379"/>
      <c r="E20" s="379"/>
      <c r="F20" s="379"/>
      <c r="G20" s="379"/>
      <c r="H20" s="379"/>
      <c r="I20" s="379"/>
      <c r="J20" s="379"/>
      <c r="K20" s="379"/>
      <c r="L20" s="379"/>
      <c r="M20" s="380"/>
    </row>
    <row r="21" spans="1:13">
      <c r="A21" s="400"/>
      <c r="B21" s="401"/>
      <c r="C21" s="224"/>
      <c r="D21" s="224"/>
      <c r="E21" s="224"/>
      <c r="F21" s="224"/>
      <c r="G21" s="224"/>
      <c r="H21" s="224"/>
      <c r="I21" s="224"/>
      <c r="J21" s="224"/>
      <c r="K21" s="224"/>
      <c r="L21" s="224"/>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216" t="s">
        <v>78</v>
      </c>
      <c r="K25" s="408" t="s">
        <v>79</v>
      </c>
      <c r="L25" s="409"/>
      <c r="M25" s="31" t="s">
        <v>80</v>
      </c>
    </row>
    <row r="26" spans="1:13" ht="45.75" customHeight="1" thickBot="1">
      <c r="A26" s="227"/>
      <c r="B26" s="505" t="s">
        <v>236</v>
      </c>
      <c r="C26" s="506"/>
      <c r="D26" s="506"/>
      <c r="E26" s="506"/>
      <c r="F26" s="506"/>
      <c r="G26" s="506"/>
      <c r="H26" s="506"/>
      <c r="I26" s="507"/>
      <c r="J26" s="226">
        <v>1</v>
      </c>
      <c r="K26" s="508" t="s">
        <v>8</v>
      </c>
      <c r="L26" s="507"/>
      <c r="M26" s="228"/>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221" t="s">
        <v>83</v>
      </c>
      <c r="K30" s="421" t="s">
        <v>84</v>
      </c>
      <c r="L30" s="424"/>
      <c r="M30" s="44" t="s">
        <v>85</v>
      </c>
    </row>
    <row r="31" spans="1:13">
      <c r="A31" s="425"/>
      <c r="B31" s="426"/>
      <c r="C31" s="426"/>
      <c r="D31" s="426"/>
      <c r="E31" s="427"/>
      <c r="F31" s="428"/>
      <c r="G31" s="429"/>
      <c r="H31" s="430"/>
      <c r="I31" s="427"/>
      <c r="J31" s="72"/>
      <c r="K31" s="428"/>
      <c r="L31" s="429"/>
      <c r="M31" s="209">
        <f>J31*K31</f>
        <v>0</v>
      </c>
    </row>
    <row r="32" spans="1:13">
      <c r="A32" s="425"/>
      <c r="B32" s="426"/>
      <c r="C32" s="426"/>
      <c r="D32" s="426"/>
      <c r="E32" s="427"/>
      <c r="F32" s="428"/>
      <c r="G32" s="429"/>
      <c r="H32" s="430"/>
      <c r="I32" s="427"/>
      <c r="J32" s="72"/>
      <c r="K32" s="428"/>
      <c r="L32" s="429"/>
      <c r="M32" s="209">
        <f>J32*K32</f>
        <v>0</v>
      </c>
    </row>
    <row r="33" spans="1:13" ht="15.75" thickBot="1">
      <c r="A33" s="425"/>
      <c r="B33" s="426"/>
      <c r="C33" s="426"/>
      <c r="D33" s="426"/>
      <c r="E33" s="427"/>
      <c r="F33" s="428"/>
      <c r="G33" s="429"/>
      <c r="H33" s="430"/>
      <c r="I33" s="427"/>
      <c r="J33" s="72"/>
      <c r="K33" s="428"/>
      <c r="L33" s="429"/>
      <c r="M33" s="209">
        <f>J33*K33</f>
        <v>0</v>
      </c>
    </row>
    <row r="34" spans="1:13" ht="15.75" thickBot="1">
      <c r="A34" s="416" t="s">
        <v>87</v>
      </c>
      <c r="B34" s="417"/>
      <c r="C34" s="417"/>
      <c r="D34" s="417"/>
      <c r="E34" s="417"/>
      <c r="F34" s="417"/>
      <c r="G34" s="417"/>
      <c r="H34" s="417"/>
      <c r="I34" s="417"/>
      <c r="J34" s="417"/>
      <c r="K34" s="417"/>
      <c r="L34" s="418"/>
      <c r="M34" s="210">
        <f>SUM(M31:M33)</f>
        <v>0</v>
      </c>
    </row>
    <row r="35" spans="1:13">
      <c r="A35" s="50"/>
      <c r="B35" s="19"/>
      <c r="C35" s="19"/>
      <c r="D35" s="19"/>
      <c r="E35" s="19"/>
      <c r="F35" s="19"/>
      <c r="G35" s="19"/>
      <c r="H35" s="19"/>
      <c r="I35" s="19"/>
      <c r="J35" s="19"/>
      <c r="K35" s="19"/>
      <c r="L35" s="19"/>
      <c r="M35" s="214"/>
    </row>
    <row r="36" spans="1:13">
      <c r="A36" s="51" t="s">
        <v>88</v>
      </c>
      <c r="B36" s="52"/>
      <c r="C36" s="52"/>
      <c r="D36" s="52"/>
      <c r="E36" s="52"/>
      <c r="F36" s="52"/>
      <c r="G36" s="52"/>
      <c r="H36" s="52"/>
      <c r="I36" s="52"/>
      <c r="J36" s="52"/>
      <c r="K36" s="52"/>
      <c r="L36" s="52"/>
      <c r="M36" s="53"/>
    </row>
    <row r="37" spans="1:13" ht="15.75" thickBot="1">
      <c r="A37" s="14"/>
      <c r="B37" s="15"/>
      <c r="C37" s="15"/>
      <c r="D37" s="15"/>
      <c r="E37" s="15"/>
      <c r="F37" s="15"/>
      <c r="G37" s="15"/>
      <c r="H37" s="15"/>
      <c r="I37" s="19"/>
      <c r="J37" s="19"/>
      <c r="K37" s="19"/>
      <c r="L37" s="19"/>
      <c r="M37" s="24"/>
    </row>
    <row r="38" spans="1:13">
      <c r="A38" s="408" t="s">
        <v>77</v>
      </c>
      <c r="B38" s="431"/>
      <c r="C38" s="431"/>
      <c r="D38" s="431"/>
      <c r="E38" s="431"/>
      <c r="F38" s="431"/>
      <c r="G38" s="431"/>
      <c r="H38" s="424"/>
      <c r="I38" s="217" t="s">
        <v>79</v>
      </c>
      <c r="J38" s="221" t="s">
        <v>80</v>
      </c>
      <c r="K38" s="421" t="s">
        <v>89</v>
      </c>
      <c r="L38" s="424"/>
      <c r="M38" s="44" t="s">
        <v>85</v>
      </c>
    </row>
    <row r="39" spans="1:13">
      <c r="A39" s="425" t="s">
        <v>237</v>
      </c>
      <c r="B39" s="426"/>
      <c r="C39" s="426"/>
      <c r="D39" s="426"/>
      <c r="E39" s="426"/>
      <c r="F39" s="426"/>
      <c r="G39" s="426"/>
      <c r="H39" s="427"/>
      <c r="I39" s="73" t="s">
        <v>115</v>
      </c>
      <c r="J39" s="45">
        <v>0.17</v>
      </c>
      <c r="K39" s="456">
        <v>8198</v>
      </c>
      <c r="L39" s="457"/>
      <c r="M39" s="56">
        <f>K39*J39</f>
        <v>1393.66</v>
      </c>
    </row>
    <row r="40" spans="1:13">
      <c r="A40" s="425" t="s">
        <v>238</v>
      </c>
      <c r="B40" s="426"/>
      <c r="C40" s="426"/>
      <c r="D40" s="426"/>
      <c r="E40" s="426"/>
      <c r="F40" s="426"/>
      <c r="G40" s="426"/>
      <c r="H40" s="427"/>
      <c r="I40" s="73" t="s">
        <v>115</v>
      </c>
      <c r="J40" s="45">
        <v>1.1000000000000001</v>
      </c>
      <c r="K40" s="456">
        <v>11499</v>
      </c>
      <c r="L40" s="457"/>
      <c r="M40" s="56">
        <f>K40*J40</f>
        <v>12648.900000000001</v>
      </c>
    </row>
    <row r="41" spans="1:13">
      <c r="A41" s="425" t="s">
        <v>239</v>
      </c>
      <c r="B41" s="426"/>
      <c r="C41" s="426"/>
      <c r="D41" s="426"/>
      <c r="E41" s="426"/>
      <c r="F41" s="426"/>
      <c r="G41" s="426"/>
      <c r="H41" s="427"/>
      <c r="I41" s="73" t="s">
        <v>115</v>
      </c>
      <c r="J41" s="45">
        <v>0.01</v>
      </c>
      <c r="K41" s="456">
        <v>68896</v>
      </c>
      <c r="L41" s="457"/>
      <c r="M41" s="56">
        <f t="shared" ref="M41:M44" si="0">K41*J41</f>
        <v>688.96</v>
      </c>
    </row>
    <row r="42" spans="1:13">
      <c r="A42" s="425" t="s">
        <v>240</v>
      </c>
      <c r="B42" s="426"/>
      <c r="C42" s="426"/>
      <c r="D42" s="426"/>
      <c r="E42" s="426"/>
      <c r="F42" s="426"/>
      <c r="G42" s="426"/>
      <c r="H42" s="427"/>
      <c r="I42" s="73" t="s">
        <v>115</v>
      </c>
      <c r="J42" s="165">
        <v>0.01</v>
      </c>
      <c r="K42" s="456">
        <v>32938</v>
      </c>
      <c r="L42" s="457"/>
      <c r="M42" s="56">
        <f t="shared" si="0"/>
        <v>329.38</v>
      </c>
    </row>
    <row r="43" spans="1:13">
      <c r="A43" s="425"/>
      <c r="B43" s="426"/>
      <c r="C43" s="426"/>
      <c r="D43" s="426"/>
      <c r="E43" s="426"/>
      <c r="F43" s="426"/>
      <c r="G43" s="426"/>
      <c r="H43" s="427"/>
      <c r="I43" s="73"/>
      <c r="J43" s="229"/>
      <c r="K43" s="456"/>
      <c r="L43" s="457"/>
      <c r="M43" s="56">
        <f t="shared" si="0"/>
        <v>0</v>
      </c>
    </row>
    <row r="44" spans="1:13">
      <c r="A44" s="425"/>
      <c r="B44" s="426"/>
      <c r="C44" s="426"/>
      <c r="D44" s="426"/>
      <c r="E44" s="426"/>
      <c r="F44" s="426"/>
      <c r="G44" s="426"/>
      <c r="H44" s="427"/>
      <c r="I44" s="73"/>
      <c r="J44" s="229"/>
      <c r="K44" s="456"/>
      <c r="L44" s="457"/>
      <c r="M44" s="56">
        <f t="shared" si="0"/>
        <v>0</v>
      </c>
    </row>
    <row r="45" spans="1:13">
      <c r="A45" s="425"/>
      <c r="B45" s="426"/>
      <c r="C45" s="426"/>
      <c r="D45" s="426"/>
      <c r="E45" s="426"/>
      <c r="F45" s="426"/>
      <c r="G45" s="426"/>
      <c r="H45" s="427"/>
      <c r="I45" s="73"/>
      <c r="J45" s="45"/>
      <c r="K45" s="456"/>
      <c r="L45" s="457"/>
      <c r="M45" s="56"/>
    </row>
    <row r="46" spans="1:13">
      <c r="A46" s="425"/>
      <c r="B46" s="426"/>
      <c r="C46" s="426"/>
      <c r="D46" s="426"/>
      <c r="E46" s="426"/>
      <c r="F46" s="426"/>
      <c r="G46" s="426"/>
      <c r="H46" s="427"/>
      <c r="I46" s="73"/>
      <c r="J46" s="45"/>
      <c r="K46" s="456"/>
      <c r="L46" s="457"/>
      <c r="M46" s="56"/>
    </row>
    <row r="47" spans="1:13" ht="15.75" thickBot="1">
      <c r="A47" s="410"/>
      <c r="B47" s="411"/>
      <c r="C47" s="411"/>
      <c r="D47" s="411"/>
      <c r="E47" s="411"/>
      <c r="F47" s="411"/>
      <c r="G47" s="411"/>
      <c r="H47" s="412"/>
      <c r="I47" s="74"/>
      <c r="J47" s="57"/>
      <c r="K47" s="466"/>
      <c r="L47" s="467"/>
      <c r="M47" s="75"/>
    </row>
    <row r="48" spans="1:13" ht="15.75" thickBot="1">
      <c r="A48" s="416" t="s">
        <v>87</v>
      </c>
      <c r="B48" s="417"/>
      <c r="C48" s="417"/>
      <c r="D48" s="417"/>
      <c r="E48" s="417"/>
      <c r="F48" s="417"/>
      <c r="G48" s="417"/>
      <c r="H48" s="417"/>
      <c r="I48" s="417"/>
      <c r="J48" s="417"/>
      <c r="K48" s="417"/>
      <c r="L48" s="418"/>
      <c r="M48" s="58">
        <f>SUM(M39:M47)</f>
        <v>15060.9</v>
      </c>
    </row>
    <row r="49" spans="1:13">
      <c r="A49" s="30"/>
      <c r="B49" s="19"/>
      <c r="C49" s="19"/>
      <c r="D49" s="19"/>
      <c r="E49" s="19"/>
      <c r="F49" s="19"/>
      <c r="G49" s="19"/>
      <c r="H49" s="19"/>
      <c r="I49" s="19"/>
      <c r="J49" s="19"/>
      <c r="K49" s="19"/>
      <c r="L49" s="19"/>
      <c r="M49" s="24"/>
    </row>
    <row r="50" spans="1:13">
      <c r="A50" s="51" t="s">
        <v>90</v>
      </c>
      <c r="B50" s="52"/>
      <c r="C50" s="52"/>
      <c r="D50" s="52"/>
      <c r="E50" s="52"/>
      <c r="F50" s="52"/>
      <c r="G50" s="52"/>
      <c r="H50" s="52"/>
      <c r="I50" s="52"/>
      <c r="J50" s="52"/>
      <c r="K50" s="52"/>
      <c r="L50" s="52"/>
      <c r="M50" s="53"/>
    </row>
    <row r="51" spans="1:13" ht="15.75" thickBot="1">
      <c r="A51" s="30"/>
      <c r="B51" s="19"/>
      <c r="C51" s="19"/>
      <c r="D51" s="19"/>
      <c r="E51" s="19"/>
      <c r="F51" s="19"/>
      <c r="G51" s="19"/>
      <c r="H51" s="19"/>
      <c r="I51" s="19"/>
      <c r="J51" s="19"/>
      <c r="K51" s="19"/>
      <c r="L51" s="19"/>
      <c r="M51" s="24"/>
    </row>
    <row r="52" spans="1:13">
      <c r="A52" s="408" t="s">
        <v>91</v>
      </c>
      <c r="B52" s="431"/>
      <c r="C52" s="431"/>
      <c r="D52" s="431"/>
      <c r="E52" s="431"/>
      <c r="F52" s="431"/>
      <c r="G52" s="431"/>
      <c r="H52" s="221" t="s">
        <v>92</v>
      </c>
      <c r="I52" s="218" t="s">
        <v>93</v>
      </c>
      <c r="J52" s="60" t="s">
        <v>94</v>
      </c>
      <c r="K52" s="421" t="s">
        <v>95</v>
      </c>
      <c r="L52" s="424"/>
      <c r="M52" s="44" t="s">
        <v>85</v>
      </c>
    </row>
    <row r="53" spans="1:13">
      <c r="A53" s="425"/>
      <c r="B53" s="426"/>
      <c r="C53" s="426"/>
      <c r="D53" s="426"/>
      <c r="E53" s="426"/>
      <c r="F53" s="426"/>
      <c r="G53" s="426"/>
      <c r="H53" s="61"/>
      <c r="I53" s="55"/>
      <c r="J53" s="61"/>
      <c r="K53" s="428"/>
      <c r="L53" s="429"/>
    </row>
    <row r="54" spans="1:13" ht="15.75" thickBot="1">
      <c r="A54" s="410"/>
      <c r="B54" s="411"/>
      <c r="C54" s="411"/>
      <c r="D54" s="411"/>
      <c r="E54" s="411"/>
      <c r="F54" s="411"/>
      <c r="G54" s="411"/>
      <c r="H54" s="47"/>
      <c r="I54" s="15"/>
      <c r="J54" s="47"/>
      <c r="K54" s="414"/>
      <c r="L54" s="415"/>
      <c r="M54" s="62"/>
    </row>
    <row r="55" spans="1:13" ht="15.75" thickBot="1">
      <c r="A55" s="416" t="s">
        <v>87</v>
      </c>
      <c r="B55" s="417"/>
      <c r="C55" s="417"/>
      <c r="D55" s="417"/>
      <c r="E55" s="417"/>
      <c r="F55" s="417"/>
      <c r="G55" s="417"/>
      <c r="H55" s="417"/>
      <c r="I55" s="417"/>
      <c r="J55" s="417"/>
      <c r="K55" s="417"/>
      <c r="L55" s="418"/>
      <c r="M55" s="63">
        <f>SUM(M54:M54)</f>
        <v>0</v>
      </c>
    </row>
    <row r="56" spans="1:13">
      <c r="A56" s="30"/>
      <c r="B56" s="19"/>
      <c r="C56" s="19"/>
      <c r="D56" s="19"/>
      <c r="E56" s="19"/>
      <c r="F56" s="19"/>
      <c r="G56" s="19"/>
      <c r="H56" s="19"/>
      <c r="I56" s="19"/>
      <c r="J56" s="19"/>
      <c r="K56" s="19"/>
      <c r="L56" s="19"/>
      <c r="M56" s="24"/>
    </row>
    <row r="57" spans="1:13">
      <c r="A57" s="51" t="s">
        <v>96</v>
      </c>
      <c r="B57" s="52"/>
      <c r="C57" s="52"/>
      <c r="D57" s="52"/>
      <c r="E57" s="52"/>
      <c r="F57" s="52"/>
      <c r="G57" s="52"/>
      <c r="H57" s="52"/>
      <c r="I57" s="52"/>
      <c r="J57" s="52"/>
      <c r="K57" s="52"/>
      <c r="L57" s="52"/>
      <c r="M57" s="53"/>
    </row>
    <row r="58" spans="1:13" ht="15.75" thickBot="1">
      <c r="A58" s="30"/>
      <c r="B58" s="19"/>
      <c r="C58" s="19"/>
      <c r="D58" s="19"/>
      <c r="E58" s="19"/>
      <c r="F58" s="19"/>
      <c r="G58" s="19"/>
      <c r="H58" s="19"/>
      <c r="I58" s="19"/>
      <c r="J58" s="19"/>
      <c r="K58" s="19"/>
      <c r="L58" s="19"/>
      <c r="M58" s="24"/>
    </row>
    <row r="59" spans="1:13" ht="26.25">
      <c r="A59" s="453" t="s">
        <v>97</v>
      </c>
      <c r="B59" s="454"/>
      <c r="C59" s="454"/>
      <c r="D59" s="454"/>
      <c r="E59" s="454"/>
      <c r="F59" s="454"/>
      <c r="G59" s="454"/>
      <c r="H59" s="221" t="s">
        <v>98</v>
      </c>
      <c r="I59" s="222" t="s">
        <v>99</v>
      </c>
      <c r="J59" s="222" t="s">
        <v>100</v>
      </c>
      <c r="K59" s="455" t="s">
        <v>84</v>
      </c>
      <c r="L59" s="455"/>
      <c r="M59" s="65" t="s">
        <v>85</v>
      </c>
    </row>
    <row r="60" spans="1:13" ht="15.75" thickBot="1">
      <c r="A60" s="432" t="s">
        <v>241</v>
      </c>
      <c r="B60" s="433"/>
      <c r="C60" s="433"/>
      <c r="D60" s="433"/>
      <c r="E60" s="433"/>
      <c r="F60" s="433"/>
      <c r="G60" s="433"/>
      <c r="H60" s="3">
        <v>109738.14166566246</v>
      </c>
      <c r="I60" s="4">
        <v>2.2000000000000002</v>
      </c>
      <c r="J60" s="67">
        <f>(I60*H60)</f>
        <v>241423.91166445744</v>
      </c>
      <c r="K60" s="434">
        <v>25</v>
      </c>
      <c r="L60" s="434"/>
      <c r="M60" s="68">
        <f>J60/K60</f>
        <v>9656.9564665782982</v>
      </c>
    </row>
    <row r="61" spans="1:13">
      <c r="A61" s="471"/>
      <c r="B61" s="472"/>
      <c r="C61" s="472"/>
      <c r="D61" s="472"/>
      <c r="E61" s="472"/>
      <c r="F61" s="472"/>
      <c r="G61" s="472"/>
      <c r="H61" s="1"/>
      <c r="I61" s="2"/>
      <c r="J61" s="66"/>
      <c r="K61" s="473"/>
      <c r="L61" s="473"/>
      <c r="M61" s="56"/>
    </row>
    <row r="62" spans="1:13" ht="15.75" thickBot="1">
      <c r="A62" s="432"/>
      <c r="B62" s="433"/>
      <c r="C62" s="433"/>
      <c r="D62" s="433"/>
      <c r="E62" s="433"/>
      <c r="F62" s="433"/>
      <c r="G62" s="433"/>
      <c r="H62" s="3"/>
      <c r="I62" s="4"/>
      <c r="J62" s="67"/>
      <c r="K62" s="434"/>
      <c r="L62" s="434"/>
      <c r="M62" s="68"/>
    </row>
    <row r="63" spans="1:13" ht="15.75" thickBot="1">
      <c r="A63" s="435" t="s">
        <v>87</v>
      </c>
      <c r="B63" s="436"/>
      <c r="C63" s="436"/>
      <c r="D63" s="436"/>
      <c r="E63" s="436"/>
      <c r="F63" s="436"/>
      <c r="G63" s="436"/>
      <c r="H63" s="436"/>
      <c r="I63" s="436"/>
      <c r="J63" s="436"/>
      <c r="K63" s="436"/>
      <c r="L63" s="437"/>
      <c r="M63" s="69">
        <f>SUM(M60:M62)</f>
        <v>9656.9564665782982</v>
      </c>
    </row>
    <row r="64" spans="1:13" ht="15.75" thickBot="1">
      <c r="A64" s="30"/>
      <c r="B64" s="19"/>
      <c r="C64" s="19"/>
      <c r="D64" s="19"/>
      <c r="E64" s="19"/>
      <c r="F64" s="19"/>
      <c r="G64" s="19"/>
      <c r="H64" s="19"/>
      <c r="I64" s="19"/>
      <c r="J64" s="19"/>
      <c r="K64" s="19"/>
      <c r="L64" s="19"/>
      <c r="M64" s="24"/>
    </row>
    <row r="65" spans="1:14" ht="15.75" thickBot="1">
      <c r="A65" s="416" t="s">
        <v>101</v>
      </c>
      <c r="B65" s="417"/>
      <c r="C65" s="417"/>
      <c r="D65" s="417"/>
      <c r="E65" s="417"/>
      <c r="F65" s="417"/>
      <c r="G65" s="417"/>
      <c r="H65" s="417"/>
      <c r="I65" s="417"/>
      <c r="J65" s="417"/>
      <c r="K65" s="417"/>
      <c r="L65" s="418"/>
      <c r="M65" s="70">
        <f>+ROUND(26107,0)</f>
        <v>26107</v>
      </c>
      <c r="N65" s="155"/>
    </row>
    <row r="66" spans="1:14">
      <c r="A66" s="30"/>
      <c r="B66" s="19"/>
      <c r="C66" s="19"/>
      <c r="D66" s="19"/>
      <c r="E66" s="19"/>
      <c r="F66" s="19"/>
      <c r="G66" s="19"/>
      <c r="H66" s="19"/>
      <c r="I66" s="19"/>
      <c r="J66" s="19"/>
      <c r="K66" s="19"/>
      <c r="L66" s="19"/>
      <c r="M66" s="24"/>
    </row>
    <row r="67" spans="1:14">
      <c r="A67" s="51" t="s">
        <v>102</v>
      </c>
      <c r="B67" s="52"/>
      <c r="C67" s="52"/>
      <c r="D67" s="52"/>
      <c r="E67" s="52"/>
      <c r="F67" s="52"/>
      <c r="G67" s="52"/>
      <c r="H67" s="52"/>
      <c r="I67" s="52"/>
      <c r="J67" s="52"/>
      <c r="K67" s="52"/>
      <c r="L67" s="52"/>
      <c r="M67" s="53"/>
    </row>
    <row r="68" spans="1:14" ht="15.75" thickBot="1">
      <c r="A68" s="30"/>
      <c r="B68" s="19"/>
      <c r="C68" s="19"/>
      <c r="D68" s="19"/>
      <c r="E68" s="19"/>
      <c r="F68" s="19"/>
      <c r="G68" s="19"/>
      <c r="H68" s="19"/>
      <c r="I68" s="19"/>
      <c r="J68" s="19"/>
      <c r="K68" s="19"/>
      <c r="L68" s="19"/>
      <c r="M68" s="24"/>
    </row>
    <row r="69" spans="1:14" ht="15.75" thickBot="1">
      <c r="A69" s="438" t="s">
        <v>103</v>
      </c>
      <c r="B69" s="439"/>
      <c r="C69" s="439"/>
      <c r="D69" s="439"/>
      <c r="E69" s="439"/>
      <c r="F69" s="439"/>
      <c r="G69" s="439"/>
      <c r="H69" s="219"/>
      <c r="I69" s="220"/>
      <c r="J69" s="81" t="s">
        <v>104</v>
      </c>
      <c r="K69" s="440" t="s">
        <v>105</v>
      </c>
      <c r="L69" s="441"/>
      <c r="M69" s="82"/>
    </row>
    <row r="70" spans="1:14">
      <c r="A70" s="442" t="s">
        <v>106</v>
      </c>
      <c r="B70" s="443"/>
      <c r="C70" s="443"/>
      <c r="D70" s="443"/>
      <c r="E70" s="443"/>
      <c r="F70" s="443"/>
      <c r="G70" s="443"/>
      <c r="H70" s="83"/>
      <c r="I70" s="84"/>
      <c r="J70" s="85">
        <v>0.19</v>
      </c>
      <c r="K70" s="444">
        <f>M65*J70</f>
        <v>4960.33</v>
      </c>
      <c r="L70" s="444"/>
      <c r="M70" s="86"/>
    </row>
    <row r="71" spans="1:14">
      <c r="A71" s="447" t="s">
        <v>107</v>
      </c>
      <c r="B71" s="448"/>
      <c r="C71" s="448"/>
      <c r="D71" s="448"/>
      <c r="E71" s="448"/>
      <c r="F71" s="448"/>
      <c r="G71" s="449"/>
      <c r="H71" s="77"/>
      <c r="I71" s="78"/>
      <c r="J71" s="5">
        <v>0.01</v>
      </c>
      <c r="K71" s="445">
        <f>M65*J71</f>
        <v>261.07</v>
      </c>
      <c r="L71" s="445"/>
      <c r="M71" s="6"/>
    </row>
    <row r="72" spans="1:14">
      <c r="A72" s="447" t="s">
        <v>108</v>
      </c>
      <c r="B72" s="448"/>
      <c r="C72" s="448"/>
      <c r="D72" s="448"/>
      <c r="E72" s="448"/>
      <c r="F72" s="448"/>
      <c r="G72" s="449"/>
      <c r="H72" s="77"/>
      <c r="I72" s="78"/>
      <c r="J72" s="5">
        <v>0.05</v>
      </c>
      <c r="K72" s="445">
        <f>M65*J72</f>
        <v>1305.3500000000001</v>
      </c>
      <c r="L72" s="445"/>
      <c r="M72" s="6"/>
    </row>
    <row r="73" spans="1:14" ht="15.75" thickBot="1">
      <c r="A73" s="450" t="s">
        <v>117</v>
      </c>
      <c r="B73" s="451"/>
      <c r="C73" s="451"/>
      <c r="D73" s="451"/>
      <c r="E73" s="451"/>
      <c r="F73" s="451"/>
      <c r="G73" s="452"/>
      <c r="H73" s="87"/>
      <c r="I73" s="88"/>
      <c r="J73" s="89">
        <v>0.19</v>
      </c>
      <c r="K73" s="446">
        <f>K72*J73</f>
        <v>248.01650000000004</v>
      </c>
      <c r="L73" s="446"/>
      <c r="M73" s="90"/>
    </row>
    <row r="74" spans="1:14" ht="15.75" thickBot="1">
      <c r="A74" s="435" t="s">
        <v>87</v>
      </c>
      <c r="B74" s="436"/>
      <c r="C74" s="436"/>
      <c r="D74" s="436"/>
      <c r="E74" s="436"/>
      <c r="F74" s="436"/>
      <c r="G74" s="436"/>
      <c r="H74" s="436"/>
      <c r="I74" s="436"/>
      <c r="J74" s="436"/>
      <c r="K74" s="436"/>
      <c r="L74" s="437"/>
      <c r="M74" s="76">
        <f>SUM(K70:L73)</f>
        <v>6774.7664999999997</v>
      </c>
    </row>
    <row r="75" spans="1:14" ht="15.75" thickBot="1">
      <c r="A75" s="30"/>
      <c r="B75" s="19"/>
      <c r="C75" s="19"/>
      <c r="D75" s="19"/>
      <c r="E75" s="19"/>
      <c r="F75" s="19"/>
      <c r="G75" s="19"/>
      <c r="H75" s="19"/>
      <c r="I75" s="19"/>
      <c r="J75" s="19"/>
      <c r="K75" s="19"/>
      <c r="L75" s="19"/>
      <c r="M75" s="24"/>
    </row>
    <row r="76" spans="1:14" ht="15.75" thickBot="1">
      <c r="A76" s="416" t="s">
        <v>109</v>
      </c>
      <c r="B76" s="417"/>
      <c r="C76" s="417"/>
      <c r="D76" s="417"/>
      <c r="E76" s="417"/>
      <c r="F76" s="417"/>
      <c r="G76" s="417"/>
      <c r="H76" s="417"/>
      <c r="I76" s="417"/>
      <c r="J76" s="417"/>
      <c r="K76" s="417"/>
      <c r="L76" s="418"/>
      <c r="M76" s="71">
        <f>ROUND(M65+M74,0)</f>
        <v>32882</v>
      </c>
    </row>
  </sheetData>
  <mergeCells count="87">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34:L34"/>
    <mergeCell ref="A38:H38"/>
    <mergeCell ref="K38:L38"/>
    <mergeCell ref="A32:E32"/>
    <mergeCell ref="F32:G32"/>
    <mergeCell ref="H32:I32"/>
    <mergeCell ref="K32:L32"/>
    <mergeCell ref="A33:E33"/>
    <mergeCell ref="F33:G33"/>
    <mergeCell ref="H33:I33"/>
    <mergeCell ref="K33:L33"/>
    <mergeCell ref="A39:H39"/>
    <mergeCell ref="K39:L39"/>
    <mergeCell ref="A40:H40"/>
    <mergeCell ref="K40:L40"/>
    <mergeCell ref="A41:H41"/>
    <mergeCell ref="K41:L41"/>
    <mergeCell ref="A42:H42"/>
    <mergeCell ref="K42:L42"/>
    <mergeCell ref="A43:H43"/>
    <mergeCell ref="K43:L43"/>
    <mergeCell ref="A44:H44"/>
    <mergeCell ref="K44:L44"/>
    <mergeCell ref="A45:H45"/>
    <mergeCell ref="K45:L45"/>
    <mergeCell ref="A46:H46"/>
    <mergeCell ref="K46:L46"/>
    <mergeCell ref="A47:H47"/>
    <mergeCell ref="K47:L47"/>
    <mergeCell ref="A61:G61"/>
    <mergeCell ref="K61:L61"/>
    <mergeCell ref="A48:L48"/>
    <mergeCell ref="A52:G52"/>
    <mergeCell ref="K52:L52"/>
    <mergeCell ref="A53:G53"/>
    <mergeCell ref="K53:L53"/>
    <mergeCell ref="A54:G54"/>
    <mergeCell ref="K54:L54"/>
    <mergeCell ref="A55:L55"/>
    <mergeCell ref="A59:G59"/>
    <mergeCell ref="K59:L59"/>
    <mergeCell ref="A60:G60"/>
    <mergeCell ref="K60:L60"/>
    <mergeCell ref="A62:G62"/>
    <mergeCell ref="K62:L62"/>
    <mergeCell ref="A63:L63"/>
    <mergeCell ref="A65:L65"/>
    <mergeCell ref="A69:G69"/>
    <mergeCell ref="K69:L69"/>
    <mergeCell ref="A73:G73"/>
    <mergeCell ref="K73:L73"/>
    <mergeCell ref="A74:L74"/>
    <mergeCell ref="A76:L76"/>
    <mergeCell ref="A70:G70"/>
    <mergeCell ref="K70:L70"/>
    <mergeCell ref="A71:G71"/>
    <mergeCell ref="K71:L71"/>
    <mergeCell ref="A72:G72"/>
    <mergeCell ref="K72:L72"/>
  </mergeCells>
  <pageMargins left="0.7" right="0.7" top="0.75" bottom="0.75" header="0.3" footer="0.3"/>
  <pageSetup scale="56"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view="pageBreakPreview" topLeftCell="A48" zoomScale="70" zoomScaleNormal="100" zoomScaleSheetLayoutView="70" workbookViewId="0">
      <selection activeCell="M64" sqref="M64"/>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4.5703125" customWidth="1"/>
  </cols>
  <sheetData>
    <row r="1" spans="1:13" ht="15" customHeight="1">
      <c r="A1" s="458"/>
      <c r="B1" s="459"/>
      <c r="C1" s="459"/>
      <c r="D1" s="491" t="s">
        <v>67</v>
      </c>
      <c r="E1" s="491"/>
      <c r="F1" s="491"/>
      <c r="G1" s="491"/>
      <c r="H1" s="491"/>
      <c r="I1" s="491"/>
      <c r="J1" s="491"/>
      <c r="K1" s="493"/>
      <c r="L1" s="493"/>
      <c r="M1" s="494"/>
    </row>
    <row r="2" spans="1:13">
      <c r="A2" s="460"/>
      <c r="B2" s="389"/>
      <c r="C2" s="389"/>
      <c r="D2" s="492"/>
      <c r="E2" s="492"/>
      <c r="F2" s="492"/>
      <c r="G2" s="492"/>
      <c r="H2" s="492"/>
      <c r="I2" s="492"/>
      <c r="J2" s="492"/>
      <c r="K2" s="495"/>
      <c r="L2" s="495"/>
      <c r="M2" s="496"/>
    </row>
    <row r="3" spans="1:13">
      <c r="A3" s="460"/>
      <c r="B3" s="389"/>
      <c r="C3" s="389"/>
      <c r="D3" s="492"/>
      <c r="E3" s="492"/>
      <c r="F3" s="492"/>
      <c r="G3" s="492"/>
      <c r="H3" s="492"/>
      <c r="I3" s="492"/>
      <c r="J3" s="492"/>
      <c r="K3" s="495"/>
      <c r="L3" s="495"/>
      <c r="M3" s="496"/>
    </row>
    <row r="4" spans="1:13" ht="15" customHeight="1">
      <c r="A4" s="460"/>
      <c r="B4" s="389"/>
      <c r="C4" s="389"/>
      <c r="D4" s="389" t="s">
        <v>112</v>
      </c>
      <c r="E4" s="389"/>
      <c r="F4" s="389"/>
      <c r="G4" s="389"/>
      <c r="H4" s="389"/>
      <c r="I4" s="389"/>
      <c r="J4" s="389"/>
      <c r="K4" s="495"/>
      <c r="L4" s="495"/>
      <c r="M4" s="496"/>
    </row>
    <row r="5" spans="1:13">
      <c r="A5" s="460"/>
      <c r="B5" s="389"/>
      <c r="C5" s="389"/>
      <c r="D5" s="389"/>
      <c r="E5" s="389"/>
      <c r="F5" s="389"/>
      <c r="G5" s="389"/>
      <c r="H5" s="389"/>
      <c r="I5" s="389"/>
      <c r="J5" s="389"/>
      <c r="K5" s="495"/>
      <c r="L5" s="495"/>
      <c r="M5" s="496"/>
    </row>
    <row r="6" spans="1:13">
      <c r="A6" s="460"/>
      <c r="B6" s="389"/>
      <c r="C6" s="389"/>
      <c r="D6" s="389"/>
      <c r="E6" s="389"/>
      <c r="F6" s="389"/>
      <c r="G6" s="389"/>
      <c r="H6" s="389"/>
      <c r="I6" s="389"/>
      <c r="J6" s="389"/>
      <c r="K6" s="495"/>
      <c r="L6" s="495"/>
      <c r="M6" s="496"/>
    </row>
    <row r="7" spans="1:13" ht="15.75" thickBot="1">
      <c r="A7" s="461"/>
      <c r="B7" s="390"/>
      <c r="C7" s="390"/>
      <c r="D7" s="390"/>
      <c r="E7" s="390"/>
      <c r="F7" s="390"/>
      <c r="G7" s="390"/>
      <c r="H7" s="390"/>
      <c r="I7" s="390"/>
      <c r="J7" s="390"/>
      <c r="K7" s="497"/>
      <c r="L7" s="497"/>
      <c r="M7" s="498"/>
    </row>
    <row r="8" spans="1:13">
      <c r="A8" s="271"/>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72"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273"/>
      <c r="D15" s="273"/>
      <c r="E15" s="273"/>
      <c r="F15" s="273"/>
      <c r="G15" s="273"/>
      <c r="H15" s="273"/>
      <c r="I15" s="273"/>
      <c r="J15" s="273"/>
      <c r="K15" s="273"/>
      <c r="L15" s="273"/>
      <c r="M15" s="274"/>
    </row>
    <row r="16" spans="1:13">
      <c r="A16" s="25" t="s">
        <v>73</v>
      </c>
      <c r="B16" s="26"/>
      <c r="C16" s="379"/>
      <c r="D16" s="379"/>
      <c r="E16" s="379"/>
      <c r="F16" s="379"/>
      <c r="G16" s="379"/>
      <c r="H16" s="379"/>
      <c r="I16" s="379"/>
      <c r="J16" s="379"/>
      <c r="K16" s="379"/>
      <c r="L16" s="379"/>
      <c r="M16" s="380"/>
    </row>
    <row r="17" spans="1:13">
      <c r="A17" s="25"/>
      <c r="B17" s="26"/>
      <c r="C17" s="272"/>
      <c r="D17" s="272"/>
      <c r="E17" s="272"/>
      <c r="F17" s="272"/>
      <c r="G17" s="272"/>
      <c r="H17" s="272"/>
      <c r="I17" s="272"/>
      <c r="J17" s="272"/>
      <c r="K17" s="272"/>
      <c r="L17" s="272"/>
      <c r="M17" s="13"/>
    </row>
    <row r="18" spans="1:13">
      <c r="A18" s="25" t="s">
        <v>74</v>
      </c>
      <c r="B18" s="26"/>
      <c r="C18" s="379"/>
      <c r="D18" s="379"/>
      <c r="E18" s="379"/>
      <c r="F18" s="379"/>
      <c r="G18" s="379"/>
      <c r="H18" s="379"/>
      <c r="I18" s="379"/>
      <c r="J18" s="379"/>
      <c r="K18" s="379"/>
      <c r="L18" s="379"/>
      <c r="M18" s="380"/>
    </row>
    <row r="19" spans="1:13">
      <c r="A19" s="25"/>
      <c r="B19" s="26"/>
      <c r="C19" s="272"/>
      <c r="D19" s="272"/>
      <c r="E19" s="272"/>
      <c r="F19" s="272"/>
      <c r="G19" s="272"/>
      <c r="H19" s="272"/>
      <c r="I19" s="272"/>
      <c r="J19" s="272"/>
      <c r="K19" s="272"/>
      <c r="L19" s="272"/>
      <c r="M19" s="13"/>
    </row>
    <row r="20" spans="1:13" ht="31.5" customHeight="1">
      <c r="A20" s="464" t="s">
        <v>113</v>
      </c>
      <c r="B20" s="465"/>
      <c r="C20" s="379"/>
      <c r="D20" s="379"/>
      <c r="E20" s="379"/>
      <c r="F20" s="379"/>
      <c r="G20" s="379"/>
      <c r="H20" s="379"/>
      <c r="I20" s="379"/>
      <c r="J20" s="379"/>
      <c r="K20" s="379"/>
      <c r="L20" s="379"/>
      <c r="M20" s="380"/>
    </row>
    <row r="21" spans="1:13">
      <c r="A21" s="400"/>
      <c r="B21" s="401"/>
      <c r="C21" s="272"/>
      <c r="D21" s="272"/>
      <c r="E21" s="272"/>
      <c r="F21" s="272"/>
      <c r="G21" s="272"/>
      <c r="H21" s="272"/>
      <c r="I21" s="272"/>
      <c r="J21" s="272"/>
      <c r="K21" s="272"/>
      <c r="L21" s="272"/>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264" t="s">
        <v>78</v>
      </c>
      <c r="K25" s="408" t="s">
        <v>79</v>
      </c>
      <c r="L25" s="409"/>
      <c r="M25" s="31" t="s">
        <v>80</v>
      </c>
    </row>
    <row r="26" spans="1:13" ht="37.5" customHeight="1" thickBot="1">
      <c r="A26" s="33"/>
      <c r="B26" s="509" t="s">
        <v>362</v>
      </c>
      <c r="C26" s="510"/>
      <c r="D26" s="510"/>
      <c r="E26" s="510"/>
      <c r="F26" s="510"/>
      <c r="G26" s="510"/>
      <c r="H26" s="510"/>
      <c r="I26" s="511"/>
      <c r="J26" s="263">
        <v>1</v>
      </c>
      <c r="K26" s="391" t="s">
        <v>8</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269" t="s">
        <v>83</v>
      </c>
      <c r="K30" s="421" t="s">
        <v>84</v>
      </c>
      <c r="L30" s="424"/>
      <c r="M30" s="44" t="s">
        <v>85</v>
      </c>
    </row>
    <row r="31" spans="1:13">
      <c r="A31" s="425"/>
      <c r="B31" s="426"/>
      <c r="C31" s="426"/>
      <c r="D31" s="426"/>
      <c r="E31" s="427"/>
      <c r="F31" s="428"/>
      <c r="G31" s="429"/>
      <c r="H31" s="430"/>
      <c r="I31" s="427"/>
      <c r="J31" s="72"/>
      <c r="K31" s="428"/>
      <c r="L31" s="429"/>
      <c r="M31" s="46"/>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0</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265" t="s">
        <v>79</v>
      </c>
      <c r="J37" s="269" t="s">
        <v>80</v>
      </c>
      <c r="K37" s="421" t="s">
        <v>89</v>
      </c>
      <c r="L37" s="424"/>
      <c r="M37" s="44" t="s">
        <v>85</v>
      </c>
    </row>
    <row r="38" spans="1:13">
      <c r="A38" s="425" t="s">
        <v>224</v>
      </c>
      <c r="B38" s="426"/>
      <c r="C38" s="426"/>
      <c r="D38" s="426"/>
      <c r="E38" s="426"/>
      <c r="F38" s="426"/>
      <c r="G38" s="426"/>
      <c r="H38" s="427"/>
      <c r="I38" s="73" t="s">
        <v>11</v>
      </c>
      <c r="J38" s="45">
        <v>1.3</v>
      </c>
      <c r="K38" s="456">
        <v>849</v>
      </c>
      <c r="L38" s="457"/>
      <c r="M38" s="56">
        <f>K38*J38</f>
        <v>1103.7</v>
      </c>
    </row>
    <row r="39" spans="1:13">
      <c r="A39" s="425" t="s">
        <v>369</v>
      </c>
      <c r="B39" s="426"/>
      <c r="C39" s="426"/>
      <c r="D39" s="426"/>
      <c r="E39" s="426"/>
      <c r="F39" s="426"/>
      <c r="G39" s="426"/>
      <c r="H39" s="427"/>
      <c r="I39" s="73" t="s">
        <v>9</v>
      </c>
      <c r="J39" s="45">
        <v>1</v>
      </c>
      <c r="K39" s="456">
        <v>30900</v>
      </c>
      <c r="L39" s="457"/>
      <c r="M39" s="56">
        <f>K39*J39</f>
        <v>30900</v>
      </c>
    </row>
    <row r="40" spans="1:13">
      <c r="A40" s="425" t="s">
        <v>370</v>
      </c>
      <c r="B40" s="426"/>
      <c r="C40" s="426"/>
      <c r="D40" s="426"/>
      <c r="E40" s="426"/>
      <c r="F40" s="426"/>
      <c r="G40" s="426"/>
      <c r="H40" s="427"/>
      <c r="I40" s="73" t="s">
        <v>125</v>
      </c>
      <c r="J40" s="45">
        <v>0.03</v>
      </c>
      <c r="K40" s="456">
        <v>314900</v>
      </c>
      <c r="L40" s="457"/>
      <c r="M40" s="56">
        <f>K40*J40</f>
        <v>9447</v>
      </c>
    </row>
    <row r="41" spans="1:13">
      <c r="A41" s="425"/>
      <c r="B41" s="426"/>
      <c r="C41" s="426"/>
      <c r="D41" s="426"/>
      <c r="E41" s="426"/>
      <c r="F41" s="426"/>
      <c r="G41" s="426"/>
      <c r="H41" s="427"/>
      <c r="I41" s="73"/>
      <c r="J41" s="45"/>
      <c r="K41" s="456"/>
      <c r="L41" s="457"/>
      <c r="M41" s="56"/>
    </row>
    <row r="42" spans="1:13">
      <c r="A42" s="425"/>
      <c r="B42" s="426"/>
      <c r="C42" s="426"/>
      <c r="D42" s="426"/>
      <c r="E42" s="426"/>
      <c r="F42" s="426"/>
      <c r="G42" s="426"/>
      <c r="H42" s="427"/>
      <c r="I42" s="73"/>
      <c r="J42" s="45"/>
      <c r="K42" s="456"/>
      <c r="L42" s="457"/>
      <c r="M42" s="56"/>
    </row>
    <row r="43" spans="1:13">
      <c r="A43" s="425"/>
      <c r="B43" s="426"/>
      <c r="C43" s="426"/>
      <c r="D43" s="426"/>
      <c r="E43" s="426"/>
      <c r="F43" s="426"/>
      <c r="G43" s="426"/>
      <c r="H43" s="427"/>
      <c r="I43" s="73"/>
      <c r="J43" s="45"/>
      <c r="K43" s="456"/>
      <c r="L43" s="457"/>
      <c r="M43" s="56"/>
    </row>
    <row r="44" spans="1:13">
      <c r="A44" s="425"/>
      <c r="B44" s="426"/>
      <c r="C44" s="426"/>
      <c r="D44" s="426"/>
      <c r="E44" s="426"/>
      <c r="F44" s="426"/>
      <c r="G44" s="426"/>
      <c r="H44" s="427"/>
      <c r="I44" s="73"/>
      <c r="J44" s="45"/>
      <c r="K44" s="456"/>
      <c r="L44" s="457"/>
      <c r="M44" s="56"/>
    </row>
    <row r="45" spans="1:13">
      <c r="A45" s="425"/>
      <c r="B45" s="426"/>
      <c r="C45" s="426"/>
      <c r="D45" s="426"/>
      <c r="E45" s="426"/>
      <c r="F45" s="426"/>
      <c r="G45" s="426"/>
      <c r="H45" s="427"/>
      <c r="I45" s="73"/>
      <c r="J45" s="45"/>
      <c r="K45" s="456"/>
      <c r="L45" s="457"/>
      <c r="M45" s="56"/>
    </row>
    <row r="46" spans="1:13" ht="15.75" thickBot="1">
      <c r="A46" s="410"/>
      <c r="B46" s="411"/>
      <c r="C46" s="411"/>
      <c r="D46" s="411"/>
      <c r="E46" s="411"/>
      <c r="F46" s="411"/>
      <c r="G46" s="411"/>
      <c r="H46" s="412"/>
      <c r="I46" s="74"/>
      <c r="J46" s="57"/>
      <c r="K46" s="466"/>
      <c r="L46" s="467"/>
      <c r="M46" s="75"/>
    </row>
    <row r="47" spans="1:13" ht="15.75" thickBot="1">
      <c r="A47" s="416" t="s">
        <v>87</v>
      </c>
      <c r="B47" s="417"/>
      <c r="C47" s="417"/>
      <c r="D47" s="417"/>
      <c r="E47" s="417"/>
      <c r="F47" s="417"/>
      <c r="G47" s="417"/>
      <c r="H47" s="417"/>
      <c r="I47" s="417"/>
      <c r="J47" s="417"/>
      <c r="K47" s="417"/>
      <c r="L47" s="418"/>
      <c r="M47" s="58">
        <f>SUM(M38:M46)</f>
        <v>41450.699999999997</v>
      </c>
    </row>
    <row r="48" spans="1:13">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269" t="s">
        <v>92</v>
      </c>
      <c r="I51" s="266" t="s">
        <v>93</v>
      </c>
      <c r="J51" s="60" t="s">
        <v>94</v>
      </c>
      <c r="K51" s="421" t="s">
        <v>95</v>
      </c>
      <c r="L51" s="424"/>
      <c r="M51" s="44" t="s">
        <v>85</v>
      </c>
    </row>
    <row r="52" spans="1:14">
      <c r="A52" s="425"/>
      <c r="B52" s="426"/>
      <c r="C52" s="426"/>
      <c r="D52" s="426"/>
      <c r="E52" s="426"/>
      <c r="F52" s="426"/>
      <c r="G52" s="426"/>
      <c r="H52" s="61"/>
      <c r="I52" s="55"/>
      <c r="J52" s="61"/>
      <c r="K52" s="428"/>
      <c r="L52" s="429"/>
    </row>
    <row r="53" spans="1:14" ht="15.75" thickBot="1">
      <c r="A53" s="410"/>
      <c r="B53" s="411"/>
      <c r="C53" s="411"/>
      <c r="D53" s="411"/>
      <c r="E53" s="411"/>
      <c r="F53" s="411"/>
      <c r="G53" s="411"/>
      <c r="H53" s="47"/>
      <c r="I53" s="15"/>
      <c r="J53" s="47"/>
      <c r="K53" s="414"/>
      <c r="L53" s="415"/>
      <c r="M53" s="62"/>
    </row>
    <row r="54" spans="1:14" ht="15.75" thickBot="1">
      <c r="A54" s="416" t="s">
        <v>87</v>
      </c>
      <c r="B54" s="417"/>
      <c r="C54" s="417"/>
      <c r="D54" s="417"/>
      <c r="E54" s="417"/>
      <c r="F54" s="417"/>
      <c r="G54" s="417"/>
      <c r="H54" s="417"/>
      <c r="I54" s="417"/>
      <c r="J54" s="417"/>
      <c r="K54" s="417"/>
      <c r="L54" s="418"/>
      <c r="M54" s="63">
        <f>SUM(M53:M53)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269" t="s">
        <v>98</v>
      </c>
      <c r="I58" s="270" t="s">
        <v>99</v>
      </c>
      <c r="J58" s="270" t="s">
        <v>100</v>
      </c>
      <c r="K58" s="455" t="s">
        <v>84</v>
      </c>
      <c r="L58" s="455"/>
      <c r="M58" s="65" t="s">
        <v>85</v>
      </c>
    </row>
    <row r="59" spans="1:14">
      <c r="A59" s="471" t="s">
        <v>126</v>
      </c>
      <c r="B59" s="472"/>
      <c r="C59" s="472"/>
      <c r="D59" s="472"/>
      <c r="E59" s="472"/>
      <c r="F59" s="472"/>
      <c r="G59" s="472"/>
      <c r="H59" s="1">
        <v>112923.49999999999</v>
      </c>
      <c r="I59" s="2">
        <v>2.2000000000000002</v>
      </c>
      <c r="J59" s="66">
        <f>(I59*H59)</f>
        <v>248431.69999999998</v>
      </c>
      <c r="K59" s="473">
        <v>20</v>
      </c>
      <c r="L59" s="473"/>
      <c r="M59" s="56">
        <f>J59/K59</f>
        <v>12421.584999999999</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12421.584999999999</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ROUND(M62+M54+M47+M33,0)</f>
        <v>53872</v>
      </c>
      <c r="N64" s="155"/>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267"/>
      <c r="I68" s="268"/>
      <c r="J68" s="81" t="s">
        <v>104</v>
      </c>
      <c r="K68" s="440" t="s">
        <v>105</v>
      </c>
      <c r="L68" s="441"/>
      <c r="M68" s="82"/>
    </row>
    <row r="69" spans="1:13">
      <c r="A69" s="442" t="s">
        <v>106</v>
      </c>
      <c r="B69" s="443"/>
      <c r="C69" s="443"/>
      <c r="D69" s="443"/>
      <c r="E69" s="443"/>
      <c r="F69" s="443"/>
      <c r="G69" s="443"/>
      <c r="H69" s="83"/>
      <c r="I69" s="84"/>
      <c r="J69" s="85">
        <v>0.19</v>
      </c>
      <c r="K69" s="444">
        <f>M64*J69</f>
        <v>10235.68</v>
      </c>
      <c r="L69" s="444"/>
      <c r="M69" s="86"/>
    </row>
    <row r="70" spans="1:13">
      <c r="A70" s="447" t="s">
        <v>107</v>
      </c>
      <c r="B70" s="448"/>
      <c r="C70" s="448"/>
      <c r="D70" s="448"/>
      <c r="E70" s="448"/>
      <c r="F70" s="448"/>
      <c r="G70" s="449"/>
      <c r="H70" s="77"/>
      <c r="I70" s="78"/>
      <c r="J70" s="5">
        <v>0.01</v>
      </c>
      <c r="K70" s="445">
        <f>M64*J70</f>
        <v>538.72</v>
      </c>
      <c r="L70" s="445"/>
      <c r="M70" s="6"/>
    </row>
    <row r="71" spans="1:13">
      <c r="A71" s="447" t="s">
        <v>108</v>
      </c>
      <c r="B71" s="448"/>
      <c r="C71" s="448"/>
      <c r="D71" s="448"/>
      <c r="E71" s="448"/>
      <c r="F71" s="448"/>
      <c r="G71" s="449"/>
      <c r="H71" s="77"/>
      <c r="I71" s="78"/>
      <c r="J71" s="5">
        <v>0.05</v>
      </c>
      <c r="K71" s="445">
        <f>M64*J71</f>
        <v>2693.6000000000004</v>
      </c>
      <c r="L71" s="445"/>
      <c r="M71" s="6"/>
    </row>
    <row r="72" spans="1:13" ht="15.75" thickBot="1">
      <c r="A72" s="450" t="s">
        <v>117</v>
      </c>
      <c r="B72" s="451"/>
      <c r="C72" s="451"/>
      <c r="D72" s="451"/>
      <c r="E72" s="451"/>
      <c r="F72" s="451"/>
      <c r="G72" s="452"/>
      <c r="H72" s="87"/>
      <c r="I72" s="88"/>
      <c r="J72" s="89">
        <v>0.19</v>
      </c>
      <c r="K72" s="446">
        <f>K71*J72</f>
        <v>511.78400000000005</v>
      </c>
      <c r="L72" s="446"/>
      <c r="M72" s="90"/>
    </row>
    <row r="73" spans="1:13" ht="15.75" thickBot="1">
      <c r="A73" s="435" t="s">
        <v>87</v>
      </c>
      <c r="B73" s="436"/>
      <c r="C73" s="436"/>
      <c r="D73" s="436"/>
      <c r="E73" s="436"/>
      <c r="F73" s="436"/>
      <c r="G73" s="436"/>
      <c r="H73" s="436"/>
      <c r="I73" s="436"/>
      <c r="J73" s="436"/>
      <c r="K73" s="436"/>
      <c r="L73" s="437"/>
      <c r="M73" s="76">
        <f>SUM(K69:L72)</f>
        <v>13979.784</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67852</v>
      </c>
    </row>
  </sheetData>
  <mergeCells count="83">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61:G61"/>
    <mergeCell ref="K61:L61"/>
    <mergeCell ref="A62:L62"/>
    <mergeCell ref="A64:L64"/>
    <mergeCell ref="A68:G68"/>
    <mergeCell ref="K68:L68"/>
    <mergeCell ref="A72:G72"/>
    <mergeCell ref="K72:L72"/>
    <mergeCell ref="A73:L73"/>
    <mergeCell ref="A75:L75"/>
    <mergeCell ref="A69:G69"/>
    <mergeCell ref="K69:L69"/>
    <mergeCell ref="A70:G70"/>
    <mergeCell ref="K70:L70"/>
    <mergeCell ref="A71:G71"/>
    <mergeCell ref="K71:L71"/>
  </mergeCells>
  <pageMargins left="0.7" right="0.7" top="0.75" bottom="0.75" header="0.3" footer="0.3"/>
  <pageSetup scale="56"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view="pageBreakPreview" topLeftCell="A49" zoomScale="80" zoomScaleNormal="100" zoomScaleSheetLayoutView="80" workbookViewId="0">
      <selection activeCell="M64" sqref="M64"/>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224"/>
      <c r="D17" s="224"/>
      <c r="E17" s="224"/>
      <c r="F17" s="224"/>
      <c r="G17" s="224"/>
      <c r="H17" s="224"/>
      <c r="I17" s="224"/>
      <c r="J17" s="224"/>
      <c r="K17" s="224"/>
      <c r="L17" s="224"/>
      <c r="M17" s="13"/>
    </row>
    <row r="18" spans="1:13">
      <c r="A18" s="25" t="s">
        <v>74</v>
      </c>
      <c r="B18" s="26"/>
      <c r="C18" s="379"/>
      <c r="D18" s="379"/>
      <c r="E18" s="379"/>
      <c r="F18" s="379"/>
      <c r="G18" s="379"/>
      <c r="H18" s="379"/>
      <c r="I18" s="379"/>
      <c r="J18" s="379"/>
      <c r="K18" s="379"/>
      <c r="L18" s="379"/>
      <c r="M18" s="380"/>
    </row>
    <row r="19" spans="1:13">
      <c r="A19" s="25"/>
      <c r="B19" s="26"/>
      <c r="C19" s="224"/>
      <c r="D19" s="224"/>
      <c r="E19" s="224"/>
      <c r="F19" s="224"/>
      <c r="G19" s="224"/>
      <c r="H19" s="224"/>
      <c r="I19" s="224"/>
      <c r="J19" s="224"/>
      <c r="K19" s="224"/>
      <c r="L19" s="224"/>
      <c r="M19" s="13"/>
    </row>
    <row r="20" spans="1:13" ht="31.5" customHeight="1">
      <c r="A20" s="464" t="s">
        <v>113</v>
      </c>
      <c r="B20" s="465"/>
      <c r="C20" s="379"/>
      <c r="D20" s="379"/>
      <c r="E20" s="379"/>
      <c r="F20" s="379"/>
      <c r="G20" s="379"/>
      <c r="H20" s="379"/>
      <c r="I20" s="379"/>
      <c r="J20" s="379"/>
      <c r="K20" s="379"/>
      <c r="L20" s="379"/>
      <c r="M20" s="380"/>
    </row>
    <row r="21" spans="1:13">
      <c r="A21" s="400"/>
      <c r="B21" s="401"/>
      <c r="C21" s="224"/>
      <c r="D21" s="224"/>
      <c r="E21" s="224"/>
      <c r="F21" s="224"/>
      <c r="G21" s="224"/>
      <c r="H21" s="224"/>
      <c r="I21" s="224"/>
      <c r="J21" s="224"/>
      <c r="K21" s="224"/>
      <c r="L21" s="224"/>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216" t="s">
        <v>78</v>
      </c>
      <c r="K25" s="408" t="s">
        <v>79</v>
      </c>
      <c r="L25" s="409"/>
      <c r="M25" s="31" t="s">
        <v>80</v>
      </c>
    </row>
    <row r="26" spans="1:13" ht="15.75" thickBot="1">
      <c r="A26" s="33"/>
      <c r="B26" s="391" t="s">
        <v>244</v>
      </c>
      <c r="C26" s="392"/>
      <c r="D26" s="392"/>
      <c r="E26" s="392"/>
      <c r="F26" s="392"/>
      <c r="G26" s="392"/>
      <c r="H26" s="392"/>
      <c r="I26" s="393"/>
      <c r="J26" s="215">
        <v>1</v>
      </c>
      <c r="K26" s="391" t="str">
        <f>'[1]NUEVO DISEÑO'!C44</f>
        <v>UN</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221" t="s">
        <v>83</v>
      </c>
      <c r="K30" s="421" t="s">
        <v>84</v>
      </c>
      <c r="L30" s="424"/>
      <c r="M30" s="44" t="s">
        <v>85</v>
      </c>
    </row>
    <row r="31" spans="1:13">
      <c r="A31" s="425" t="s">
        <v>124</v>
      </c>
      <c r="B31" s="426"/>
      <c r="C31" s="426"/>
      <c r="D31" s="426"/>
      <c r="E31" s="427"/>
      <c r="F31" s="428" t="s">
        <v>125</v>
      </c>
      <c r="G31" s="429"/>
      <c r="H31" s="430" t="s">
        <v>86</v>
      </c>
      <c r="I31" s="427"/>
      <c r="J31" s="72">
        <v>2389.19</v>
      </c>
      <c r="K31" s="428">
        <v>1</v>
      </c>
      <c r="L31" s="429"/>
      <c r="M31" s="46">
        <f>J31/K31</f>
        <v>2389.19</v>
      </c>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2389.19</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217" t="s">
        <v>79</v>
      </c>
      <c r="J37" s="221" t="s">
        <v>80</v>
      </c>
      <c r="K37" s="421" t="s">
        <v>89</v>
      </c>
      <c r="L37" s="424"/>
      <c r="M37" s="44" t="s">
        <v>85</v>
      </c>
    </row>
    <row r="38" spans="1:13">
      <c r="A38" s="425" t="s">
        <v>245</v>
      </c>
      <c r="B38" s="426"/>
      <c r="C38" s="426"/>
      <c r="D38" s="426"/>
      <c r="E38" s="426"/>
      <c r="F38" s="426"/>
      <c r="G38" s="426"/>
      <c r="H38" s="427"/>
      <c r="I38" s="73" t="s">
        <v>8</v>
      </c>
      <c r="J38" s="45">
        <v>3</v>
      </c>
      <c r="K38" s="456">
        <v>4228</v>
      </c>
      <c r="L38" s="457"/>
      <c r="M38" s="56">
        <f>K38*J38</f>
        <v>12684</v>
      </c>
    </row>
    <row r="39" spans="1:13">
      <c r="A39" s="425" t="s">
        <v>246</v>
      </c>
      <c r="B39" s="426"/>
      <c r="C39" s="426"/>
      <c r="D39" s="426"/>
      <c r="E39" s="426"/>
      <c r="F39" s="426"/>
      <c r="G39" s="426"/>
      <c r="H39" s="427"/>
      <c r="I39" s="73" t="s">
        <v>11</v>
      </c>
      <c r="J39" s="45">
        <v>3</v>
      </c>
      <c r="K39" s="456">
        <v>702</v>
      </c>
      <c r="L39" s="457"/>
      <c r="M39" s="56">
        <f t="shared" ref="M39:M45" si="0">K39*J39</f>
        <v>2106</v>
      </c>
    </row>
    <row r="40" spans="1:13">
      <c r="A40" s="425" t="s">
        <v>247</v>
      </c>
      <c r="B40" s="426"/>
      <c r="C40" s="426"/>
      <c r="D40" s="426"/>
      <c r="E40" s="426"/>
      <c r="F40" s="426"/>
      <c r="G40" s="426"/>
      <c r="H40" s="427"/>
      <c r="I40" s="73" t="s">
        <v>11</v>
      </c>
      <c r="J40" s="45">
        <v>1</v>
      </c>
      <c r="K40" s="456">
        <v>908</v>
      </c>
      <c r="L40" s="457"/>
      <c r="M40" s="56">
        <f t="shared" si="0"/>
        <v>908</v>
      </c>
    </row>
    <row r="41" spans="1:13">
      <c r="A41" s="425" t="s">
        <v>248</v>
      </c>
      <c r="B41" s="426"/>
      <c r="C41" s="426"/>
      <c r="D41" s="426"/>
      <c r="E41" s="426"/>
      <c r="F41" s="426"/>
      <c r="G41" s="426"/>
      <c r="H41" s="427"/>
      <c r="I41" s="73" t="s">
        <v>11</v>
      </c>
      <c r="J41" s="45">
        <v>1</v>
      </c>
      <c r="K41" s="456">
        <v>385</v>
      </c>
      <c r="L41" s="457"/>
      <c r="M41" s="56">
        <f t="shared" si="0"/>
        <v>385</v>
      </c>
    </row>
    <row r="42" spans="1:13">
      <c r="A42" s="425" t="s">
        <v>249</v>
      </c>
      <c r="B42" s="426"/>
      <c r="C42" s="426"/>
      <c r="D42" s="426"/>
      <c r="E42" s="426"/>
      <c r="F42" s="426"/>
      <c r="G42" s="426"/>
      <c r="H42" s="427"/>
      <c r="I42" s="73" t="s">
        <v>11</v>
      </c>
      <c r="J42" s="45">
        <v>1</v>
      </c>
      <c r="K42" s="456">
        <v>535</v>
      </c>
      <c r="L42" s="457"/>
      <c r="M42" s="56">
        <f t="shared" si="0"/>
        <v>535</v>
      </c>
    </row>
    <row r="43" spans="1:13">
      <c r="A43" s="425" t="s">
        <v>250</v>
      </c>
      <c r="B43" s="426"/>
      <c r="C43" s="426"/>
      <c r="D43" s="426"/>
      <c r="E43" s="426"/>
      <c r="F43" s="426"/>
      <c r="G43" s="426"/>
      <c r="H43" s="427"/>
      <c r="I43" s="73" t="s">
        <v>11</v>
      </c>
      <c r="J43" s="45">
        <v>1</v>
      </c>
      <c r="K43" s="456">
        <v>473</v>
      </c>
      <c r="L43" s="457"/>
      <c r="M43" s="56">
        <f t="shared" si="0"/>
        <v>473</v>
      </c>
    </row>
    <row r="44" spans="1:13">
      <c r="A44" s="425" t="s">
        <v>239</v>
      </c>
      <c r="B44" s="426"/>
      <c r="C44" s="426"/>
      <c r="D44" s="426"/>
      <c r="E44" s="426"/>
      <c r="F44" s="426"/>
      <c r="G44" s="426"/>
      <c r="H44" s="427"/>
      <c r="I44" s="73" t="s">
        <v>11</v>
      </c>
      <c r="J44" s="45">
        <v>0.03</v>
      </c>
      <c r="K44" s="456">
        <v>68896</v>
      </c>
      <c r="L44" s="457"/>
      <c r="M44" s="56">
        <f t="shared" si="0"/>
        <v>2066.88</v>
      </c>
    </row>
    <row r="45" spans="1:13">
      <c r="A45" s="425" t="s">
        <v>240</v>
      </c>
      <c r="B45" s="426"/>
      <c r="C45" s="426"/>
      <c r="D45" s="426"/>
      <c r="E45" s="426"/>
      <c r="F45" s="426"/>
      <c r="G45" s="426"/>
      <c r="H45" s="427"/>
      <c r="I45" s="73" t="s">
        <v>11</v>
      </c>
      <c r="J45" s="45">
        <v>0.03</v>
      </c>
      <c r="K45" s="456">
        <v>32938</v>
      </c>
      <c r="L45" s="457"/>
      <c r="M45" s="56">
        <f t="shared" si="0"/>
        <v>988.14</v>
      </c>
    </row>
    <row r="46" spans="1:13" ht="15.75" thickBot="1">
      <c r="A46" s="410"/>
      <c r="B46" s="411"/>
      <c r="C46" s="411"/>
      <c r="D46" s="411"/>
      <c r="E46" s="411"/>
      <c r="F46" s="411"/>
      <c r="G46" s="411"/>
      <c r="H46" s="412"/>
      <c r="I46" s="74"/>
      <c r="J46" s="57"/>
      <c r="K46" s="466"/>
      <c r="L46" s="467"/>
      <c r="M46" s="75"/>
    </row>
    <row r="47" spans="1:13" ht="15.75" thickBot="1">
      <c r="A47" s="416" t="s">
        <v>87</v>
      </c>
      <c r="B47" s="417"/>
      <c r="C47" s="417"/>
      <c r="D47" s="417"/>
      <c r="E47" s="417"/>
      <c r="F47" s="417"/>
      <c r="G47" s="417"/>
      <c r="H47" s="417"/>
      <c r="I47" s="417"/>
      <c r="J47" s="417"/>
      <c r="K47" s="417"/>
      <c r="L47" s="418"/>
      <c r="M47" s="58">
        <f>SUM(M38:M46)*1.0562</f>
        <v>21278.226323999999</v>
      </c>
    </row>
    <row r="48" spans="1:13">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221" t="s">
        <v>92</v>
      </c>
      <c r="I51" s="218" t="s">
        <v>93</v>
      </c>
      <c r="J51" s="60" t="s">
        <v>94</v>
      </c>
      <c r="K51" s="421" t="s">
        <v>95</v>
      </c>
      <c r="L51" s="424"/>
      <c r="M51" s="44" t="s">
        <v>85</v>
      </c>
    </row>
    <row r="52" spans="1:14">
      <c r="A52" s="425"/>
      <c r="B52" s="426"/>
      <c r="C52" s="426"/>
      <c r="D52" s="426"/>
      <c r="E52" s="426"/>
      <c r="F52" s="426"/>
      <c r="G52" s="426"/>
      <c r="H52" s="61"/>
      <c r="I52" s="55"/>
      <c r="J52" s="61"/>
      <c r="K52" s="428"/>
      <c r="L52" s="429"/>
    </row>
    <row r="53" spans="1:14" ht="15.75" thickBot="1">
      <c r="A53" s="410"/>
      <c r="B53" s="411"/>
      <c r="C53" s="411"/>
      <c r="D53" s="411"/>
      <c r="E53" s="411"/>
      <c r="F53" s="411"/>
      <c r="G53" s="411"/>
      <c r="H53" s="47"/>
      <c r="I53" s="15"/>
      <c r="J53" s="47"/>
      <c r="K53" s="414"/>
      <c r="L53" s="415"/>
      <c r="M53" s="62"/>
    </row>
    <row r="54" spans="1:14" ht="15.75" thickBot="1">
      <c r="A54" s="416" t="s">
        <v>87</v>
      </c>
      <c r="B54" s="417"/>
      <c r="C54" s="417"/>
      <c r="D54" s="417"/>
      <c r="E54" s="417"/>
      <c r="F54" s="417"/>
      <c r="G54" s="417"/>
      <c r="H54" s="417"/>
      <c r="I54" s="417"/>
      <c r="J54" s="417"/>
      <c r="K54" s="417"/>
      <c r="L54" s="418"/>
      <c r="M54" s="63">
        <f>SUM(M53:M53)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221" t="s">
        <v>98</v>
      </c>
      <c r="I58" s="222" t="s">
        <v>99</v>
      </c>
      <c r="J58" s="222" t="s">
        <v>100</v>
      </c>
      <c r="K58" s="455" t="s">
        <v>84</v>
      </c>
      <c r="L58" s="455"/>
      <c r="M58" s="65" t="s">
        <v>85</v>
      </c>
    </row>
    <row r="59" spans="1:14">
      <c r="A59" s="471" t="s">
        <v>243</v>
      </c>
      <c r="B59" s="472"/>
      <c r="C59" s="472"/>
      <c r="D59" s="472"/>
      <c r="E59" s="472"/>
      <c r="F59" s="472"/>
      <c r="G59" s="472"/>
      <c r="H59" s="1">
        <v>109738.14166566246</v>
      </c>
      <c r="I59" s="2">
        <v>2.2000000000000002</v>
      </c>
      <c r="J59" s="66">
        <f>(I59*H59)</f>
        <v>241423.91166445744</v>
      </c>
      <c r="K59" s="473">
        <v>4.5573536186877135</v>
      </c>
      <c r="L59" s="473"/>
      <c r="M59" s="56">
        <f>J59/K59</f>
        <v>52974.583906432803</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52974.583906432803</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ROUND(M62+M54+M47+M33,0)</f>
        <v>76642</v>
      </c>
      <c r="N64" s="155"/>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219"/>
      <c r="I68" s="220"/>
      <c r="J68" s="81" t="s">
        <v>104</v>
      </c>
      <c r="K68" s="440" t="s">
        <v>105</v>
      </c>
      <c r="L68" s="441"/>
      <c r="M68" s="82"/>
    </row>
    <row r="69" spans="1:13">
      <c r="A69" s="442" t="s">
        <v>106</v>
      </c>
      <c r="B69" s="443"/>
      <c r="C69" s="443"/>
      <c r="D69" s="443"/>
      <c r="E69" s="443"/>
      <c r="F69" s="443"/>
      <c r="G69" s="443"/>
      <c r="H69" s="83"/>
      <c r="I69" s="84"/>
      <c r="J69" s="85">
        <v>0.19</v>
      </c>
      <c r="K69" s="444">
        <f>M64*J69</f>
        <v>14561.98</v>
      </c>
      <c r="L69" s="444"/>
      <c r="M69" s="86"/>
    </row>
    <row r="70" spans="1:13">
      <c r="A70" s="447" t="s">
        <v>107</v>
      </c>
      <c r="B70" s="448"/>
      <c r="C70" s="448"/>
      <c r="D70" s="448"/>
      <c r="E70" s="448"/>
      <c r="F70" s="448"/>
      <c r="G70" s="449"/>
      <c r="H70" s="77"/>
      <c r="I70" s="78"/>
      <c r="J70" s="5">
        <v>0.01</v>
      </c>
      <c r="K70" s="445">
        <f>M64*J70</f>
        <v>766.42000000000007</v>
      </c>
      <c r="L70" s="445"/>
      <c r="M70" s="6"/>
    </row>
    <row r="71" spans="1:13">
      <c r="A71" s="447" t="s">
        <v>108</v>
      </c>
      <c r="B71" s="448"/>
      <c r="C71" s="448"/>
      <c r="D71" s="448"/>
      <c r="E71" s="448"/>
      <c r="F71" s="448"/>
      <c r="G71" s="449"/>
      <c r="H71" s="77"/>
      <c r="I71" s="78"/>
      <c r="J71" s="5">
        <v>0.05</v>
      </c>
      <c r="K71" s="445">
        <f>M64*J71</f>
        <v>3832.1000000000004</v>
      </c>
      <c r="L71" s="445"/>
      <c r="M71" s="6"/>
    </row>
    <row r="72" spans="1:13" ht="15.75" thickBot="1">
      <c r="A72" s="450" t="s">
        <v>117</v>
      </c>
      <c r="B72" s="451"/>
      <c r="C72" s="451"/>
      <c r="D72" s="451"/>
      <c r="E72" s="451"/>
      <c r="F72" s="451"/>
      <c r="G72" s="452"/>
      <c r="H72" s="87"/>
      <c r="I72" s="88"/>
      <c r="J72" s="89">
        <v>0.19</v>
      </c>
      <c r="K72" s="446">
        <f>K71*J72</f>
        <v>728.09900000000005</v>
      </c>
      <c r="L72" s="446"/>
      <c r="M72" s="90"/>
    </row>
    <row r="73" spans="1:13" ht="15.75" thickBot="1">
      <c r="A73" s="435" t="s">
        <v>87</v>
      </c>
      <c r="B73" s="436"/>
      <c r="C73" s="436"/>
      <c r="D73" s="436"/>
      <c r="E73" s="436"/>
      <c r="F73" s="436"/>
      <c r="G73" s="436"/>
      <c r="H73" s="436"/>
      <c r="I73" s="436"/>
      <c r="J73" s="436"/>
      <c r="K73" s="436"/>
      <c r="L73" s="437"/>
      <c r="M73" s="76">
        <f>SUM(K69:L72)</f>
        <v>19888.598999999998</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96531</v>
      </c>
    </row>
  </sheetData>
  <mergeCells count="83">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61:G61"/>
    <mergeCell ref="K61:L61"/>
    <mergeCell ref="A62:L62"/>
    <mergeCell ref="A64:L64"/>
    <mergeCell ref="A68:G68"/>
    <mergeCell ref="K68:L68"/>
    <mergeCell ref="A72:G72"/>
    <mergeCell ref="K72:L72"/>
    <mergeCell ref="A73:L73"/>
    <mergeCell ref="A75:L75"/>
    <mergeCell ref="A69:G69"/>
    <mergeCell ref="K69:L69"/>
    <mergeCell ref="A70:G70"/>
    <mergeCell ref="K70:L70"/>
    <mergeCell ref="A71:G71"/>
    <mergeCell ref="K71:L71"/>
  </mergeCells>
  <pageMargins left="0.7" right="0.7" top="0.75" bottom="0.75" header="0.3" footer="0.3"/>
  <pageSetup scale="5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topLeftCell="A46" zoomScale="80" zoomScaleNormal="100" zoomScaleSheetLayoutView="80" workbookViewId="0">
      <selection activeCell="M58" sqref="M58"/>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08"/>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09" t="s">
        <v>71</v>
      </c>
      <c r="H12" s="394"/>
      <c r="I12" s="394"/>
      <c r="J12" s="23"/>
      <c r="K12" s="23"/>
      <c r="L12" s="23"/>
      <c r="M12" s="24"/>
    </row>
    <row r="13" spans="1:13">
      <c r="A13" s="25" t="s">
        <v>72</v>
      </c>
      <c r="B13" s="26"/>
      <c r="C13" s="395" t="s">
        <v>136</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09"/>
      <c r="D17" s="109"/>
      <c r="E17" s="109"/>
      <c r="F17" s="109"/>
      <c r="G17" s="109"/>
      <c r="H17" s="109"/>
      <c r="I17" s="109"/>
      <c r="J17" s="109"/>
      <c r="K17" s="109"/>
      <c r="L17" s="109"/>
      <c r="M17" s="13"/>
    </row>
    <row r="18" spans="1:13">
      <c r="A18" s="25" t="s">
        <v>74</v>
      </c>
      <c r="B18" s="26"/>
      <c r="C18" s="379"/>
      <c r="D18" s="379"/>
      <c r="E18" s="379"/>
      <c r="F18" s="379"/>
      <c r="G18" s="379"/>
      <c r="H18" s="379"/>
      <c r="I18" s="379"/>
      <c r="J18" s="379"/>
      <c r="K18" s="379"/>
      <c r="L18" s="379"/>
      <c r="M18" s="380"/>
    </row>
    <row r="19" spans="1:13">
      <c r="A19" s="25"/>
      <c r="B19" s="26"/>
      <c r="C19" s="109"/>
      <c r="D19" s="109"/>
      <c r="E19" s="109"/>
      <c r="F19" s="109"/>
      <c r="G19" s="109"/>
      <c r="H19" s="109"/>
      <c r="I19" s="109"/>
      <c r="J19" s="109"/>
      <c r="K19" s="109"/>
      <c r="L19" s="109"/>
      <c r="M19" s="13"/>
    </row>
    <row r="20" spans="1:13" ht="31.5" customHeight="1">
      <c r="A20" s="464" t="s">
        <v>113</v>
      </c>
      <c r="B20" s="465"/>
      <c r="C20" s="379"/>
      <c r="D20" s="379"/>
      <c r="E20" s="379"/>
      <c r="F20" s="379"/>
      <c r="G20" s="379"/>
      <c r="H20" s="379"/>
      <c r="I20" s="379"/>
      <c r="J20" s="379"/>
      <c r="K20" s="379"/>
      <c r="L20" s="379"/>
      <c r="M20" s="380"/>
    </row>
    <row r="21" spans="1:13">
      <c r="A21" s="400"/>
      <c r="B21" s="401"/>
      <c r="C21" s="109"/>
      <c r="D21" s="109"/>
      <c r="E21" s="109"/>
      <c r="F21" s="109"/>
      <c r="G21" s="109"/>
      <c r="H21" s="109"/>
      <c r="I21" s="109"/>
      <c r="J21" s="109"/>
      <c r="K21" s="109"/>
      <c r="L21" s="109"/>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03" t="s">
        <v>78</v>
      </c>
      <c r="K25" s="408" t="s">
        <v>79</v>
      </c>
      <c r="L25" s="409"/>
      <c r="M25" s="31" t="s">
        <v>80</v>
      </c>
    </row>
    <row r="26" spans="1:13" ht="15.75" thickBot="1">
      <c r="A26" s="33"/>
      <c r="B26" s="391" t="s">
        <v>140</v>
      </c>
      <c r="C26" s="392"/>
      <c r="D26" s="392"/>
      <c r="E26" s="392"/>
      <c r="F26" s="392"/>
      <c r="G26" s="392"/>
      <c r="H26" s="392"/>
      <c r="I26" s="393"/>
      <c r="J26" s="100">
        <v>1</v>
      </c>
      <c r="K26" s="391" t="s">
        <v>115</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10" t="s">
        <v>83</v>
      </c>
      <c r="K30" s="421" t="s">
        <v>84</v>
      </c>
      <c r="L30" s="424"/>
      <c r="M30" s="44" t="s">
        <v>85</v>
      </c>
    </row>
    <row r="31" spans="1:13">
      <c r="A31" s="425" t="s">
        <v>134</v>
      </c>
      <c r="B31" s="426"/>
      <c r="C31" s="426"/>
      <c r="D31" s="426"/>
      <c r="E31" s="427"/>
      <c r="F31" s="428" t="s">
        <v>123</v>
      </c>
      <c r="G31" s="429"/>
      <c r="H31" s="430" t="s">
        <v>86</v>
      </c>
      <c r="I31" s="427"/>
      <c r="J31" s="72">
        <v>70067</v>
      </c>
      <c r="K31" s="468">
        <v>40</v>
      </c>
      <c r="L31" s="469"/>
      <c r="M31" s="46">
        <f>J31/K31</f>
        <v>1751.675</v>
      </c>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1751.675</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05" t="s">
        <v>79</v>
      </c>
      <c r="J37" s="110" t="s">
        <v>80</v>
      </c>
      <c r="K37" s="421" t="s">
        <v>89</v>
      </c>
      <c r="L37" s="424"/>
      <c r="M37" s="44" t="s">
        <v>85</v>
      </c>
    </row>
    <row r="38" spans="1:13">
      <c r="A38" s="425"/>
      <c r="B38" s="426"/>
      <c r="C38" s="426"/>
      <c r="D38" s="426"/>
      <c r="E38" s="426"/>
      <c r="F38" s="426"/>
      <c r="G38" s="426"/>
      <c r="H38" s="427"/>
      <c r="I38" s="73"/>
      <c r="J38" s="45"/>
      <c r="K38" s="456"/>
      <c r="L38" s="457"/>
      <c r="M38" s="56"/>
    </row>
    <row r="39" spans="1:13">
      <c r="A39" s="425"/>
      <c r="B39" s="426"/>
      <c r="C39" s="426"/>
      <c r="D39" s="426"/>
      <c r="E39" s="426"/>
      <c r="F39" s="426"/>
      <c r="G39" s="426"/>
      <c r="H39" s="427"/>
      <c r="I39" s="73"/>
      <c r="J39" s="45"/>
      <c r="K39" s="456"/>
      <c r="L39" s="457"/>
      <c r="M39" s="56"/>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ht="15.75" thickBot="1">
      <c r="A42" s="410"/>
      <c r="B42" s="411"/>
      <c r="C42" s="411"/>
      <c r="D42" s="411"/>
      <c r="E42" s="411"/>
      <c r="F42" s="411"/>
      <c r="G42" s="411"/>
      <c r="H42" s="412"/>
      <c r="I42" s="74"/>
      <c r="J42" s="57"/>
      <c r="K42" s="466"/>
      <c r="L42" s="467"/>
      <c r="M42" s="75"/>
    </row>
    <row r="43" spans="1:13" ht="15.75" thickBot="1">
      <c r="A43" s="416" t="s">
        <v>87</v>
      </c>
      <c r="B43" s="417"/>
      <c r="C43" s="417"/>
      <c r="D43" s="417"/>
      <c r="E43" s="417"/>
      <c r="F43" s="417"/>
      <c r="G43" s="417"/>
      <c r="H43" s="417"/>
      <c r="I43" s="417"/>
      <c r="J43" s="417"/>
      <c r="K43" s="417"/>
      <c r="L43" s="418"/>
      <c r="M43" s="58">
        <f>SUM(M38:M42)</f>
        <v>0</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110" t="s">
        <v>92</v>
      </c>
      <c r="I47" s="104" t="s">
        <v>93</v>
      </c>
      <c r="J47" s="60" t="s">
        <v>94</v>
      </c>
      <c r="K47" s="421" t="s">
        <v>95</v>
      </c>
      <c r="L47" s="424"/>
      <c r="M47" s="44" t="s">
        <v>85</v>
      </c>
    </row>
    <row r="48" spans="1:13">
      <c r="A48" s="425"/>
      <c r="B48" s="426"/>
      <c r="C48" s="426"/>
      <c r="D48" s="426"/>
      <c r="E48" s="426"/>
      <c r="F48" s="426"/>
      <c r="G48" s="426"/>
      <c r="H48" s="61"/>
      <c r="I48" s="55"/>
      <c r="J48" s="61"/>
      <c r="K48" s="428"/>
      <c r="L48" s="429"/>
      <c r="M48" s="62"/>
    </row>
    <row r="49" spans="1:15" ht="15.75" thickBot="1">
      <c r="A49" s="410"/>
      <c r="B49" s="411"/>
      <c r="C49" s="411"/>
      <c r="D49" s="411"/>
      <c r="E49" s="411"/>
      <c r="F49" s="411"/>
      <c r="G49" s="411"/>
      <c r="H49" s="47"/>
      <c r="I49" s="15"/>
      <c r="J49" s="47"/>
      <c r="K49" s="414"/>
      <c r="L49" s="415"/>
      <c r="M49" s="48"/>
    </row>
    <row r="50" spans="1:15" ht="15.75" thickBot="1">
      <c r="A50" s="416" t="s">
        <v>87</v>
      </c>
      <c r="B50" s="417"/>
      <c r="C50" s="417"/>
      <c r="D50" s="417"/>
      <c r="E50" s="417"/>
      <c r="F50" s="417"/>
      <c r="G50" s="417"/>
      <c r="H50" s="417"/>
      <c r="I50" s="417"/>
      <c r="J50" s="417"/>
      <c r="K50" s="417"/>
      <c r="L50" s="418"/>
      <c r="M50" s="63">
        <f>SUM(M48:M49)</f>
        <v>0</v>
      </c>
    </row>
    <row r="51" spans="1:15">
      <c r="A51" s="30"/>
      <c r="B51" s="19"/>
      <c r="C51" s="19"/>
      <c r="D51" s="19"/>
      <c r="E51" s="19"/>
      <c r="F51" s="19"/>
      <c r="G51" s="19"/>
      <c r="H51" s="19"/>
      <c r="I51" s="19"/>
      <c r="J51" s="19"/>
      <c r="K51" s="19"/>
      <c r="L51" s="19"/>
      <c r="M51" s="24"/>
    </row>
    <row r="52" spans="1:15">
      <c r="A52" s="51" t="s">
        <v>96</v>
      </c>
      <c r="B52" s="52"/>
      <c r="C52" s="52"/>
      <c r="D52" s="52"/>
      <c r="E52" s="52"/>
      <c r="F52" s="52"/>
      <c r="G52" s="52"/>
      <c r="H52" s="52"/>
      <c r="I52" s="52"/>
      <c r="J52" s="52"/>
      <c r="K52" s="52"/>
      <c r="L52" s="52"/>
      <c r="M52" s="53"/>
    </row>
    <row r="53" spans="1:15" ht="15.75" thickBot="1">
      <c r="A53" s="30"/>
      <c r="B53" s="19"/>
      <c r="C53" s="19"/>
      <c r="D53" s="19"/>
      <c r="E53" s="19"/>
      <c r="F53" s="19"/>
      <c r="G53" s="19"/>
      <c r="H53" s="19"/>
      <c r="I53" s="19"/>
      <c r="J53" s="19"/>
      <c r="K53" s="19"/>
      <c r="L53" s="19"/>
      <c r="M53" s="24"/>
    </row>
    <row r="54" spans="1:15" ht="26.25">
      <c r="A54" s="453" t="s">
        <v>97</v>
      </c>
      <c r="B54" s="454"/>
      <c r="C54" s="454"/>
      <c r="D54" s="454"/>
      <c r="E54" s="454"/>
      <c r="F54" s="454"/>
      <c r="G54" s="454"/>
      <c r="H54" s="110" t="s">
        <v>98</v>
      </c>
      <c r="I54" s="111" t="s">
        <v>99</v>
      </c>
      <c r="J54" s="111" t="s">
        <v>100</v>
      </c>
      <c r="K54" s="455" t="s">
        <v>84</v>
      </c>
      <c r="L54" s="455"/>
      <c r="M54" s="65" t="s">
        <v>85</v>
      </c>
    </row>
    <row r="55" spans="1:15" ht="15.75" thickBot="1">
      <c r="A55" s="432" t="s">
        <v>122</v>
      </c>
      <c r="B55" s="433"/>
      <c r="C55" s="433"/>
      <c r="D55" s="433"/>
      <c r="E55" s="433"/>
      <c r="F55" s="433"/>
      <c r="G55" s="433"/>
      <c r="H55" s="3">
        <v>85839.318181818162</v>
      </c>
      <c r="I55" s="4">
        <v>2.2000000000000002</v>
      </c>
      <c r="J55" s="67">
        <f>(I55*H55)</f>
        <v>188846.49999999997</v>
      </c>
      <c r="K55" s="434">
        <v>40</v>
      </c>
      <c r="L55" s="434"/>
      <c r="M55" s="68">
        <f>J55/K55</f>
        <v>4721.1624999999995</v>
      </c>
    </row>
    <row r="56" spans="1:15" ht="15.75" thickBot="1">
      <c r="A56" s="435" t="s">
        <v>87</v>
      </c>
      <c r="B56" s="436"/>
      <c r="C56" s="436"/>
      <c r="D56" s="436"/>
      <c r="E56" s="436"/>
      <c r="F56" s="436"/>
      <c r="G56" s="436"/>
      <c r="H56" s="436"/>
      <c r="I56" s="436"/>
      <c r="J56" s="436"/>
      <c r="K56" s="436"/>
      <c r="L56" s="437"/>
      <c r="M56" s="69">
        <f>SUM(M55:M55)</f>
        <v>4721.1624999999995</v>
      </c>
      <c r="O56" s="155"/>
    </row>
    <row r="57" spans="1:15" ht="15.75" thickBot="1">
      <c r="A57" s="30"/>
      <c r="B57" s="19"/>
      <c r="C57" s="19"/>
      <c r="D57" s="19"/>
      <c r="E57" s="19"/>
      <c r="F57" s="19"/>
      <c r="G57" s="19"/>
      <c r="H57" s="19"/>
      <c r="I57" s="19"/>
      <c r="J57" s="19"/>
      <c r="K57" s="19"/>
      <c r="L57" s="19"/>
      <c r="M57" s="24"/>
    </row>
    <row r="58" spans="1:15" ht="15.75" thickBot="1">
      <c r="A58" s="416" t="s">
        <v>101</v>
      </c>
      <c r="B58" s="417"/>
      <c r="C58" s="417"/>
      <c r="D58" s="417"/>
      <c r="E58" s="417"/>
      <c r="F58" s="417"/>
      <c r="G58" s="417"/>
      <c r="H58" s="417"/>
      <c r="I58" s="417"/>
      <c r="J58" s="417"/>
      <c r="K58" s="417"/>
      <c r="L58" s="418"/>
      <c r="M58" s="70">
        <f>ROUND(M56+M50+M43+M33,0)</f>
        <v>6473</v>
      </c>
      <c r="N58" s="155"/>
    </row>
    <row r="59" spans="1:15">
      <c r="A59" s="30"/>
      <c r="B59" s="19"/>
      <c r="C59" s="19"/>
      <c r="D59" s="19"/>
      <c r="E59" s="19"/>
      <c r="F59" s="19"/>
      <c r="G59" s="19"/>
      <c r="H59" s="19"/>
      <c r="I59" s="19"/>
      <c r="J59" s="19"/>
      <c r="K59" s="19"/>
      <c r="L59" s="19"/>
      <c r="M59" s="24"/>
    </row>
    <row r="60" spans="1:15">
      <c r="A60" s="51" t="s">
        <v>102</v>
      </c>
      <c r="B60" s="52"/>
      <c r="C60" s="52"/>
      <c r="D60" s="52"/>
      <c r="E60" s="52"/>
      <c r="F60" s="52"/>
      <c r="G60" s="52"/>
      <c r="H60" s="52"/>
      <c r="I60" s="52"/>
      <c r="J60" s="52"/>
      <c r="K60" s="52"/>
      <c r="L60" s="52"/>
      <c r="M60" s="53"/>
    </row>
    <row r="61" spans="1:15" ht="15.75" thickBot="1">
      <c r="A61" s="30"/>
      <c r="B61" s="19"/>
      <c r="C61" s="19"/>
      <c r="D61" s="19"/>
      <c r="E61" s="19"/>
      <c r="F61" s="19"/>
      <c r="G61" s="19"/>
      <c r="H61" s="19"/>
      <c r="I61" s="19"/>
      <c r="J61" s="19"/>
      <c r="K61" s="19"/>
      <c r="L61" s="19"/>
      <c r="M61" s="24"/>
    </row>
    <row r="62" spans="1:15" ht="15.75" thickBot="1">
      <c r="A62" s="438" t="s">
        <v>103</v>
      </c>
      <c r="B62" s="439"/>
      <c r="C62" s="439"/>
      <c r="D62" s="439"/>
      <c r="E62" s="439"/>
      <c r="F62" s="439"/>
      <c r="G62" s="439"/>
      <c r="H62" s="106"/>
      <c r="I62" s="107"/>
      <c r="J62" s="81" t="s">
        <v>104</v>
      </c>
      <c r="K62" s="440" t="s">
        <v>105</v>
      </c>
      <c r="L62" s="441"/>
      <c r="M62" s="82"/>
    </row>
    <row r="63" spans="1:15">
      <c r="A63" s="442" t="s">
        <v>106</v>
      </c>
      <c r="B63" s="443"/>
      <c r="C63" s="443"/>
      <c r="D63" s="443"/>
      <c r="E63" s="443"/>
      <c r="F63" s="443"/>
      <c r="G63" s="443"/>
      <c r="H63" s="83"/>
      <c r="I63" s="84"/>
      <c r="J63" s="85">
        <v>0.19</v>
      </c>
      <c r="K63" s="444">
        <f>M58*J63</f>
        <v>1229.8700000000001</v>
      </c>
      <c r="L63" s="444"/>
      <c r="M63" s="86"/>
    </row>
    <row r="64" spans="1:15">
      <c r="A64" s="447" t="s">
        <v>107</v>
      </c>
      <c r="B64" s="448"/>
      <c r="C64" s="448"/>
      <c r="D64" s="448"/>
      <c r="E64" s="448"/>
      <c r="F64" s="448"/>
      <c r="G64" s="449"/>
      <c r="H64" s="77"/>
      <c r="I64" s="78"/>
      <c r="J64" s="5">
        <v>0.01</v>
      </c>
      <c r="K64" s="445">
        <f>M58*J64</f>
        <v>64.73</v>
      </c>
      <c r="L64" s="445"/>
      <c r="M64" s="6"/>
    </row>
    <row r="65" spans="1:13">
      <c r="A65" s="447" t="s">
        <v>108</v>
      </c>
      <c r="B65" s="448"/>
      <c r="C65" s="448"/>
      <c r="D65" s="448"/>
      <c r="E65" s="448"/>
      <c r="F65" s="448"/>
      <c r="G65" s="449"/>
      <c r="H65" s="77"/>
      <c r="I65" s="78"/>
      <c r="J65" s="5">
        <v>0.05</v>
      </c>
      <c r="K65" s="445">
        <f>M58*J65</f>
        <v>323.65000000000003</v>
      </c>
      <c r="L65" s="445"/>
      <c r="M65" s="6"/>
    </row>
    <row r="66" spans="1:13" ht="15.75" thickBot="1">
      <c r="A66" s="450" t="s">
        <v>117</v>
      </c>
      <c r="B66" s="451"/>
      <c r="C66" s="451"/>
      <c r="D66" s="451"/>
      <c r="E66" s="451"/>
      <c r="F66" s="451"/>
      <c r="G66" s="452"/>
      <c r="H66" s="87"/>
      <c r="I66" s="88"/>
      <c r="J66" s="89">
        <v>0.19</v>
      </c>
      <c r="K66" s="446">
        <f>K65*J66</f>
        <v>61.493500000000004</v>
      </c>
      <c r="L66" s="446"/>
      <c r="M66" s="90"/>
    </row>
    <row r="67" spans="1:13" ht="15.75" thickBot="1">
      <c r="A67" s="435" t="s">
        <v>87</v>
      </c>
      <c r="B67" s="436"/>
      <c r="C67" s="436"/>
      <c r="D67" s="436"/>
      <c r="E67" s="436"/>
      <c r="F67" s="436"/>
      <c r="G67" s="436"/>
      <c r="H67" s="436"/>
      <c r="I67" s="436"/>
      <c r="J67" s="436"/>
      <c r="K67" s="436"/>
      <c r="L67" s="437"/>
      <c r="M67" s="76">
        <f>SUM(K63:L66)</f>
        <v>1679.7435000000003</v>
      </c>
    </row>
    <row r="68" spans="1:13" ht="15.75" thickBot="1">
      <c r="A68" s="30"/>
      <c r="B68" s="19"/>
      <c r="C68" s="19"/>
      <c r="D68" s="19"/>
      <c r="E68" s="19"/>
      <c r="F68" s="19"/>
      <c r="G68" s="19"/>
      <c r="H68" s="19"/>
      <c r="I68" s="19"/>
      <c r="J68" s="19"/>
      <c r="K68" s="19"/>
      <c r="L68" s="19"/>
      <c r="M68" s="24"/>
    </row>
    <row r="69" spans="1:13" ht="15.75" thickBot="1">
      <c r="A69" s="416" t="s">
        <v>109</v>
      </c>
      <c r="B69" s="417"/>
      <c r="C69" s="417"/>
      <c r="D69" s="417"/>
      <c r="E69" s="417"/>
      <c r="F69" s="417"/>
      <c r="G69" s="417"/>
      <c r="H69" s="417"/>
      <c r="I69" s="417"/>
      <c r="J69" s="417"/>
      <c r="K69" s="417"/>
      <c r="L69" s="418"/>
      <c r="M69" s="71">
        <f>ROUND(M58+M67,0)</f>
        <v>8153</v>
      </c>
    </row>
  </sheetData>
  <mergeCells count="71">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L56"/>
    <mergeCell ref="A58:L58"/>
    <mergeCell ref="A62:G62"/>
    <mergeCell ref="K62:L62"/>
    <mergeCell ref="A66:G66"/>
    <mergeCell ref="K66:L66"/>
    <mergeCell ref="A67:L67"/>
    <mergeCell ref="A69:L69"/>
    <mergeCell ref="A63:G63"/>
    <mergeCell ref="K63:L63"/>
    <mergeCell ref="A64:G64"/>
    <mergeCell ref="K64:L64"/>
    <mergeCell ref="A65:G65"/>
    <mergeCell ref="K65:L65"/>
  </mergeCells>
  <pageMargins left="0.7" right="0.7" top="0.75" bottom="0.75" header="0.3" footer="0.3"/>
  <pageSetup scale="57"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view="pageBreakPreview" topLeftCell="A52" zoomScale="80" zoomScaleNormal="100" zoomScaleSheetLayoutView="80" workbookViewId="0">
      <selection activeCell="M65" sqref="M65"/>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224"/>
      <c r="D17" s="224"/>
      <c r="E17" s="224"/>
      <c r="F17" s="224"/>
      <c r="G17" s="224"/>
      <c r="H17" s="224"/>
      <c r="I17" s="224"/>
      <c r="J17" s="224"/>
      <c r="K17" s="224"/>
      <c r="L17" s="224"/>
      <c r="M17" s="13"/>
    </row>
    <row r="18" spans="1:13">
      <c r="A18" s="25" t="s">
        <v>74</v>
      </c>
      <c r="B18" s="26"/>
      <c r="C18" s="379"/>
      <c r="D18" s="379"/>
      <c r="E18" s="379"/>
      <c r="F18" s="379"/>
      <c r="G18" s="379"/>
      <c r="H18" s="379"/>
      <c r="I18" s="379"/>
      <c r="J18" s="379"/>
      <c r="K18" s="379"/>
      <c r="L18" s="379"/>
      <c r="M18" s="380"/>
    </row>
    <row r="19" spans="1:13">
      <c r="A19" s="25"/>
      <c r="B19" s="26"/>
      <c r="C19" s="224"/>
      <c r="D19" s="224"/>
      <c r="E19" s="224"/>
      <c r="F19" s="224"/>
      <c r="G19" s="224"/>
      <c r="H19" s="224"/>
      <c r="I19" s="224"/>
      <c r="J19" s="224"/>
      <c r="K19" s="224"/>
      <c r="L19" s="224"/>
      <c r="M19" s="13"/>
    </row>
    <row r="20" spans="1:13" ht="31.5" customHeight="1">
      <c r="A20" s="464" t="s">
        <v>113</v>
      </c>
      <c r="B20" s="465"/>
      <c r="C20" s="379"/>
      <c r="D20" s="379"/>
      <c r="E20" s="379"/>
      <c r="F20" s="379"/>
      <c r="G20" s="379"/>
      <c r="H20" s="379"/>
      <c r="I20" s="379"/>
      <c r="J20" s="379"/>
      <c r="K20" s="379"/>
      <c r="L20" s="379"/>
      <c r="M20" s="380"/>
    </row>
    <row r="21" spans="1:13">
      <c r="A21" s="400"/>
      <c r="B21" s="401"/>
      <c r="C21" s="224"/>
      <c r="D21" s="224"/>
      <c r="E21" s="224"/>
      <c r="F21" s="224"/>
      <c r="G21" s="224"/>
      <c r="H21" s="224"/>
      <c r="I21" s="224"/>
      <c r="J21" s="224"/>
      <c r="K21" s="224"/>
      <c r="L21" s="224"/>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216" t="s">
        <v>78</v>
      </c>
      <c r="K25" s="408" t="s">
        <v>79</v>
      </c>
      <c r="L25" s="409"/>
      <c r="M25" s="31" t="s">
        <v>80</v>
      </c>
    </row>
    <row r="26" spans="1:13" ht="15.75" thickBot="1">
      <c r="A26" s="33"/>
      <c r="B26" s="391" t="s">
        <v>251</v>
      </c>
      <c r="C26" s="392"/>
      <c r="D26" s="392"/>
      <c r="E26" s="392"/>
      <c r="F26" s="392"/>
      <c r="G26" s="392"/>
      <c r="H26" s="392"/>
      <c r="I26" s="393"/>
      <c r="J26" s="215">
        <v>1</v>
      </c>
      <c r="K26" s="391" t="s">
        <v>115</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221" t="s">
        <v>83</v>
      </c>
      <c r="K30" s="421" t="s">
        <v>84</v>
      </c>
      <c r="L30" s="424"/>
      <c r="M30" s="44" t="s">
        <v>85</v>
      </c>
    </row>
    <row r="31" spans="1:13">
      <c r="A31" s="425" t="s">
        <v>124</v>
      </c>
      <c r="B31" s="426"/>
      <c r="C31" s="426"/>
      <c r="D31" s="426"/>
      <c r="E31" s="427"/>
      <c r="F31" s="428" t="s">
        <v>125</v>
      </c>
      <c r="G31" s="429"/>
      <c r="H31" s="430" t="s">
        <v>86</v>
      </c>
      <c r="I31" s="427"/>
      <c r="J31" s="72">
        <v>1990.98</v>
      </c>
      <c r="K31" s="428">
        <v>1</v>
      </c>
      <c r="L31" s="429"/>
      <c r="M31" s="46">
        <f>J31/K31</f>
        <v>1990.98</v>
      </c>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1990.98</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217" t="s">
        <v>79</v>
      </c>
      <c r="J37" s="221" t="s">
        <v>80</v>
      </c>
      <c r="K37" s="421" t="s">
        <v>89</v>
      </c>
      <c r="L37" s="424"/>
      <c r="M37" s="44" t="s">
        <v>85</v>
      </c>
    </row>
    <row r="38" spans="1:13">
      <c r="A38" s="425" t="s">
        <v>252</v>
      </c>
      <c r="B38" s="426"/>
      <c r="C38" s="426"/>
      <c r="D38" s="426"/>
      <c r="E38" s="426"/>
      <c r="F38" s="426"/>
      <c r="G38" s="426"/>
      <c r="H38" s="427"/>
      <c r="I38" s="73" t="s">
        <v>8</v>
      </c>
      <c r="J38" s="45">
        <v>1.1000000000000001</v>
      </c>
      <c r="K38" s="456">
        <v>13404</v>
      </c>
      <c r="L38" s="457"/>
      <c r="M38" s="56">
        <f>K38*J38</f>
        <v>14744.400000000001</v>
      </c>
    </row>
    <row r="39" spans="1:13">
      <c r="A39" s="425" t="s">
        <v>253</v>
      </c>
      <c r="B39" s="426"/>
      <c r="C39" s="426"/>
      <c r="D39" s="426"/>
      <c r="E39" s="426"/>
      <c r="F39" s="426"/>
      <c r="G39" s="426"/>
      <c r="H39" s="427"/>
      <c r="I39" s="73" t="s">
        <v>11</v>
      </c>
      <c r="J39" s="45">
        <v>2</v>
      </c>
      <c r="K39" s="456">
        <v>3537</v>
      </c>
      <c r="L39" s="457"/>
      <c r="M39" s="56">
        <f t="shared" ref="M39:M45" si="0">K39*J39</f>
        <v>7074</v>
      </c>
    </row>
    <row r="40" spans="1:13">
      <c r="A40" s="425" t="s">
        <v>254</v>
      </c>
      <c r="B40" s="426"/>
      <c r="C40" s="426"/>
      <c r="D40" s="426"/>
      <c r="E40" s="426"/>
      <c r="F40" s="426"/>
      <c r="G40" s="426"/>
      <c r="H40" s="427"/>
      <c r="I40" s="73" t="s">
        <v>11</v>
      </c>
      <c r="J40" s="45">
        <v>1</v>
      </c>
      <c r="K40" s="456">
        <v>1310</v>
      </c>
      <c r="L40" s="457"/>
      <c r="M40" s="56">
        <f t="shared" si="0"/>
        <v>1310</v>
      </c>
    </row>
    <row r="41" spans="1:13">
      <c r="A41" s="425" t="s">
        <v>239</v>
      </c>
      <c r="B41" s="426"/>
      <c r="C41" s="426"/>
      <c r="D41" s="426"/>
      <c r="E41" s="426"/>
      <c r="F41" s="426"/>
      <c r="G41" s="426"/>
      <c r="H41" s="427"/>
      <c r="I41" s="73" t="s">
        <v>11</v>
      </c>
      <c r="J41" s="45">
        <v>0.1</v>
      </c>
      <c r="K41" s="456">
        <v>68896</v>
      </c>
      <c r="L41" s="457"/>
      <c r="M41" s="56">
        <f t="shared" si="0"/>
        <v>6889.6</v>
      </c>
    </row>
    <row r="42" spans="1:13">
      <c r="A42" s="425" t="s">
        <v>240</v>
      </c>
      <c r="B42" s="426"/>
      <c r="C42" s="426"/>
      <c r="D42" s="426"/>
      <c r="E42" s="426"/>
      <c r="F42" s="426"/>
      <c r="G42" s="426"/>
      <c r="H42" s="427"/>
      <c r="I42" s="73" t="s">
        <v>11</v>
      </c>
      <c r="J42" s="45">
        <v>0.1</v>
      </c>
      <c r="K42" s="456">
        <v>32938</v>
      </c>
      <c r="L42" s="457"/>
      <c r="M42" s="56">
        <f t="shared" si="0"/>
        <v>3293.8</v>
      </c>
    </row>
    <row r="43" spans="1:13">
      <c r="A43" s="425"/>
      <c r="B43" s="426"/>
      <c r="C43" s="426"/>
      <c r="D43" s="426"/>
      <c r="E43" s="426"/>
      <c r="F43" s="426"/>
      <c r="G43" s="426"/>
      <c r="H43" s="427"/>
      <c r="I43" s="73"/>
      <c r="J43" s="45"/>
      <c r="K43" s="456"/>
      <c r="L43" s="457"/>
      <c r="M43" s="56">
        <f t="shared" si="0"/>
        <v>0</v>
      </c>
    </row>
    <row r="44" spans="1:13">
      <c r="A44" s="425"/>
      <c r="B44" s="426"/>
      <c r="C44" s="426"/>
      <c r="D44" s="426"/>
      <c r="E44" s="426"/>
      <c r="F44" s="426"/>
      <c r="G44" s="426"/>
      <c r="H44" s="427"/>
      <c r="I44" s="73"/>
      <c r="J44" s="45"/>
      <c r="K44" s="456"/>
      <c r="L44" s="457"/>
      <c r="M44" s="56">
        <f t="shared" si="0"/>
        <v>0</v>
      </c>
    </row>
    <row r="45" spans="1:13">
      <c r="A45" s="425"/>
      <c r="B45" s="426"/>
      <c r="C45" s="426"/>
      <c r="D45" s="426"/>
      <c r="E45" s="426"/>
      <c r="F45" s="426"/>
      <c r="G45" s="426"/>
      <c r="H45" s="427"/>
      <c r="I45" s="73"/>
      <c r="J45" s="45"/>
      <c r="K45" s="456"/>
      <c r="L45" s="457"/>
      <c r="M45" s="56">
        <f t="shared" si="0"/>
        <v>0</v>
      </c>
    </row>
    <row r="46" spans="1:13" ht="15.75" thickBot="1">
      <c r="A46" s="410"/>
      <c r="B46" s="411"/>
      <c r="C46" s="411"/>
      <c r="D46" s="411"/>
      <c r="E46" s="411"/>
      <c r="F46" s="411"/>
      <c r="G46" s="411"/>
      <c r="H46" s="412"/>
      <c r="I46" s="74"/>
      <c r="J46" s="57"/>
      <c r="K46" s="466"/>
      <c r="L46" s="467"/>
      <c r="M46" s="75"/>
    </row>
    <row r="47" spans="1:13" ht="15.75" thickBot="1">
      <c r="A47" s="416" t="s">
        <v>87</v>
      </c>
      <c r="B47" s="417"/>
      <c r="C47" s="417"/>
      <c r="D47" s="417"/>
      <c r="E47" s="417"/>
      <c r="F47" s="417"/>
      <c r="G47" s="417"/>
      <c r="H47" s="417"/>
      <c r="I47" s="417"/>
      <c r="J47" s="417"/>
      <c r="K47" s="417"/>
      <c r="L47" s="418"/>
      <c r="M47" s="58">
        <f>SUM(M38:M46)*1.0562</f>
        <v>35183.923160000006</v>
      </c>
    </row>
    <row r="48" spans="1:13">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221" t="s">
        <v>92</v>
      </c>
      <c r="I51" s="218" t="s">
        <v>93</v>
      </c>
      <c r="J51" s="60" t="s">
        <v>94</v>
      </c>
      <c r="K51" s="421" t="s">
        <v>95</v>
      </c>
      <c r="L51" s="424"/>
      <c r="M51" s="44" t="s">
        <v>85</v>
      </c>
    </row>
    <row r="52" spans="1:14">
      <c r="A52" s="425"/>
      <c r="B52" s="426"/>
      <c r="C52" s="426"/>
      <c r="D52" s="426"/>
      <c r="E52" s="426"/>
      <c r="F52" s="426"/>
      <c r="G52" s="426"/>
      <c r="H52" s="61"/>
      <c r="I52" s="55"/>
      <c r="J52" s="61"/>
      <c r="K52" s="428"/>
      <c r="L52" s="429"/>
    </row>
    <row r="53" spans="1:14" ht="15.75" thickBot="1">
      <c r="A53" s="410"/>
      <c r="B53" s="411"/>
      <c r="C53" s="411"/>
      <c r="D53" s="411"/>
      <c r="E53" s="411"/>
      <c r="F53" s="411"/>
      <c r="G53" s="411"/>
      <c r="H53" s="47"/>
      <c r="I53" s="15"/>
      <c r="J53" s="47"/>
      <c r="K53" s="414"/>
      <c r="L53" s="415"/>
      <c r="M53" s="62"/>
    </row>
    <row r="54" spans="1:14" ht="15.75" thickBot="1">
      <c r="A54" s="416" t="s">
        <v>87</v>
      </c>
      <c r="B54" s="417"/>
      <c r="C54" s="417"/>
      <c r="D54" s="417"/>
      <c r="E54" s="417"/>
      <c r="F54" s="417"/>
      <c r="G54" s="417"/>
      <c r="H54" s="417"/>
      <c r="I54" s="417"/>
      <c r="J54" s="417"/>
      <c r="K54" s="417"/>
      <c r="L54" s="418"/>
      <c r="M54" s="63">
        <f>SUM(M53:M53)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221" t="s">
        <v>98</v>
      </c>
      <c r="I58" s="222" t="s">
        <v>99</v>
      </c>
      <c r="J58" s="222" t="s">
        <v>100</v>
      </c>
      <c r="K58" s="455" t="s">
        <v>84</v>
      </c>
      <c r="L58" s="455"/>
      <c r="M58" s="65" t="s">
        <v>85</v>
      </c>
    </row>
    <row r="59" spans="1:14">
      <c r="A59" s="471" t="s">
        <v>243</v>
      </c>
      <c r="B59" s="472"/>
      <c r="C59" s="472"/>
      <c r="D59" s="472"/>
      <c r="E59" s="472"/>
      <c r="F59" s="472"/>
      <c r="G59" s="472"/>
      <c r="H59" s="1">
        <v>109738.14166566246</v>
      </c>
      <c r="I59" s="2">
        <v>2.2000000000000002</v>
      </c>
      <c r="J59" s="66">
        <f>(I59*H59)</f>
        <v>241423.91166445744</v>
      </c>
      <c r="K59" s="473">
        <v>5.3476142691033424</v>
      </c>
      <c r="L59" s="473"/>
      <c r="M59" s="56">
        <f>J59/K59</f>
        <v>45146.096841599239</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45146.096841599239</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ROUND(M62+M54+M47+M33,0)</f>
        <v>82321</v>
      </c>
      <c r="N64" s="155"/>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219"/>
      <c r="I68" s="220"/>
      <c r="J68" s="81" t="s">
        <v>104</v>
      </c>
      <c r="K68" s="440" t="s">
        <v>105</v>
      </c>
      <c r="L68" s="441"/>
      <c r="M68" s="82"/>
    </row>
    <row r="69" spans="1:13">
      <c r="A69" s="442" t="s">
        <v>106</v>
      </c>
      <c r="B69" s="443"/>
      <c r="C69" s="443"/>
      <c r="D69" s="443"/>
      <c r="E69" s="443"/>
      <c r="F69" s="443"/>
      <c r="G69" s="443"/>
      <c r="H69" s="83"/>
      <c r="I69" s="84"/>
      <c r="J69" s="85">
        <v>0.19</v>
      </c>
      <c r="K69" s="444">
        <f>M64*J69</f>
        <v>15640.99</v>
      </c>
      <c r="L69" s="444"/>
      <c r="M69" s="86"/>
    </row>
    <row r="70" spans="1:13">
      <c r="A70" s="447" t="s">
        <v>107</v>
      </c>
      <c r="B70" s="448"/>
      <c r="C70" s="448"/>
      <c r="D70" s="448"/>
      <c r="E70" s="448"/>
      <c r="F70" s="448"/>
      <c r="G70" s="449"/>
      <c r="H70" s="77"/>
      <c r="I70" s="78"/>
      <c r="J70" s="5">
        <v>0.01</v>
      </c>
      <c r="K70" s="445">
        <f>M64*J70</f>
        <v>823.21</v>
      </c>
      <c r="L70" s="445"/>
      <c r="M70" s="6"/>
    </row>
    <row r="71" spans="1:13">
      <c r="A71" s="447" t="s">
        <v>108</v>
      </c>
      <c r="B71" s="448"/>
      <c r="C71" s="448"/>
      <c r="D71" s="448"/>
      <c r="E71" s="448"/>
      <c r="F71" s="448"/>
      <c r="G71" s="449"/>
      <c r="H71" s="77"/>
      <c r="I71" s="78"/>
      <c r="J71" s="5">
        <v>0.05</v>
      </c>
      <c r="K71" s="445">
        <f>M64*J71</f>
        <v>4116.05</v>
      </c>
      <c r="L71" s="445"/>
      <c r="M71" s="6"/>
    </row>
    <row r="72" spans="1:13" ht="15.75" thickBot="1">
      <c r="A72" s="450" t="s">
        <v>117</v>
      </c>
      <c r="B72" s="451"/>
      <c r="C72" s="451"/>
      <c r="D72" s="451"/>
      <c r="E72" s="451"/>
      <c r="F72" s="451"/>
      <c r="G72" s="452"/>
      <c r="H72" s="87"/>
      <c r="I72" s="88"/>
      <c r="J72" s="89">
        <v>0.19</v>
      </c>
      <c r="K72" s="446">
        <f>K71*J72</f>
        <v>782.04950000000008</v>
      </c>
      <c r="L72" s="446"/>
      <c r="M72" s="90"/>
    </row>
    <row r="73" spans="1:13" ht="15.75" thickBot="1">
      <c r="A73" s="435" t="s">
        <v>87</v>
      </c>
      <c r="B73" s="436"/>
      <c r="C73" s="436"/>
      <c r="D73" s="436"/>
      <c r="E73" s="436"/>
      <c r="F73" s="436"/>
      <c r="G73" s="436"/>
      <c r="H73" s="436"/>
      <c r="I73" s="436"/>
      <c r="J73" s="436"/>
      <c r="K73" s="436"/>
      <c r="L73" s="437"/>
      <c r="M73" s="76">
        <f>SUM(K69:L72)</f>
        <v>21362.299500000001</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103683</v>
      </c>
    </row>
  </sheetData>
  <mergeCells count="83">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61:G61"/>
    <mergeCell ref="K61:L61"/>
    <mergeCell ref="A62:L62"/>
    <mergeCell ref="A64:L64"/>
    <mergeCell ref="A68:G68"/>
    <mergeCell ref="K68:L68"/>
    <mergeCell ref="A72:G72"/>
    <mergeCell ref="K72:L72"/>
    <mergeCell ref="A73:L73"/>
    <mergeCell ref="A75:L75"/>
    <mergeCell ref="A69:G69"/>
    <mergeCell ref="K69:L69"/>
    <mergeCell ref="A70:G70"/>
    <mergeCell ref="K70:L70"/>
    <mergeCell ref="A71:G71"/>
    <mergeCell ref="K71:L71"/>
  </mergeCells>
  <pageMargins left="0.7" right="0.7" top="0.75" bottom="0.75" header="0.3" footer="0.3"/>
  <pageSetup scale="56"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view="pageBreakPreview" topLeftCell="A46" zoomScale="80" zoomScaleNormal="100" zoomScaleSheetLayoutView="80" workbookViewId="0">
      <selection activeCell="M64" sqref="M64"/>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224"/>
      <c r="D17" s="224"/>
      <c r="E17" s="224"/>
      <c r="F17" s="224"/>
      <c r="G17" s="224"/>
      <c r="H17" s="224"/>
      <c r="I17" s="224"/>
      <c r="J17" s="224"/>
      <c r="K17" s="224"/>
      <c r="L17" s="224"/>
      <c r="M17" s="13"/>
    </row>
    <row r="18" spans="1:13">
      <c r="A18" s="25" t="s">
        <v>74</v>
      </c>
      <c r="B18" s="26"/>
      <c r="C18" s="379"/>
      <c r="D18" s="379"/>
      <c r="E18" s="379"/>
      <c r="F18" s="379"/>
      <c r="G18" s="379"/>
      <c r="H18" s="379"/>
      <c r="I18" s="379"/>
      <c r="J18" s="379"/>
      <c r="K18" s="379"/>
      <c r="L18" s="379"/>
      <c r="M18" s="380"/>
    </row>
    <row r="19" spans="1:13">
      <c r="A19" s="25"/>
      <c r="B19" s="26"/>
      <c r="C19" s="224"/>
      <c r="D19" s="224"/>
      <c r="E19" s="224"/>
      <c r="F19" s="224"/>
      <c r="G19" s="224"/>
      <c r="H19" s="224"/>
      <c r="I19" s="224"/>
      <c r="J19" s="224"/>
      <c r="K19" s="224"/>
      <c r="L19" s="224"/>
      <c r="M19" s="13"/>
    </row>
    <row r="20" spans="1:13" ht="31.5" customHeight="1">
      <c r="A20" s="464" t="s">
        <v>113</v>
      </c>
      <c r="B20" s="465"/>
      <c r="C20" s="379"/>
      <c r="D20" s="379"/>
      <c r="E20" s="379"/>
      <c r="F20" s="379"/>
      <c r="G20" s="379"/>
      <c r="H20" s="379"/>
      <c r="I20" s="379"/>
      <c r="J20" s="379"/>
      <c r="K20" s="379"/>
      <c r="L20" s="379"/>
      <c r="M20" s="380"/>
    </row>
    <row r="21" spans="1:13">
      <c r="A21" s="400"/>
      <c r="B21" s="401"/>
      <c r="C21" s="224"/>
      <c r="D21" s="224"/>
      <c r="E21" s="224"/>
      <c r="F21" s="224"/>
      <c r="G21" s="224"/>
      <c r="H21" s="224"/>
      <c r="I21" s="224"/>
      <c r="J21" s="224"/>
      <c r="K21" s="224"/>
      <c r="L21" s="224"/>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216" t="s">
        <v>78</v>
      </c>
      <c r="K25" s="408" t="s">
        <v>79</v>
      </c>
      <c r="L25" s="409"/>
      <c r="M25" s="31" t="s">
        <v>80</v>
      </c>
    </row>
    <row r="26" spans="1:13" ht="15.75" thickBot="1">
      <c r="A26" s="33"/>
      <c r="B26" s="391" t="s">
        <v>255</v>
      </c>
      <c r="C26" s="392"/>
      <c r="D26" s="392"/>
      <c r="E26" s="392"/>
      <c r="F26" s="392"/>
      <c r="G26" s="392"/>
      <c r="H26" s="392"/>
      <c r="I26" s="393"/>
      <c r="J26" s="215">
        <v>1</v>
      </c>
      <c r="K26" s="391" t="s">
        <v>115</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221" t="s">
        <v>83</v>
      </c>
      <c r="K30" s="421" t="s">
        <v>84</v>
      </c>
      <c r="L30" s="424"/>
      <c r="M30" s="44" t="s">
        <v>85</v>
      </c>
    </row>
    <row r="31" spans="1:13">
      <c r="A31" s="425" t="s">
        <v>124</v>
      </c>
      <c r="B31" s="426"/>
      <c r="C31" s="426"/>
      <c r="D31" s="426"/>
      <c r="E31" s="427"/>
      <c r="F31" s="428" t="s">
        <v>125</v>
      </c>
      <c r="G31" s="429"/>
      <c r="H31" s="430" t="s">
        <v>86</v>
      </c>
      <c r="I31" s="427"/>
      <c r="J31" s="72">
        <v>398.2</v>
      </c>
      <c r="K31" s="428">
        <v>1</v>
      </c>
      <c r="L31" s="429"/>
      <c r="M31" s="46">
        <f>J31/K31</f>
        <v>398.2</v>
      </c>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398.2</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217" t="s">
        <v>79</v>
      </c>
      <c r="J37" s="221" t="s">
        <v>80</v>
      </c>
      <c r="K37" s="421" t="s">
        <v>89</v>
      </c>
      <c r="L37" s="424"/>
      <c r="M37" s="44" t="s">
        <v>85</v>
      </c>
    </row>
    <row r="38" spans="1:13">
      <c r="A38" s="425" t="s">
        <v>256</v>
      </c>
      <c r="B38" s="426"/>
      <c r="C38" s="426"/>
      <c r="D38" s="426"/>
      <c r="E38" s="426"/>
      <c r="F38" s="426"/>
      <c r="G38" s="426"/>
      <c r="H38" s="427"/>
      <c r="I38" s="73" t="s">
        <v>11</v>
      </c>
      <c r="J38" s="45">
        <v>0.5</v>
      </c>
      <c r="K38" s="456">
        <v>11346</v>
      </c>
      <c r="L38" s="457"/>
      <c r="M38" s="56">
        <f>K38*J38</f>
        <v>5673</v>
      </c>
    </row>
    <row r="39" spans="1:13">
      <c r="A39" s="425" t="s">
        <v>257</v>
      </c>
      <c r="B39" s="426"/>
      <c r="C39" s="426"/>
      <c r="D39" s="426"/>
      <c r="E39" s="426"/>
      <c r="F39" s="426"/>
      <c r="G39" s="426"/>
      <c r="H39" s="427"/>
      <c r="I39" s="73" t="s">
        <v>8</v>
      </c>
      <c r="J39" s="45">
        <v>1.05</v>
      </c>
      <c r="K39" s="456">
        <v>18920</v>
      </c>
      <c r="L39" s="457"/>
      <c r="M39" s="56">
        <f t="shared" ref="M39:M45" si="0">K39*J39</f>
        <v>19866</v>
      </c>
    </row>
    <row r="40" spans="1:13">
      <c r="A40" s="425" t="s">
        <v>239</v>
      </c>
      <c r="B40" s="426"/>
      <c r="C40" s="426"/>
      <c r="D40" s="426"/>
      <c r="E40" s="426"/>
      <c r="F40" s="426"/>
      <c r="G40" s="426"/>
      <c r="H40" s="427"/>
      <c r="I40" s="73" t="s">
        <v>11</v>
      </c>
      <c r="J40" s="45">
        <v>0.02</v>
      </c>
      <c r="K40" s="456">
        <v>68896</v>
      </c>
      <c r="L40" s="457"/>
      <c r="M40" s="56">
        <f t="shared" si="0"/>
        <v>1377.92</v>
      </c>
    </row>
    <row r="41" spans="1:13">
      <c r="A41" s="425" t="s">
        <v>240</v>
      </c>
      <c r="B41" s="426"/>
      <c r="C41" s="426"/>
      <c r="D41" s="426"/>
      <c r="E41" s="426"/>
      <c r="F41" s="426"/>
      <c r="G41" s="426"/>
      <c r="H41" s="427"/>
      <c r="I41" s="73" t="s">
        <v>11</v>
      </c>
      <c r="J41" s="45">
        <v>0.02</v>
      </c>
      <c r="K41" s="456">
        <v>32938</v>
      </c>
      <c r="L41" s="457"/>
      <c r="M41" s="56">
        <f t="shared" si="0"/>
        <v>658.76</v>
      </c>
    </row>
    <row r="42" spans="1:13">
      <c r="A42" s="425"/>
      <c r="B42" s="426"/>
      <c r="C42" s="426"/>
      <c r="D42" s="426"/>
      <c r="E42" s="426"/>
      <c r="F42" s="426"/>
      <c r="G42" s="426"/>
      <c r="H42" s="427"/>
      <c r="I42" s="73"/>
      <c r="J42" s="45"/>
      <c r="K42" s="456"/>
      <c r="L42" s="457"/>
      <c r="M42" s="56">
        <f t="shared" si="0"/>
        <v>0</v>
      </c>
    </row>
    <row r="43" spans="1:13">
      <c r="A43" s="425"/>
      <c r="B43" s="426"/>
      <c r="C43" s="426"/>
      <c r="D43" s="426"/>
      <c r="E43" s="426"/>
      <c r="F43" s="426"/>
      <c r="G43" s="426"/>
      <c r="H43" s="427"/>
      <c r="I43" s="73"/>
      <c r="J43" s="45"/>
      <c r="K43" s="456"/>
      <c r="L43" s="457"/>
      <c r="M43" s="56">
        <f t="shared" si="0"/>
        <v>0</v>
      </c>
    </row>
    <row r="44" spans="1:13">
      <c r="A44" s="425"/>
      <c r="B44" s="426"/>
      <c r="C44" s="426"/>
      <c r="D44" s="426"/>
      <c r="E44" s="426"/>
      <c r="F44" s="426"/>
      <c r="G44" s="426"/>
      <c r="H44" s="427"/>
      <c r="I44" s="73"/>
      <c r="J44" s="45"/>
      <c r="K44" s="456"/>
      <c r="L44" s="457"/>
      <c r="M44" s="56">
        <f t="shared" si="0"/>
        <v>0</v>
      </c>
    </row>
    <row r="45" spans="1:13">
      <c r="A45" s="425"/>
      <c r="B45" s="426"/>
      <c r="C45" s="426"/>
      <c r="D45" s="426"/>
      <c r="E45" s="426"/>
      <c r="F45" s="426"/>
      <c r="G45" s="426"/>
      <c r="H45" s="427"/>
      <c r="I45" s="73"/>
      <c r="J45" s="45"/>
      <c r="K45" s="456"/>
      <c r="L45" s="457"/>
      <c r="M45" s="56">
        <f t="shared" si="0"/>
        <v>0</v>
      </c>
    </row>
    <row r="46" spans="1:13" ht="15.75" thickBot="1">
      <c r="A46" s="410"/>
      <c r="B46" s="411"/>
      <c r="C46" s="411"/>
      <c r="D46" s="411"/>
      <c r="E46" s="411"/>
      <c r="F46" s="411"/>
      <c r="G46" s="411"/>
      <c r="H46" s="412"/>
      <c r="I46" s="74"/>
      <c r="J46" s="57"/>
      <c r="K46" s="466"/>
      <c r="L46" s="467"/>
      <c r="M46" s="75"/>
    </row>
    <row r="47" spans="1:13" ht="15.75" thickBot="1">
      <c r="A47" s="416" t="s">
        <v>87</v>
      </c>
      <c r="B47" s="417"/>
      <c r="C47" s="417"/>
      <c r="D47" s="417"/>
      <c r="E47" s="417"/>
      <c r="F47" s="417"/>
      <c r="G47" s="417"/>
      <c r="H47" s="417"/>
      <c r="I47" s="417"/>
      <c r="J47" s="417"/>
      <c r="K47" s="417"/>
      <c r="L47" s="418"/>
      <c r="M47" s="58">
        <f>SUM(M38:M46)*1.0562</f>
        <v>29125.433215999998</v>
      </c>
    </row>
    <row r="48" spans="1:13">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221" t="s">
        <v>92</v>
      </c>
      <c r="I51" s="218" t="s">
        <v>93</v>
      </c>
      <c r="J51" s="60" t="s">
        <v>94</v>
      </c>
      <c r="K51" s="421" t="s">
        <v>95</v>
      </c>
      <c r="L51" s="424"/>
      <c r="M51" s="44" t="s">
        <v>85</v>
      </c>
    </row>
    <row r="52" spans="1:14">
      <c r="A52" s="425"/>
      <c r="B52" s="426"/>
      <c r="C52" s="426"/>
      <c r="D52" s="426"/>
      <c r="E52" s="426"/>
      <c r="F52" s="426"/>
      <c r="G52" s="426"/>
      <c r="H52" s="61"/>
      <c r="I52" s="55"/>
      <c r="J52" s="61"/>
      <c r="K52" s="428"/>
      <c r="L52" s="429"/>
    </row>
    <row r="53" spans="1:14" ht="15.75" thickBot="1">
      <c r="A53" s="410"/>
      <c r="B53" s="411"/>
      <c r="C53" s="411"/>
      <c r="D53" s="411"/>
      <c r="E53" s="411"/>
      <c r="F53" s="411"/>
      <c r="G53" s="411"/>
      <c r="H53" s="47"/>
      <c r="I53" s="15"/>
      <c r="J53" s="47"/>
      <c r="K53" s="414"/>
      <c r="L53" s="415"/>
      <c r="M53" s="62"/>
    </row>
    <row r="54" spans="1:14" ht="15.75" thickBot="1">
      <c r="A54" s="416" t="s">
        <v>87</v>
      </c>
      <c r="B54" s="417"/>
      <c r="C54" s="417"/>
      <c r="D54" s="417"/>
      <c r="E54" s="417"/>
      <c r="F54" s="417"/>
      <c r="G54" s="417"/>
      <c r="H54" s="417"/>
      <c r="I54" s="417"/>
      <c r="J54" s="417"/>
      <c r="K54" s="417"/>
      <c r="L54" s="418"/>
      <c r="M54" s="63">
        <f>SUM(M53:M53)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221" t="s">
        <v>98</v>
      </c>
      <c r="I58" s="222" t="s">
        <v>99</v>
      </c>
      <c r="J58" s="222" t="s">
        <v>100</v>
      </c>
      <c r="K58" s="455" t="s">
        <v>84</v>
      </c>
      <c r="L58" s="455"/>
      <c r="M58" s="65" t="s">
        <v>85</v>
      </c>
    </row>
    <row r="59" spans="1:14">
      <c r="A59" s="471" t="s">
        <v>243</v>
      </c>
      <c r="B59" s="472"/>
      <c r="C59" s="472"/>
      <c r="D59" s="472"/>
      <c r="E59" s="472"/>
      <c r="F59" s="472"/>
      <c r="G59" s="472"/>
      <c r="H59" s="1">
        <v>109738.14166566246</v>
      </c>
      <c r="I59" s="2">
        <v>2.2000000000000002</v>
      </c>
      <c r="J59" s="66">
        <f>(I59*H59)</f>
        <v>241423.91166445744</v>
      </c>
      <c r="K59" s="473">
        <v>27.980256012353731</v>
      </c>
      <c r="L59" s="473"/>
      <c r="M59" s="56">
        <f>J59/K59</f>
        <v>8628.3667868465855</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8628.3667868465855</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ROUND(M62+M54+M47+M33,0)</f>
        <v>38152</v>
      </c>
      <c r="N64" s="155"/>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219"/>
      <c r="I68" s="220"/>
      <c r="J68" s="81" t="s">
        <v>104</v>
      </c>
      <c r="K68" s="440" t="s">
        <v>105</v>
      </c>
      <c r="L68" s="441"/>
      <c r="M68" s="82"/>
    </row>
    <row r="69" spans="1:13">
      <c r="A69" s="442" t="s">
        <v>106</v>
      </c>
      <c r="B69" s="443"/>
      <c r="C69" s="443"/>
      <c r="D69" s="443"/>
      <c r="E69" s="443"/>
      <c r="F69" s="443"/>
      <c r="G69" s="443"/>
      <c r="H69" s="83"/>
      <c r="I69" s="84"/>
      <c r="J69" s="85">
        <v>0.19</v>
      </c>
      <c r="K69" s="444">
        <f>M64*J69</f>
        <v>7248.88</v>
      </c>
      <c r="L69" s="444"/>
      <c r="M69" s="86"/>
    </row>
    <row r="70" spans="1:13">
      <c r="A70" s="447" t="s">
        <v>107</v>
      </c>
      <c r="B70" s="448"/>
      <c r="C70" s="448"/>
      <c r="D70" s="448"/>
      <c r="E70" s="448"/>
      <c r="F70" s="448"/>
      <c r="G70" s="449"/>
      <c r="H70" s="77"/>
      <c r="I70" s="78"/>
      <c r="J70" s="5">
        <v>0.01</v>
      </c>
      <c r="K70" s="445">
        <f>M64*J70</f>
        <v>381.52</v>
      </c>
      <c r="L70" s="445"/>
      <c r="M70" s="6"/>
    </row>
    <row r="71" spans="1:13">
      <c r="A71" s="447" t="s">
        <v>108</v>
      </c>
      <c r="B71" s="448"/>
      <c r="C71" s="448"/>
      <c r="D71" s="448"/>
      <c r="E71" s="448"/>
      <c r="F71" s="448"/>
      <c r="G71" s="449"/>
      <c r="H71" s="77"/>
      <c r="I71" s="78"/>
      <c r="J71" s="5">
        <v>0.05</v>
      </c>
      <c r="K71" s="445">
        <f>M64*J71</f>
        <v>1907.6000000000001</v>
      </c>
      <c r="L71" s="445"/>
      <c r="M71" s="6"/>
    </row>
    <row r="72" spans="1:13" ht="15.75" thickBot="1">
      <c r="A72" s="450" t="s">
        <v>117</v>
      </c>
      <c r="B72" s="451"/>
      <c r="C72" s="451"/>
      <c r="D72" s="451"/>
      <c r="E72" s="451"/>
      <c r="F72" s="451"/>
      <c r="G72" s="452"/>
      <c r="H72" s="87"/>
      <c r="I72" s="88"/>
      <c r="J72" s="89">
        <v>0.19</v>
      </c>
      <c r="K72" s="446">
        <f>K71*J72</f>
        <v>362.44400000000002</v>
      </c>
      <c r="L72" s="446"/>
      <c r="M72" s="90"/>
    </row>
    <row r="73" spans="1:13" ht="15.75" thickBot="1">
      <c r="A73" s="435" t="s">
        <v>87</v>
      </c>
      <c r="B73" s="436"/>
      <c r="C73" s="436"/>
      <c r="D73" s="436"/>
      <c r="E73" s="436"/>
      <c r="F73" s="436"/>
      <c r="G73" s="436"/>
      <c r="H73" s="436"/>
      <c r="I73" s="436"/>
      <c r="J73" s="436"/>
      <c r="K73" s="436"/>
      <c r="L73" s="437"/>
      <c r="M73" s="76">
        <f>SUM(K69:L72)</f>
        <v>9900.4439999999995</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48052</v>
      </c>
    </row>
  </sheetData>
  <mergeCells count="83">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61:G61"/>
    <mergeCell ref="K61:L61"/>
    <mergeCell ref="A62:L62"/>
    <mergeCell ref="A64:L64"/>
    <mergeCell ref="A68:G68"/>
    <mergeCell ref="K68:L68"/>
    <mergeCell ref="A72:G72"/>
    <mergeCell ref="K72:L72"/>
    <mergeCell ref="A73:L73"/>
    <mergeCell ref="A75:L75"/>
    <mergeCell ref="A69:G69"/>
    <mergeCell ref="K69:L69"/>
    <mergeCell ref="A70:G70"/>
    <mergeCell ref="K70:L70"/>
    <mergeCell ref="A71:G71"/>
    <mergeCell ref="K71:L71"/>
  </mergeCells>
  <pageMargins left="0.7" right="0.7" top="0.75" bottom="0.75" header="0.3" footer="0.3"/>
  <pageSetup scale="56"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view="pageBreakPreview" topLeftCell="A52" zoomScale="80" zoomScaleNormal="100" zoomScaleSheetLayoutView="80" workbookViewId="0">
      <selection activeCell="M64" sqref="M64"/>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ht="15" customHeight="1">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224"/>
      <c r="D17" s="224"/>
      <c r="E17" s="224"/>
      <c r="F17" s="224"/>
      <c r="G17" s="224"/>
      <c r="H17" s="224"/>
      <c r="I17" s="224"/>
      <c r="J17" s="224"/>
      <c r="K17" s="224"/>
      <c r="L17" s="224"/>
      <c r="M17" s="13"/>
    </row>
    <row r="18" spans="1:13">
      <c r="A18" s="25" t="s">
        <v>74</v>
      </c>
      <c r="B18" s="26"/>
      <c r="C18" s="379"/>
      <c r="D18" s="379"/>
      <c r="E18" s="379"/>
      <c r="F18" s="379"/>
      <c r="G18" s="379"/>
      <c r="H18" s="379"/>
      <c r="I18" s="379"/>
      <c r="J18" s="379"/>
      <c r="K18" s="379"/>
      <c r="L18" s="379"/>
      <c r="M18" s="380"/>
    </row>
    <row r="19" spans="1:13">
      <c r="A19" s="25"/>
      <c r="B19" s="26"/>
      <c r="C19" s="224"/>
      <c r="D19" s="224"/>
      <c r="E19" s="224"/>
      <c r="F19" s="224"/>
      <c r="G19" s="224"/>
      <c r="H19" s="224"/>
      <c r="I19" s="224"/>
      <c r="J19" s="224"/>
      <c r="K19" s="224"/>
      <c r="L19" s="224"/>
      <c r="M19" s="13"/>
    </row>
    <row r="20" spans="1:13" ht="31.5" customHeight="1">
      <c r="A20" s="464" t="s">
        <v>113</v>
      </c>
      <c r="B20" s="465"/>
      <c r="C20" s="379"/>
      <c r="D20" s="379"/>
      <c r="E20" s="379"/>
      <c r="F20" s="379"/>
      <c r="G20" s="379"/>
      <c r="H20" s="379"/>
      <c r="I20" s="379"/>
      <c r="J20" s="379"/>
      <c r="K20" s="379"/>
      <c r="L20" s="379"/>
      <c r="M20" s="380"/>
    </row>
    <row r="21" spans="1:13">
      <c r="A21" s="400"/>
      <c r="B21" s="401"/>
      <c r="C21" s="224"/>
      <c r="D21" s="224"/>
      <c r="E21" s="224"/>
      <c r="F21" s="224"/>
      <c r="G21" s="224"/>
      <c r="H21" s="224"/>
      <c r="I21" s="224"/>
      <c r="J21" s="224"/>
      <c r="K21" s="224"/>
      <c r="L21" s="224"/>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216" t="s">
        <v>78</v>
      </c>
      <c r="K25" s="408" t="s">
        <v>79</v>
      </c>
      <c r="L25" s="409"/>
      <c r="M25" s="31" t="s">
        <v>80</v>
      </c>
    </row>
    <row r="26" spans="1:13" ht="15.75" thickBot="1">
      <c r="A26" s="33"/>
      <c r="B26" s="391" t="s">
        <v>260</v>
      </c>
      <c r="C26" s="392"/>
      <c r="D26" s="392"/>
      <c r="E26" s="392"/>
      <c r="F26" s="392"/>
      <c r="G26" s="392"/>
      <c r="H26" s="392"/>
      <c r="I26" s="393"/>
      <c r="J26" s="215">
        <v>1</v>
      </c>
      <c r="K26" s="391" t="s">
        <v>115</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221" t="s">
        <v>83</v>
      </c>
      <c r="K30" s="421" t="s">
        <v>84</v>
      </c>
      <c r="L30" s="424"/>
      <c r="M30" s="44" t="s">
        <v>85</v>
      </c>
    </row>
    <row r="31" spans="1:13">
      <c r="A31" s="425" t="s">
        <v>124</v>
      </c>
      <c r="B31" s="426"/>
      <c r="C31" s="426"/>
      <c r="D31" s="426"/>
      <c r="E31" s="427"/>
      <c r="F31" s="428" t="s">
        <v>125</v>
      </c>
      <c r="G31" s="429"/>
      <c r="H31" s="430" t="s">
        <v>86</v>
      </c>
      <c r="I31" s="427"/>
      <c r="J31" s="72">
        <v>746.62</v>
      </c>
      <c r="K31" s="428">
        <v>1</v>
      </c>
      <c r="L31" s="429"/>
      <c r="M31" s="46">
        <f>J31/K31</f>
        <v>746.62</v>
      </c>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746.62</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217" t="s">
        <v>79</v>
      </c>
      <c r="J37" s="221" t="s">
        <v>80</v>
      </c>
      <c r="K37" s="421" t="s">
        <v>89</v>
      </c>
      <c r="L37" s="424"/>
      <c r="M37" s="44" t="s">
        <v>85</v>
      </c>
    </row>
    <row r="38" spans="1:13">
      <c r="A38" s="425" t="s">
        <v>258</v>
      </c>
      <c r="B38" s="426"/>
      <c r="C38" s="426"/>
      <c r="D38" s="426"/>
      <c r="E38" s="426"/>
      <c r="F38" s="426"/>
      <c r="G38" s="426"/>
      <c r="H38" s="427"/>
      <c r="I38" s="73" t="s">
        <v>11</v>
      </c>
      <c r="J38" s="45">
        <v>1</v>
      </c>
      <c r="K38" s="456">
        <v>47321</v>
      </c>
      <c r="L38" s="457"/>
      <c r="M38" s="56">
        <f>K38*J38</f>
        <v>47321</v>
      </c>
    </row>
    <row r="39" spans="1:13">
      <c r="A39" s="425" t="s">
        <v>259</v>
      </c>
      <c r="B39" s="426"/>
      <c r="C39" s="426"/>
      <c r="D39" s="426"/>
      <c r="E39" s="426"/>
      <c r="F39" s="426"/>
      <c r="G39" s="426"/>
      <c r="H39" s="427"/>
      <c r="I39" s="73" t="s">
        <v>11</v>
      </c>
      <c r="J39" s="45">
        <v>1</v>
      </c>
      <c r="K39" s="456">
        <v>3170</v>
      </c>
      <c r="L39" s="457"/>
      <c r="M39" s="56">
        <f t="shared" ref="M39:M45" si="0">K39*J39</f>
        <v>3170</v>
      </c>
    </row>
    <row r="40" spans="1:13">
      <c r="A40" s="425"/>
      <c r="B40" s="426"/>
      <c r="C40" s="426"/>
      <c r="D40" s="426"/>
      <c r="E40" s="426"/>
      <c r="F40" s="426"/>
      <c r="G40" s="426"/>
      <c r="H40" s="427"/>
      <c r="I40" s="73"/>
      <c r="J40" s="45"/>
      <c r="K40" s="456"/>
      <c r="L40" s="457"/>
      <c r="M40" s="56">
        <f t="shared" si="0"/>
        <v>0</v>
      </c>
    </row>
    <row r="41" spans="1:13">
      <c r="A41" s="425"/>
      <c r="B41" s="426"/>
      <c r="C41" s="426"/>
      <c r="D41" s="426"/>
      <c r="E41" s="426"/>
      <c r="F41" s="426"/>
      <c r="G41" s="426"/>
      <c r="H41" s="427"/>
      <c r="I41" s="73"/>
      <c r="J41" s="45"/>
      <c r="K41" s="456"/>
      <c r="L41" s="457"/>
      <c r="M41" s="56">
        <f t="shared" si="0"/>
        <v>0</v>
      </c>
    </row>
    <row r="42" spans="1:13">
      <c r="A42" s="425"/>
      <c r="B42" s="426"/>
      <c r="C42" s="426"/>
      <c r="D42" s="426"/>
      <c r="E42" s="426"/>
      <c r="F42" s="426"/>
      <c r="G42" s="426"/>
      <c r="H42" s="427"/>
      <c r="I42" s="73"/>
      <c r="J42" s="45"/>
      <c r="K42" s="456"/>
      <c r="L42" s="457"/>
      <c r="M42" s="56">
        <f t="shared" si="0"/>
        <v>0</v>
      </c>
    </row>
    <row r="43" spans="1:13">
      <c r="A43" s="425"/>
      <c r="B43" s="426"/>
      <c r="C43" s="426"/>
      <c r="D43" s="426"/>
      <c r="E43" s="426"/>
      <c r="F43" s="426"/>
      <c r="G43" s="426"/>
      <c r="H43" s="427"/>
      <c r="I43" s="73"/>
      <c r="J43" s="45"/>
      <c r="K43" s="456"/>
      <c r="L43" s="457"/>
      <c r="M43" s="56">
        <f t="shared" si="0"/>
        <v>0</v>
      </c>
    </row>
    <row r="44" spans="1:13">
      <c r="A44" s="425"/>
      <c r="B44" s="426"/>
      <c r="C44" s="426"/>
      <c r="D44" s="426"/>
      <c r="E44" s="426"/>
      <c r="F44" s="426"/>
      <c r="G44" s="426"/>
      <c r="H44" s="427"/>
      <c r="I44" s="73"/>
      <c r="J44" s="45"/>
      <c r="K44" s="456"/>
      <c r="L44" s="457"/>
      <c r="M44" s="56">
        <f t="shared" si="0"/>
        <v>0</v>
      </c>
    </row>
    <row r="45" spans="1:13">
      <c r="A45" s="425"/>
      <c r="B45" s="426"/>
      <c r="C45" s="426"/>
      <c r="D45" s="426"/>
      <c r="E45" s="426"/>
      <c r="F45" s="426"/>
      <c r="G45" s="426"/>
      <c r="H45" s="427"/>
      <c r="I45" s="73"/>
      <c r="J45" s="45"/>
      <c r="K45" s="456"/>
      <c r="L45" s="457"/>
      <c r="M45" s="56">
        <f t="shared" si="0"/>
        <v>0</v>
      </c>
    </row>
    <row r="46" spans="1:13" ht="15.75" thickBot="1">
      <c r="A46" s="410"/>
      <c r="B46" s="411"/>
      <c r="C46" s="411"/>
      <c r="D46" s="411"/>
      <c r="E46" s="411"/>
      <c r="F46" s="411"/>
      <c r="G46" s="411"/>
      <c r="H46" s="412"/>
      <c r="I46" s="74"/>
      <c r="J46" s="57"/>
      <c r="K46" s="466"/>
      <c r="L46" s="467"/>
      <c r="M46" s="75"/>
    </row>
    <row r="47" spans="1:13" ht="15.75" thickBot="1">
      <c r="A47" s="416" t="s">
        <v>87</v>
      </c>
      <c r="B47" s="417"/>
      <c r="C47" s="417"/>
      <c r="D47" s="417"/>
      <c r="E47" s="417"/>
      <c r="F47" s="417"/>
      <c r="G47" s="417"/>
      <c r="H47" s="417"/>
      <c r="I47" s="417"/>
      <c r="J47" s="417"/>
      <c r="K47" s="417"/>
      <c r="L47" s="418"/>
      <c r="M47" s="58">
        <f>SUM(M38:M46)*1.0562</f>
        <v>53328.5942</v>
      </c>
    </row>
    <row r="48" spans="1:13">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221" t="s">
        <v>92</v>
      </c>
      <c r="I51" s="218" t="s">
        <v>93</v>
      </c>
      <c r="J51" s="60" t="s">
        <v>94</v>
      </c>
      <c r="K51" s="421" t="s">
        <v>95</v>
      </c>
      <c r="L51" s="424"/>
      <c r="M51" s="44" t="s">
        <v>85</v>
      </c>
    </row>
    <row r="52" spans="1:14">
      <c r="A52" s="425"/>
      <c r="B52" s="426"/>
      <c r="C52" s="426"/>
      <c r="D52" s="426"/>
      <c r="E52" s="426"/>
      <c r="F52" s="426"/>
      <c r="G52" s="426"/>
      <c r="H52" s="61"/>
      <c r="I52" s="55"/>
      <c r="J52" s="61"/>
      <c r="K52" s="428"/>
      <c r="L52" s="429"/>
    </row>
    <row r="53" spans="1:14" ht="15.75" thickBot="1">
      <c r="A53" s="410"/>
      <c r="B53" s="411"/>
      <c r="C53" s="411"/>
      <c r="D53" s="411"/>
      <c r="E53" s="411"/>
      <c r="F53" s="411"/>
      <c r="G53" s="411"/>
      <c r="H53" s="47"/>
      <c r="I53" s="15"/>
      <c r="J53" s="47"/>
      <c r="K53" s="414"/>
      <c r="L53" s="415"/>
      <c r="M53" s="62"/>
    </row>
    <row r="54" spans="1:14" ht="15.75" thickBot="1">
      <c r="A54" s="416" t="s">
        <v>87</v>
      </c>
      <c r="B54" s="417"/>
      <c r="C54" s="417"/>
      <c r="D54" s="417"/>
      <c r="E54" s="417"/>
      <c r="F54" s="417"/>
      <c r="G54" s="417"/>
      <c r="H54" s="417"/>
      <c r="I54" s="417"/>
      <c r="J54" s="417"/>
      <c r="K54" s="417"/>
      <c r="L54" s="418"/>
      <c r="M54" s="63">
        <f>SUM(M53:M53)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221" t="s">
        <v>98</v>
      </c>
      <c r="I58" s="222" t="s">
        <v>99</v>
      </c>
      <c r="J58" s="222" t="s">
        <v>100</v>
      </c>
      <c r="K58" s="455" t="s">
        <v>84</v>
      </c>
      <c r="L58" s="455"/>
      <c r="M58" s="65" t="s">
        <v>85</v>
      </c>
    </row>
    <row r="59" spans="1:14">
      <c r="A59" s="471" t="s">
        <v>243</v>
      </c>
      <c r="B59" s="472"/>
      <c r="C59" s="472"/>
      <c r="D59" s="472"/>
      <c r="E59" s="472"/>
      <c r="F59" s="472"/>
      <c r="G59" s="472"/>
      <c r="H59" s="1">
        <v>109738.14166566246</v>
      </c>
      <c r="I59" s="2">
        <v>2.2000000000000002</v>
      </c>
      <c r="J59" s="66">
        <f>(I59*H59)</f>
        <v>241423.91166445744</v>
      </c>
      <c r="K59" s="473">
        <v>15.532859839879769</v>
      </c>
      <c r="L59" s="473"/>
      <c r="M59" s="56">
        <f>J59/K59</f>
        <v>15542.785691313245</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15542.785691313245</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ROUND(M62+M54+M47+M33,0)</f>
        <v>69618</v>
      </c>
      <c r="N64" s="155"/>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219"/>
      <c r="I68" s="220"/>
      <c r="J68" s="81" t="s">
        <v>104</v>
      </c>
      <c r="K68" s="440" t="s">
        <v>105</v>
      </c>
      <c r="L68" s="441"/>
      <c r="M68" s="82"/>
    </row>
    <row r="69" spans="1:13">
      <c r="A69" s="442" t="s">
        <v>106</v>
      </c>
      <c r="B69" s="443"/>
      <c r="C69" s="443"/>
      <c r="D69" s="443"/>
      <c r="E69" s="443"/>
      <c r="F69" s="443"/>
      <c r="G69" s="443"/>
      <c r="H69" s="83"/>
      <c r="I69" s="84"/>
      <c r="J69" s="85">
        <v>0.19</v>
      </c>
      <c r="K69" s="444">
        <f>M64*J69</f>
        <v>13227.42</v>
      </c>
      <c r="L69" s="444"/>
      <c r="M69" s="86"/>
    </row>
    <row r="70" spans="1:13">
      <c r="A70" s="447" t="s">
        <v>107</v>
      </c>
      <c r="B70" s="448"/>
      <c r="C70" s="448"/>
      <c r="D70" s="448"/>
      <c r="E70" s="448"/>
      <c r="F70" s="448"/>
      <c r="G70" s="449"/>
      <c r="H70" s="77"/>
      <c r="I70" s="78"/>
      <c r="J70" s="5">
        <v>0.01</v>
      </c>
      <c r="K70" s="445">
        <f>M64*J70</f>
        <v>696.18000000000006</v>
      </c>
      <c r="L70" s="445"/>
      <c r="M70" s="6"/>
    </row>
    <row r="71" spans="1:13">
      <c r="A71" s="447" t="s">
        <v>108</v>
      </c>
      <c r="B71" s="448"/>
      <c r="C71" s="448"/>
      <c r="D71" s="448"/>
      <c r="E71" s="448"/>
      <c r="F71" s="448"/>
      <c r="G71" s="449"/>
      <c r="H71" s="77"/>
      <c r="I71" s="78"/>
      <c r="J71" s="5">
        <v>0.05</v>
      </c>
      <c r="K71" s="445">
        <f>M64*J71</f>
        <v>3480.9</v>
      </c>
      <c r="L71" s="445"/>
      <c r="M71" s="6"/>
    </row>
    <row r="72" spans="1:13" ht="15.75" thickBot="1">
      <c r="A72" s="450" t="s">
        <v>117</v>
      </c>
      <c r="B72" s="451"/>
      <c r="C72" s="451"/>
      <c r="D72" s="451"/>
      <c r="E72" s="451"/>
      <c r="F72" s="451"/>
      <c r="G72" s="452"/>
      <c r="H72" s="87"/>
      <c r="I72" s="88"/>
      <c r="J72" s="89">
        <v>0.19</v>
      </c>
      <c r="K72" s="446">
        <f>K71*J72</f>
        <v>661.37099999999998</v>
      </c>
      <c r="L72" s="446"/>
      <c r="M72" s="90"/>
    </row>
    <row r="73" spans="1:13" ht="15.75" thickBot="1">
      <c r="A73" s="435" t="s">
        <v>87</v>
      </c>
      <c r="B73" s="436"/>
      <c r="C73" s="436"/>
      <c r="D73" s="436"/>
      <c r="E73" s="436"/>
      <c r="F73" s="436"/>
      <c r="G73" s="436"/>
      <c r="H73" s="436"/>
      <c r="I73" s="436"/>
      <c r="J73" s="436"/>
      <c r="K73" s="436"/>
      <c r="L73" s="437"/>
      <c r="M73" s="76">
        <f>SUM(K69:L72)</f>
        <v>18065.870999999999</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87684</v>
      </c>
    </row>
  </sheetData>
  <mergeCells count="83">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61:G61"/>
    <mergeCell ref="K61:L61"/>
    <mergeCell ref="A62:L62"/>
    <mergeCell ref="A64:L64"/>
    <mergeCell ref="A68:G68"/>
    <mergeCell ref="K68:L68"/>
    <mergeCell ref="A72:G72"/>
    <mergeCell ref="K72:L72"/>
    <mergeCell ref="A73:L73"/>
    <mergeCell ref="A75:L75"/>
    <mergeCell ref="A69:G69"/>
    <mergeCell ref="K69:L69"/>
    <mergeCell ref="A70:G70"/>
    <mergeCell ref="K70:L70"/>
    <mergeCell ref="A71:G71"/>
    <mergeCell ref="K71:L71"/>
  </mergeCells>
  <pageMargins left="0.7" right="0.7" top="0.75" bottom="0.75" header="0.3" footer="0.3"/>
  <pageSetup scale="56"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7"/>
  <sheetViews>
    <sheetView view="pageBreakPreview" topLeftCell="A46" zoomScale="80" zoomScaleNormal="100" zoomScaleSheetLayoutView="80" workbookViewId="0">
      <selection activeCell="M66" sqref="M66"/>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9">
      <c r="A17" s="25"/>
      <c r="B17" s="26"/>
      <c r="C17" s="224"/>
      <c r="D17" s="224"/>
      <c r="E17" s="224"/>
      <c r="F17" s="224"/>
      <c r="G17" s="224"/>
      <c r="H17" s="224"/>
      <c r="I17" s="224"/>
      <c r="J17" s="224"/>
      <c r="K17" s="224"/>
      <c r="L17" s="224"/>
      <c r="M17" s="13"/>
    </row>
    <row r="18" spans="1:19">
      <c r="A18" s="25" t="s">
        <v>74</v>
      </c>
      <c r="B18" s="26"/>
      <c r="C18" s="379"/>
      <c r="D18" s="379"/>
      <c r="E18" s="379"/>
      <c r="F18" s="379"/>
      <c r="G18" s="379"/>
      <c r="H18" s="379"/>
      <c r="I18" s="379"/>
      <c r="J18" s="379"/>
      <c r="K18" s="379"/>
      <c r="L18" s="379"/>
      <c r="M18" s="380"/>
    </row>
    <row r="19" spans="1:19">
      <c r="A19" s="25"/>
      <c r="B19" s="26"/>
      <c r="C19" s="224"/>
      <c r="D19" s="224"/>
      <c r="E19" s="224"/>
      <c r="F19" s="224"/>
      <c r="G19" s="224"/>
      <c r="H19" s="224"/>
      <c r="I19" s="224"/>
      <c r="J19" s="224"/>
      <c r="K19" s="224"/>
      <c r="L19" s="224"/>
      <c r="M19" s="13"/>
    </row>
    <row r="20" spans="1:19" ht="31.5" customHeight="1">
      <c r="A20" s="464" t="s">
        <v>113</v>
      </c>
      <c r="B20" s="465"/>
      <c r="C20" s="379"/>
      <c r="D20" s="379"/>
      <c r="E20" s="379"/>
      <c r="F20" s="379"/>
      <c r="G20" s="379"/>
      <c r="H20" s="379"/>
      <c r="I20" s="379"/>
      <c r="J20" s="379"/>
      <c r="K20" s="379"/>
      <c r="L20" s="379"/>
      <c r="M20" s="380"/>
    </row>
    <row r="21" spans="1:19">
      <c r="A21" s="400"/>
      <c r="B21" s="401"/>
      <c r="C21" s="224"/>
      <c r="D21" s="224"/>
      <c r="E21" s="224"/>
      <c r="F21" s="224"/>
      <c r="G21" s="224"/>
      <c r="H21" s="224"/>
      <c r="I21" s="224"/>
      <c r="J21" s="224"/>
      <c r="K21" s="224"/>
      <c r="L21" s="22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216" t="s">
        <v>78</v>
      </c>
      <c r="K25" s="408" t="s">
        <v>79</v>
      </c>
      <c r="L25" s="409"/>
      <c r="M25" s="31" t="s">
        <v>80</v>
      </c>
    </row>
    <row r="26" spans="1:19" ht="19.5" customHeight="1" thickBot="1">
      <c r="A26" s="33"/>
      <c r="B26" s="509" t="s">
        <v>262</v>
      </c>
      <c r="C26" s="510"/>
      <c r="D26" s="510"/>
      <c r="E26" s="510"/>
      <c r="F26" s="510"/>
      <c r="G26" s="510"/>
      <c r="H26" s="510"/>
      <c r="I26" s="511"/>
      <c r="J26" s="215">
        <v>1</v>
      </c>
      <c r="K26" s="391" t="str">
        <f>'[1]NUEVO DISEÑO'!C87</f>
        <v>UN</v>
      </c>
      <c r="L26" s="393"/>
      <c r="M26" s="35"/>
      <c r="N26" s="230"/>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221" t="s">
        <v>83</v>
      </c>
      <c r="K30" s="421" t="s">
        <v>84</v>
      </c>
      <c r="L30" s="424"/>
      <c r="M30" s="44" t="s">
        <v>85</v>
      </c>
    </row>
    <row r="31" spans="1:19" ht="15.75" thickBot="1">
      <c r="A31" s="425"/>
      <c r="B31" s="426"/>
      <c r="C31" s="426"/>
      <c r="D31" s="426"/>
      <c r="E31" s="427"/>
      <c r="F31" s="428"/>
      <c r="G31" s="429"/>
      <c r="H31" s="430"/>
      <c r="I31" s="427"/>
      <c r="J31" s="72"/>
      <c r="K31" s="428"/>
      <c r="L31" s="429"/>
      <c r="M31" s="231"/>
      <c r="N31" s="489"/>
      <c r="O31" s="490"/>
      <c r="P31" s="95"/>
      <c r="Q31" s="96"/>
      <c r="R31" s="97"/>
      <c r="S31" s="98"/>
    </row>
    <row r="32" spans="1:19">
      <c r="A32" s="425"/>
      <c r="B32" s="426"/>
      <c r="C32" s="426"/>
      <c r="D32" s="426"/>
      <c r="E32" s="427"/>
      <c r="F32" s="428"/>
      <c r="G32" s="429"/>
      <c r="H32" s="430"/>
      <c r="I32" s="427"/>
      <c r="J32" s="72"/>
      <c r="K32" s="428"/>
      <c r="L32" s="429"/>
      <c r="M32" s="231"/>
    </row>
    <row r="33" spans="1:16" ht="15.75" thickBot="1">
      <c r="A33" s="410"/>
      <c r="B33" s="411"/>
      <c r="C33" s="411"/>
      <c r="D33" s="411"/>
      <c r="E33" s="412"/>
      <c r="F33" s="414"/>
      <c r="G33" s="415"/>
      <c r="H33" s="413"/>
      <c r="I33" s="412"/>
      <c r="J33" s="91"/>
      <c r="K33" s="414"/>
      <c r="L33" s="415"/>
      <c r="M33" s="46"/>
    </row>
    <row r="34" spans="1:16" ht="15.75" thickBot="1">
      <c r="A34" s="416" t="s">
        <v>87</v>
      </c>
      <c r="B34" s="417"/>
      <c r="C34" s="417"/>
      <c r="D34" s="417"/>
      <c r="E34" s="417"/>
      <c r="F34" s="417"/>
      <c r="G34" s="417"/>
      <c r="H34" s="417"/>
      <c r="I34" s="417"/>
      <c r="J34" s="417"/>
      <c r="K34" s="417"/>
      <c r="L34" s="418"/>
      <c r="M34" s="232">
        <f>SUM(M31:M33)</f>
        <v>0</v>
      </c>
    </row>
    <row r="35" spans="1:16">
      <c r="A35" s="50"/>
      <c r="B35" s="19"/>
      <c r="C35" s="19"/>
      <c r="D35" s="19"/>
      <c r="E35" s="19"/>
      <c r="F35" s="19"/>
      <c r="G35" s="19"/>
      <c r="H35" s="19"/>
      <c r="I35" s="19"/>
      <c r="J35" s="19"/>
      <c r="K35" s="19"/>
      <c r="L35" s="19"/>
      <c r="M35" s="24"/>
    </row>
    <row r="36" spans="1:16">
      <c r="A36" s="51" t="s">
        <v>88</v>
      </c>
      <c r="B36" s="52"/>
      <c r="C36" s="52"/>
      <c r="D36" s="52"/>
      <c r="E36" s="52"/>
      <c r="F36" s="52"/>
      <c r="G36" s="52"/>
      <c r="H36" s="52"/>
      <c r="I36" s="52"/>
      <c r="J36" s="52"/>
      <c r="K36" s="52"/>
      <c r="L36" s="52"/>
      <c r="M36" s="53"/>
    </row>
    <row r="37" spans="1:16" ht="15.75" thickBot="1">
      <c r="A37" s="14"/>
      <c r="B37" s="15"/>
      <c r="C37" s="15"/>
      <c r="D37" s="15"/>
      <c r="E37" s="15"/>
      <c r="F37" s="15"/>
      <c r="G37" s="15"/>
      <c r="H37" s="15"/>
      <c r="I37" s="19"/>
      <c r="J37" s="19"/>
      <c r="K37" s="19"/>
      <c r="L37" s="19"/>
      <c r="M37" s="24"/>
    </row>
    <row r="38" spans="1:16" ht="15.75" thickBot="1">
      <c r="A38" s="517" t="s">
        <v>77</v>
      </c>
      <c r="B38" s="518"/>
      <c r="C38" s="518"/>
      <c r="D38" s="518"/>
      <c r="E38" s="518"/>
      <c r="F38" s="518"/>
      <c r="G38" s="518"/>
      <c r="H38" s="519"/>
      <c r="I38" s="233" t="s">
        <v>79</v>
      </c>
      <c r="J38" s="234" t="s">
        <v>80</v>
      </c>
      <c r="K38" s="520" t="s">
        <v>89</v>
      </c>
      <c r="L38" s="519"/>
      <c r="M38" s="235" t="s">
        <v>85</v>
      </c>
    </row>
    <row r="39" spans="1:16" ht="15" customHeight="1">
      <c r="A39" s="521" t="s">
        <v>263</v>
      </c>
      <c r="B39" s="522"/>
      <c r="C39" s="522"/>
      <c r="D39" s="522"/>
      <c r="E39" s="522"/>
      <c r="F39" s="522"/>
      <c r="G39" s="522"/>
      <c r="H39" s="523"/>
      <c r="I39" s="236" t="s">
        <v>11</v>
      </c>
      <c r="J39" s="237">
        <v>1</v>
      </c>
      <c r="K39" s="524">
        <v>79900</v>
      </c>
      <c r="L39" s="525"/>
      <c r="M39" s="238">
        <f>K39*J39</f>
        <v>79900</v>
      </c>
      <c r="O39" s="94"/>
    </row>
    <row r="40" spans="1:16" ht="15" customHeight="1">
      <c r="A40" s="484"/>
      <c r="B40" s="485"/>
      <c r="C40" s="485"/>
      <c r="D40" s="485"/>
      <c r="E40" s="485"/>
      <c r="F40" s="485"/>
      <c r="G40" s="485"/>
      <c r="H40" s="486"/>
      <c r="I40" s="239"/>
      <c r="J40" s="240"/>
      <c r="K40" s="512"/>
      <c r="L40" s="513"/>
      <c r="M40" s="56"/>
      <c r="P40" s="94"/>
    </row>
    <row r="41" spans="1:16" ht="15" customHeight="1">
      <c r="A41" s="484"/>
      <c r="B41" s="485"/>
      <c r="C41" s="485"/>
      <c r="D41" s="485"/>
      <c r="E41" s="485"/>
      <c r="F41" s="485"/>
      <c r="G41" s="485"/>
      <c r="H41" s="486"/>
      <c r="I41" s="239"/>
      <c r="J41" s="240"/>
      <c r="K41" s="512"/>
      <c r="L41" s="513"/>
      <c r="M41" s="56"/>
    </row>
    <row r="42" spans="1:16" ht="15" customHeight="1">
      <c r="A42" s="425"/>
      <c r="B42" s="426"/>
      <c r="C42" s="426"/>
      <c r="D42" s="426"/>
      <c r="E42" s="426"/>
      <c r="F42" s="426"/>
      <c r="G42" s="426"/>
      <c r="H42" s="427"/>
      <c r="I42" s="239"/>
      <c r="J42" s="240"/>
      <c r="K42" s="512"/>
      <c r="L42" s="513"/>
      <c r="M42" s="56"/>
    </row>
    <row r="43" spans="1:16">
      <c r="A43" s="425"/>
      <c r="B43" s="426"/>
      <c r="C43" s="426"/>
      <c r="D43" s="426"/>
      <c r="E43" s="426"/>
      <c r="F43" s="426"/>
      <c r="G43" s="426"/>
      <c r="H43" s="427"/>
      <c r="I43" s="239"/>
      <c r="J43" s="240"/>
      <c r="K43" s="512"/>
      <c r="L43" s="513"/>
      <c r="M43" s="56"/>
    </row>
    <row r="44" spans="1:16">
      <c r="A44" s="516"/>
      <c r="B44" s="426"/>
      <c r="C44" s="426"/>
      <c r="D44" s="426"/>
      <c r="E44" s="426"/>
      <c r="F44" s="426"/>
      <c r="G44" s="426"/>
      <c r="H44" s="427"/>
      <c r="I44" s="239"/>
      <c r="J44" s="240"/>
      <c r="K44" s="512"/>
      <c r="L44" s="513"/>
      <c r="M44" s="56"/>
    </row>
    <row r="45" spans="1:16">
      <c r="A45" s="425"/>
      <c r="B45" s="426"/>
      <c r="C45" s="426"/>
      <c r="D45" s="426"/>
      <c r="E45" s="426"/>
      <c r="F45" s="426"/>
      <c r="G45" s="426"/>
      <c r="H45" s="427"/>
      <c r="I45" s="239"/>
      <c r="J45" s="240"/>
      <c r="K45" s="512"/>
      <c r="L45" s="513"/>
      <c r="M45" s="56"/>
    </row>
    <row r="46" spans="1:16">
      <c r="A46" s="425"/>
      <c r="B46" s="426"/>
      <c r="C46" s="426"/>
      <c r="D46" s="426"/>
      <c r="E46" s="426"/>
      <c r="F46" s="426"/>
      <c r="G46" s="426"/>
      <c r="H46" s="427"/>
      <c r="I46" s="239"/>
      <c r="J46" s="240"/>
      <c r="K46" s="512"/>
      <c r="L46" s="513"/>
      <c r="M46" s="56"/>
    </row>
    <row r="47" spans="1:16">
      <c r="A47" s="425"/>
      <c r="B47" s="426"/>
      <c r="C47" s="426"/>
      <c r="D47" s="426"/>
      <c r="E47" s="426"/>
      <c r="F47" s="426"/>
      <c r="G47" s="426"/>
      <c r="H47" s="427"/>
      <c r="I47" s="239"/>
      <c r="J47" s="240"/>
      <c r="K47" s="512"/>
      <c r="L47" s="513"/>
      <c r="M47" s="56"/>
    </row>
    <row r="48" spans="1:16" ht="15.75" thickBot="1">
      <c r="A48" s="410"/>
      <c r="B48" s="411"/>
      <c r="C48" s="411"/>
      <c r="D48" s="411"/>
      <c r="E48" s="411"/>
      <c r="F48" s="411"/>
      <c r="G48" s="411"/>
      <c r="H48" s="412"/>
      <c r="I48" s="95"/>
      <c r="J48" s="241"/>
      <c r="K48" s="514"/>
      <c r="L48" s="515"/>
      <c r="M48" s="56"/>
    </row>
    <row r="49" spans="1:13" ht="15.75" thickBot="1">
      <c r="A49" s="416" t="s">
        <v>87</v>
      </c>
      <c r="B49" s="417"/>
      <c r="C49" s="417"/>
      <c r="D49" s="417"/>
      <c r="E49" s="417"/>
      <c r="F49" s="417"/>
      <c r="G49" s="417"/>
      <c r="H49" s="417"/>
      <c r="I49" s="417"/>
      <c r="J49" s="417"/>
      <c r="K49" s="417"/>
      <c r="L49" s="418"/>
      <c r="M49" s="58">
        <f>SUM(M39:M48)</f>
        <v>79900</v>
      </c>
    </row>
    <row r="50" spans="1:13">
      <c r="A50" s="30"/>
      <c r="B50" s="19"/>
      <c r="C50" s="19"/>
      <c r="D50" s="19"/>
      <c r="E50" s="19"/>
      <c r="F50" s="19"/>
      <c r="G50" s="19"/>
      <c r="H50" s="19"/>
      <c r="I50" s="19"/>
      <c r="J50" s="19"/>
      <c r="K50" s="19"/>
      <c r="L50" s="19"/>
      <c r="M50" s="24"/>
    </row>
    <row r="51" spans="1:13">
      <c r="A51" s="51" t="s">
        <v>90</v>
      </c>
      <c r="B51" s="52"/>
      <c r="C51" s="52"/>
      <c r="D51" s="52"/>
      <c r="E51" s="52"/>
      <c r="F51" s="52"/>
      <c r="G51" s="52"/>
      <c r="H51" s="52"/>
      <c r="I51" s="52"/>
      <c r="J51" s="52"/>
      <c r="K51" s="52"/>
      <c r="L51" s="52"/>
      <c r="M51" s="53"/>
    </row>
    <row r="52" spans="1:13" ht="15.75" thickBot="1">
      <c r="A52" s="30"/>
      <c r="B52" s="19"/>
      <c r="C52" s="19"/>
      <c r="D52" s="19"/>
      <c r="E52" s="19"/>
      <c r="F52" s="19"/>
      <c r="G52" s="19"/>
      <c r="H52" s="19"/>
      <c r="I52" s="19"/>
      <c r="J52" s="19"/>
      <c r="K52" s="19"/>
      <c r="L52" s="19"/>
      <c r="M52" s="24"/>
    </row>
    <row r="53" spans="1:13">
      <c r="A53" s="408" t="s">
        <v>91</v>
      </c>
      <c r="B53" s="431"/>
      <c r="C53" s="431"/>
      <c r="D53" s="431"/>
      <c r="E53" s="431"/>
      <c r="F53" s="431"/>
      <c r="G53" s="431"/>
      <c r="H53" s="221" t="s">
        <v>92</v>
      </c>
      <c r="I53" s="218" t="s">
        <v>93</v>
      </c>
      <c r="J53" s="60" t="s">
        <v>94</v>
      </c>
      <c r="K53" s="421" t="s">
        <v>95</v>
      </c>
      <c r="L53" s="424"/>
      <c r="M53" s="44" t="s">
        <v>85</v>
      </c>
    </row>
    <row r="54" spans="1:13">
      <c r="A54" s="425"/>
      <c r="B54" s="426"/>
      <c r="C54" s="426"/>
      <c r="D54" s="426"/>
      <c r="E54" s="426"/>
      <c r="F54" s="426"/>
      <c r="G54" s="426"/>
      <c r="H54" s="61"/>
      <c r="I54" s="55"/>
      <c r="J54" s="61"/>
      <c r="K54" s="428"/>
      <c r="L54" s="429"/>
    </row>
    <row r="55" spans="1:13" ht="15.75" thickBot="1">
      <c r="A55" s="410"/>
      <c r="B55" s="411"/>
      <c r="C55" s="411"/>
      <c r="D55" s="411"/>
      <c r="E55" s="411"/>
      <c r="F55" s="411"/>
      <c r="G55" s="411"/>
      <c r="H55" s="47"/>
      <c r="I55" s="15"/>
      <c r="J55" s="47"/>
      <c r="K55" s="414"/>
      <c r="L55" s="415"/>
      <c r="M55" s="62"/>
    </row>
    <row r="56" spans="1:13" ht="15.75" thickBot="1">
      <c r="A56" s="416" t="s">
        <v>87</v>
      </c>
      <c r="B56" s="417"/>
      <c r="C56" s="417"/>
      <c r="D56" s="417"/>
      <c r="E56" s="417"/>
      <c r="F56" s="417"/>
      <c r="G56" s="417"/>
      <c r="H56" s="417"/>
      <c r="I56" s="417"/>
      <c r="J56" s="417"/>
      <c r="K56" s="417"/>
      <c r="L56" s="418"/>
      <c r="M56" s="63">
        <f>SUM(M55:M55)</f>
        <v>0</v>
      </c>
    </row>
    <row r="57" spans="1:13">
      <c r="A57" s="30"/>
      <c r="B57" s="19"/>
      <c r="C57" s="19"/>
      <c r="D57" s="19"/>
      <c r="E57" s="19"/>
      <c r="F57" s="19"/>
      <c r="G57" s="19"/>
      <c r="H57" s="19"/>
      <c r="I57" s="19"/>
      <c r="J57" s="19"/>
      <c r="K57" s="19"/>
      <c r="L57" s="19"/>
      <c r="M57" s="24"/>
    </row>
    <row r="58" spans="1:13">
      <c r="A58" s="51" t="s">
        <v>96</v>
      </c>
      <c r="B58" s="52"/>
      <c r="C58" s="52"/>
      <c r="D58" s="52"/>
      <c r="E58" s="52"/>
      <c r="F58" s="52"/>
      <c r="G58" s="52"/>
      <c r="H58" s="52"/>
      <c r="I58" s="52"/>
      <c r="J58" s="52"/>
      <c r="K58" s="52"/>
      <c r="L58" s="52"/>
      <c r="M58" s="53"/>
    </row>
    <row r="59" spans="1:13" ht="15.75" thickBot="1">
      <c r="A59" s="30"/>
      <c r="B59" s="19"/>
      <c r="C59" s="19"/>
      <c r="D59" s="19"/>
      <c r="E59" s="19"/>
      <c r="F59" s="19"/>
      <c r="G59" s="19"/>
      <c r="H59" s="19"/>
      <c r="I59" s="19"/>
      <c r="J59" s="19"/>
      <c r="K59" s="19"/>
      <c r="L59" s="19"/>
      <c r="M59" s="24"/>
    </row>
    <row r="60" spans="1:13" ht="26.25">
      <c r="A60" s="453" t="s">
        <v>97</v>
      </c>
      <c r="B60" s="454"/>
      <c r="C60" s="454"/>
      <c r="D60" s="454"/>
      <c r="E60" s="454"/>
      <c r="F60" s="454"/>
      <c r="G60" s="454"/>
      <c r="H60" s="221" t="s">
        <v>98</v>
      </c>
      <c r="I60" s="222" t="s">
        <v>99</v>
      </c>
      <c r="J60" s="222" t="s">
        <v>100</v>
      </c>
      <c r="K60" s="455" t="s">
        <v>84</v>
      </c>
      <c r="L60" s="455"/>
      <c r="M60" s="65" t="s">
        <v>85</v>
      </c>
    </row>
    <row r="61" spans="1:13">
      <c r="A61" s="471" t="s">
        <v>243</v>
      </c>
      <c r="B61" s="472"/>
      <c r="C61" s="472"/>
      <c r="D61" s="472"/>
      <c r="E61" s="472"/>
      <c r="F61" s="472"/>
      <c r="G61" s="472"/>
      <c r="H61" s="1">
        <v>109738.14166566246</v>
      </c>
      <c r="I61" s="2">
        <v>2.2000000000000002</v>
      </c>
      <c r="J61" s="66">
        <f>(I61*H61)</f>
        <v>241423.91166445744</v>
      </c>
      <c r="K61" s="483">
        <v>30</v>
      </c>
      <c r="L61" s="483"/>
      <c r="M61" s="56">
        <f>J61/K61</f>
        <v>8047.4637221485809</v>
      </c>
    </row>
    <row r="62" spans="1:13">
      <c r="A62" s="471"/>
      <c r="B62" s="472"/>
      <c r="C62" s="472"/>
      <c r="D62" s="472"/>
      <c r="E62" s="472"/>
      <c r="F62" s="472"/>
      <c r="G62" s="472"/>
      <c r="H62" s="1"/>
      <c r="I62" s="2"/>
      <c r="J62" s="66"/>
      <c r="K62" s="473"/>
      <c r="L62" s="473"/>
      <c r="M62" s="56"/>
    </row>
    <row r="63" spans="1:13" ht="15.75" thickBot="1">
      <c r="A63" s="432"/>
      <c r="B63" s="433"/>
      <c r="C63" s="433"/>
      <c r="D63" s="433"/>
      <c r="E63" s="433"/>
      <c r="F63" s="433"/>
      <c r="G63" s="433"/>
      <c r="H63" s="3"/>
      <c r="I63" s="4"/>
      <c r="J63" s="67"/>
      <c r="K63" s="434"/>
      <c r="L63" s="434"/>
      <c r="M63" s="68"/>
    </row>
    <row r="64" spans="1:13" ht="15.75" thickBot="1">
      <c r="A64" s="435" t="s">
        <v>87</v>
      </c>
      <c r="B64" s="436"/>
      <c r="C64" s="436"/>
      <c r="D64" s="436"/>
      <c r="E64" s="436"/>
      <c r="F64" s="436"/>
      <c r="G64" s="436"/>
      <c r="H64" s="436"/>
      <c r="I64" s="436"/>
      <c r="J64" s="436"/>
      <c r="K64" s="436"/>
      <c r="L64" s="437"/>
      <c r="M64" s="69">
        <f>SUM(M61:M63)</f>
        <v>8047.4637221485809</v>
      </c>
    </row>
    <row r="65" spans="1:13" ht="15.75" thickBot="1">
      <c r="A65" s="30"/>
      <c r="B65" s="19"/>
      <c r="C65" s="19"/>
      <c r="D65" s="19"/>
      <c r="E65" s="19"/>
      <c r="F65" s="19"/>
      <c r="G65" s="19"/>
      <c r="H65" s="19"/>
      <c r="I65" s="19"/>
      <c r="J65" s="19"/>
      <c r="K65" s="19"/>
      <c r="L65" s="19"/>
      <c r="M65" s="24"/>
    </row>
    <row r="66" spans="1:13" ht="15.75" thickBot="1">
      <c r="A66" s="416" t="s">
        <v>101</v>
      </c>
      <c r="B66" s="417"/>
      <c r="C66" s="417"/>
      <c r="D66" s="417"/>
      <c r="E66" s="417"/>
      <c r="F66" s="417"/>
      <c r="G66" s="417"/>
      <c r="H66" s="417"/>
      <c r="I66" s="417"/>
      <c r="J66" s="417"/>
      <c r="K66" s="417"/>
      <c r="L66" s="418"/>
      <c r="M66" s="70">
        <f>ROUND(M64+M56+M49+M34,0)</f>
        <v>87947</v>
      </c>
    </row>
    <row r="67" spans="1:13">
      <c r="A67" s="30"/>
      <c r="B67" s="19"/>
      <c r="C67" s="19"/>
      <c r="D67" s="19"/>
      <c r="E67" s="19"/>
      <c r="F67" s="19"/>
      <c r="G67" s="19"/>
      <c r="H67" s="19"/>
      <c r="I67" s="19"/>
      <c r="J67" s="19"/>
      <c r="K67" s="19"/>
      <c r="L67" s="19"/>
      <c r="M67" s="24"/>
    </row>
    <row r="68" spans="1:13">
      <c r="A68" s="51" t="s">
        <v>102</v>
      </c>
      <c r="B68" s="52"/>
      <c r="C68" s="52"/>
      <c r="D68" s="52"/>
      <c r="E68" s="52"/>
      <c r="F68" s="52"/>
      <c r="G68" s="52"/>
      <c r="H68" s="52"/>
      <c r="I68" s="52"/>
      <c r="J68" s="52"/>
      <c r="K68" s="52"/>
      <c r="L68" s="52"/>
      <c r="M68" s="53"/>
    </row>
    <row r="69" spans="1:13" ht="15.75" thickBot="1">
      <c r="A69" s="30"/>
      <c r="B69" s="19"/>
      <c r="C69" s="19"/>
      <c r="D69" s="19"/>
      <c r="E69" s="19"/>
      <c r="F69" s="19"/>
      <c r="G69" s="19"/>
      <c r="H69" s="19"/>
      <c r="I69" s="19"/>
      <c r="J69" s="19"/>
      <c r="K69" s="19"/>
      <c r="L69" s="19"/>
      <c r="M69" s="24"/>
    </row>
    <row r="70" spans="1:13" ht="15.75" thickBot="1">
      <c r="A70" s="438" t="s">
        <v>103</v>
      </c>
      <c r="B70" s="439"/>
      <c r="C70" s="439"/>
      <c r="D70" s="439"/>
      <c r="E70" s="439"/>
      <c r="F70" s="439"/>
      <c r="G70" s="439"/>
      <c r="H70" s="219"/>
      <c r="I70" s="220"/>
      <c r="J70" s="81" t="s">
        <v>104</v>
      </c>
      <c r="K70" s="440" t="s">
        <v>105</v>
      </c>
      <c r="L70" s="441"/>
      <c r="M70" s="82"/>
    </row>
    <row r="71" spans="1:13">
      <c r="A71" s="442" t="s">
        <v>106</v>
      </c>
      <c r="B71" s="443"/>
      <c r="C71" s="443"/>
      <c r="D71" s="443"/>
      <c r="E71" s="443"/>
      <c r="F71" s="443"/>
      <c r="G71" s="443"/>
      <c r="H71" s="83"/>
      <c r="I71" s="84"/>
      <c r="J71" s="85">
        <v>0.19</v>
      </c>
      <c r="K71" s="444">
        <f>M66*J71</f>
        <v>16709.93</v>
      </c>
      <c r="L71" s="444"/>
      <c r="M71" s="86"/>
    </row>
    <row r="72" spans="1:13">
      <c r="A72" s="447" t="s">
        <v>107</v>
      </c>
      <c r="B72" s="448"/>
      <c r="C72" s="448"/>
      <c r="D72" s="448"/>
      <c r="E72" s="448"/>
      <c r="F72" s="448"/>
      <c r="G72" s="449"/>
      <c r="H72" s="77"/>
      <c r="I72" s="78"/>
      <c r="J72" s="5">
        <v>0.01</v>
      </c>
      <c r="K72" s="445">
        <f>M66*J72</f>
        <v>879.47</v>
      </c>
      <c r="L72" s="445"/>
      <c r="M72" s="6"/>
    </row>
    <row r="73" spans="1:13">
      <c r="A73" s="447" t="s">
        <v>108</v>
      </c>
      <c r="B73" s="448"/>
      <c r="C73" s="448"/>
      <c r="D73" s="448"/>
      <c r="E73" s="448"/>
      <c r="F73" s="448"/>
      <c r="G73" s="449"/>
      <c r="H73" s="77"/>
      <c r="I73" s="78"/>
      <c r="J73" s="5">
        <v>0.05</v>
      </c>
      <c r="K73" s="445">
        <f>M66*J73</f>
        <v>4397.3500000000004</v>
      </c>
      <c r="L73" s="445"/>
      <c r="M73" s="6"/>
    </row>
    <row r="74" spans="1:13" ht="15.75" thickBot="1">
      <c r="A74" s="450" t="s">
        <v>117</v>
      </c>
      <c r="B74" s="451"/>
      <c r="C74" s="451"/>
      <c r="D74" s="451"/>
      <c r="E74" s="451"/>
      <c r="F74" s="451"/>
      <c r="G74" s="452"/>
      <c r="H74" s="87"/>
      <c r="I74" s="88"/>
      <c r="J74" s="89">
        <v>0.19</v>
      </c>
      <c r="K74" s="446">
        <f>K73*J74</f>
        <v>835.49650000000008</v>
      </c>
      <c r="L74" s="446"/>
      <c r="M74" s="90"/>
    </row>
    <row r="75" spans="1:13" ht="15.75" thickBot="1">
      <c r="A75" s="435" t="s">
        <v>87</v>
      </c>
      <c r="B75" s="436"/>
      <c r="C75" s="436"/>
      <c r="D75" s="436"/>
      <c r="E75" s="436"/>
      <c r="F75" s="436"/>
      <c r="G75" s="436"/>
      <c r="H75" s="436"/>
      <c r="I75" s="436"/>
      <c r="J75" s="436"/>
      <c r="K75" s="436"/>
      <c r="L75" s="437"/>
      <c r="M75" s="76">
        <f>SUM(K71:L74)</f>
        <v>22822.246500000001</v>
      </c>
    </row>
    <row r="76" spans="1:13" ht="15.75" thickBot="1">
      <c r="A76" s="30"/>
      <c r="B76" s="19"/>
      <c r="C76" s="19"/>
      <c r="D76" s="19"/>
      <c r="E76" s="19"/>
      <c r="F76" s="19"/>
      <c r="G76" s="19"/>
      <c r="H76" s="19"/>
      <c r="I76" s="19"/>
      <c r="J76" s="19"/>
      <c r="K76" s="19"/>
      <c r="L76" s="19"/>
      <c r="M76" s="24"/>
    </row>
    <row r="77" spans="1:13" ht="15.75" thickBot="1">
      <c r="A77" s="416" t="s">
        <v>109</v>
      </c>
      <c r="B77" s="417"/>
      <c r="C77" s="417"/>
      <c r="D77" s="417"/>
      <c r="E77" s="417"/>
      <c r="F77" s="417"/>
      <c r="G77" s="417"/>
      <c r="H77" s="417"/>
      <c r="I77" s="417"/>
      <c r="J77" s="417"/>
      <c r="K77" s="417"/>
      <c r="L77" s="418"/>
      <c r="M77" s="71">
        <f>ROUND(M66+M75,0)</f>
        <v>110769</v>
      </c>
    </row>
  </sheetData>
  <mergeCells count="90">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H47"/>
    <mergeCell ref="K47:L47"/>
    <mergeCell ref="A48:H48"/>
    <mergeCell ref="K48:L48"/>
    <mergeCell ref="A49:L49"/>
    <mergeCell ref="A53:G53"/>
    <mergeCell ref="K53:L53"/>
    <mergeCell ref="A54:G54"/>
    <mergeCell ref="K54:L54"/>
    <mergeCell ref="A55:G55"/>
    <mergeCell ref="K55:L55"/>
    <mergeCell ref="A56:L56"/>
    <mergeCell ref="A61:G61"/>
    <mergeCell ref="K61:L61"/>
    <mergeCell ref="A62:G62"/>
    <mergeCell ref="K62:L62"/>
    <mergeCell ref="A63:G63"/>
    <mergeCell ref="K63:L63"/>
    <mergeCell ref="A64:L64"/>
    <mergeCell ref="A66:L66"/>
    <mergeCell ref="A70:G70"/>
    <mergeCell ref="K70:L70"/>
    <mergeCell ref="A71:G71"/>
    <mergeCell ref="K71:L71"/>
    <mergeCell ref="A75:L75"/>
    <mergeCell ref="A77:L77"/>
    <mergeCell ref="A72:G72"/>
    <mergeCell ref="K72:L72"/>
    <mergeCell ref="A73:G73"/>
    <mergeCell ref="K73:L73"/>
    <mergeCell ref="A74:G74"/>
    <mergeCell ref="K74:L74"/>
  </mergeCells>
  <pageMargins left="0.7" right="0.7" top="0.75" bottom="0.75" header="0.3" footer="0.3"/>
  <pageSetup scale="56"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view="pageBreakPreview" topLeftCell="A49" zoomScale="80" zoomScaleNormal="100" zoomScaleSheetLayoutView="80" workbookViewId="0">
      <selection activeCell="M66" sqref="M66"/>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9">
      <c r="A17" s="25"/>
      <c r="B17" s="26"/>
      <c r="C17" s="224"/>
      <c r="D17" s="224"/>
      <c r="E17" s="224"/>
      <c r="F17" s="224"/>
      <c r="G17" s="224"/>
      <c r="H17" s="224"/>
      <c r="I17" s="224"/>
      <c r="J17" s="224"/>
      <c r="K17" s="224"/>
      <c r="L17" s="224"/>
      <c r="M17" s="13"/>
    </row>
    <row r="18" spans="1:19">
      <c r="A18" s="25" t="s">
        <v>74</v>
      </c>
      <c r="B18" s="26"/>
      <c r="C18" s="379"/>
      <c r="D18" s="379"/>
      <c r="E18" s="379"/>
      <c r="F18" s="379"/>
      <c r="G18" s="379"/>
      <c r="H18" s="379"/>
      <c r="I18" s="379"/>
      <c r="J18" s="379"/>
      <c r="K18" s="379"/>
      <c r="L18" s="379"/>
      <c r="M18" s="380"/>
    </row>
    <row r="19" spans="1:19">
      <c r="A19" s="25"/>
      <c r="B19" s="26"/>
      <c r="C19" s="224"/>
      <c r="D19" s="224"/>
      <c r="E19" s="224"/>
      <c r="F19" s="224"/>
      <c r="G19" s="224"/>
      <c r="H19" s="224"/>
      <c r="I19" s="224"/>
      <c r="J19" s="224"/>
      <c r="K19" s="224"/>
      <c r="L19" s="224"/>
      <c r="M19" s="13"/>
    </row>
    <row r="20" spans="1:19" ht="31.5" customHeight="1">
      <c r="A20" s="464" t="s">
        <v>113</v>
      </c>
      <c r="B20" s="465"/>
      <c r="C20" s="379"/>
      <c r="D20" s="379"/>
      <c r="E20" s="379"/>
      <c r="F20" s="379"/>
      <c r="G20" s="379"/>
      <c r="H20" s="379"/>
      <c r="I20" s="379"/>
      <c r="J20" s="379"/>
      <c r="K20" s="379"/>
      <c r="L20" s="379"/>
      <c r="M20" s="380"/>
    </row>
    <row r="21" spans="1:19">
      <c r="A21" s="400"/>
      <c r="B21" s="401"/>
      <c r="C21" s="224"/>
      <c r="D21" s="224"/>
      <c r="E21" s="224"/>
      <c r="F21" s="224"/>
      <c r="G21" s="224"/>
      <c r="H21" s="224"/>
      <c r="I21" s="224"/>
      <c r="J21" s="224"/>
      <c r="K21" s="224"/>
      <c r="L21" s="22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216" t="s">
        <v>78</v>
      </c>
      <c r="K25" s="408" t="s">
        <v>79</v>
      </c>
      <c r="L25" s="409"/>
      <c r="M25" s="31" t="s">
        <v>80</v>
      </c>
    </row>
    <row r="26" spans="1:19" ht="15.75" thickBot="1">
      <c r="A26" s="33"/>
      <c r="B26" s="391" t="s">
        <v>265</v>
      </c>
      <c r="C26" s="392"/>
      <c r="D26" s="392"/>
      <c r="E26" s="392"/>
      <c r="F26" s="392"/>
      <c r="G26" s="392"/>
      <c r="H26" s="392"/>
      <c r="I26" s="393"/>
      <c r="J26" s="215">
        <v>1</v>
      </c>
      <c r="K26" s="391" t="s">
        <v>115</v>
      </c>
      <c r="L26" s="393"/>
      <c r="M26" s="35"/>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221" t="s">
        <v>83</v>
      </c>
      <c r="K30" s="421" t="s">
        <v>84</v>
      </c>
      <c r="L30" s="424"/>
      <c r="M30" s="44" t="s">
        <v>85</v>
      </c>
    </row>
    <row r="31" spans="1:19" ht="15.75" thickBot="1">
      <c r="A31" s="425"/>
      <c r="B31" s="426"/>
      <c r="C31" s="426"/>
      <c r="D31" s="426"/>
      <c r="E31" s="427"/>
      <c r="F31" s="428"/>
      <c r="G31" s="429"/>
      <c r="H31" s="430"/>
      <c r="I31" s="427"/>
      <c r="J31" s="72"/>
      <c r="K31" s="428"/>
      <c r="L31" s="429"/>
      <c r="M31" s="231"/>
      <c r="N31" s="489"/>
      <c r="O31" s="490"/>
      <c r="P31" s="95"/>
      <c r="Q31" s="96"/>
      <c r="R31" s="97"/>
      <c r="S31" s="98"/>
    </row>
    <row r="32" spans="1:19">
      <c r="A32" s="425"/>
      <c r="B32" s="426"/>
      <c r="C32" s="426"/>
      <c r="D32" s="426"/>
      <c r="E32" s="427"/>
      <c r="F32" s="428"/>
      <c r="G32" s="429"/>
      <c r="H32" s="430"/>
      <c r="I32" s="427"/>
      <c r="J32" s="72"/>
      <c r="K32" s="428"/>
      <c r="L32" s="429"/>
      <c r="M32" s="46"/>
    </row>
    <row r="33" spans="1:16" ht="15.75" thickBot="1">
      <c r="A33" s="410"/>
      <c r="B33" s="411"/>
      <c r="C33" s="411"/>
      <c r="D33" s="411"/>
      <c r="E33" s="412"/>
      <c r="F33" s="414"/>
      <c r="G33" s="415"/>
      <c r="H33" s="413"/>
      <c r="I33" s="412"/>
      <c r="J33" s="91"/>
      <c r="K33" s="414"/>
      <c r="L33" s="415"/>
      <c r="M33" s="46"/>
    </row>
    <row r="34" spans="1:16" ht="15.75" thickBot="1">
      <c r="A34" s="416" t="s">
        <v>87</v>
      </c>
      <c r="B34" s="417"/>
      <c r="C34" s="417"/>
      <c r="D34" s="417"/>
      <c r="E34" s="417"/>
      <c r="F34" s="417"/>
      <c r="G34" s="417"/>
      <c r="H34" s="417"/>
      <c r="I34" s="417"/>
      <c r="J34" s="417"/>
      <c r="K34" s="417"/>
      <c r="L34" s="418"/>
      <c r="M34" s="232">
        <f>SUM(M31:M33)</f>
        <v>0</v>
      </c>
    </row>
    <row r="35" spans="1:16">
      <c r="A35" s="50"/>
      <c r="B35" s="19"/>
      <c r="C35" s="19"/>
      <c r="D35" s="19"/>
      <c r="E35" s="19"/>
      <c r="F35" s="19"/>
      <c r="G35" s="19"/>
      <c r="H35" s="19"/>
      <c r="I35" s="19"/>
      <c r="J35" s="19"/>
      <c r="K35" s="19"/>
      <c r="L35" s="19"/>
      <c r="M35" s="24"/>
    </row>
    <row r="36" spans="1:16">
      <c r="A36" s="51" t="s">
        <v>88</v>
      </c>
      <c r="B36" s="52"/>
      <c r="C36" s="52"/>
      <c r="D36" s="52"/>
      <c r="E36" s="52"/>
      <c r="F36" s="52"/>
      <c r="G36" s="52"/>
      <c r="H36" s="52"/>
      <c r="I36" s="52"/>
      <c r="J36" s="52"/>
      <c r="K36" s="52"/>
      <c r="L36" s="52"/>
      <c r="M36" s="53"/>
    </row>
    <row r="37" spans="1:16" ht="15.75" thickBot="1">
      <c r="A37" s="14"/>
      <c r="B37" s="15"/>
      <c r="C37" s="15"/>
      <c r="D37" s="15"/>
      <c r="E37" s="15"/>
      <c r="F37" s="15"/>
      <c r="G37" s="15"/>
      <c r="H37" s="15"/>
      <c r="I37" s="19"/>
      <c r="J37" s="19"/>
      <c r="K37" s="19"/>
      <c r="L37" s="19"/>
      <c r="M37" s="24"/>
    </row>
    <row r="38" spans="1:16">
      <c r="A38" s="408" t="s">
        <v>77</v>
      </c>
      <c r="B38" s="431"/>
      <c r="C38" s="431"/>
      <c r="D38" s="431"/>
      <c r="E38" s="431"/>
      <c r="F38" s="431"/>
      <c r="G38" s="431"/>
      <c r="H38" s="424"/>
      <c r="I38" s="217" t="s">
        <v>79</v>
      </c>
      <c r="J38" s="221" t="s">
        <v>80</v>
      </c>
      <c r="K38" s="421" t="s">
        <v>89</v>
      </c>
      <c r="L38" s="424"/>
      <c r="M38" s="44" t="s">
        <v>85</v>
      </c>
    </row>
    <row r="39" spans="1:16" ht="15" customHeight="1">
      <c r="A39" s="484" t="s">
        <v>180</v>
      </c>
      <c r="B39" s="485"/>
      <c r="C39" s="485"/>
      <c r="D39" s="485"/>
      <c r="E39" s="485"/>
      <c r="F39" s="485"/>
      <c r="G39" s="485"/>
      <c r="H39" s="486"/>
      <c r="I39" s="73" t="s">
        <v>11</v>
      </c>
      <c r="J39" s="92">
        <v>4</v>
      </c>
      <c r="K39" s="487">
        <v>465</v>
      </c>
      <c r="L39" s="488"/>
      <c r="M39" s="56">
        <f>K39*J39</f>
        <v>1860</v>
      </c>
      <c r="O39" s="94"/>
    </row>
    <row r="40" spans="1:16" ht="15" customHeight="1">
      <c r="A40" s="484" t="s">
        <v>266</v>
      </c>
      <c r="B40" s="485"/>
      <c r="C40" s="485"/>
      <c r="D40" s="485"/>
      <c r="E40" s="485"/>
      <c r="F40" s="485"/>
      <c r="G40" s="485"/>
      <c r="H40" s="486"/>
      <c r="I40" s="99" t="s">
        <v>11</v>
      </c>
      <c r="J40" s="93">
        <v>1</v>
      </c>
      <c r="K40" s="487">
        <v>21575</v>
      </c>
      <c r="L40" s="488"/>
      <c r="M40" s="56">
        <f t="shared" ref="M40:M41" si="0">K40*J40</f>
        <v>21575</v>
      </c>
      <c r="P40" s="94"/>
    </row>
    <row r="41" spans="1:16" ht="15" customHeight="1">
      <c r="A41" s="484" t="s">
        <v>267</v>
      </c>
      <c r="B41" s="485"/>
      <c r="C41" s="485"/>
      <c r="D41" s="485"/>
      <c r="E41" s="485"/>
      <c r="F41" s="485"/>
      <c r="G41" s="485"/>
      <c r="H41" s="486"/>
      <c r="I41" s="73" t="s">
        <v>11</v>
      </c>
      <c r="J41" s="93">
        <v>4</v>
      </c>
      <c r="K41" s="487">
        <v>408</v>
      </c>
      <c r="L41" s="488"/>
      <c r="M41" s="56">
        <f t="shared" si="0"/>
        <v>1632</v>
      </c>
    </row>
    <row r="42" spans="1:16">
      <c r="A42" s="425"/>
      <c r="B42" s="426"/>
      <c r="C42" s="426"/>
      <c r="D42" s="426"/>
      <c r="E42" s="426"/>
      <c r="F42" s="426"/>
      <c r="G42" s="426"/>
      <c r="H42" s="427"/>
      <c r="I42" s="73"/>
      <c r="J42" s="225"/>
      <c r="K42" s="456"/>
      <c r="L42" s="457"/>
      <c r="M42" s="56"/>
    </row>
    <row r="43" spans="1:16">
      <c r="A43" s="425"/>
      <c r="B43" s="426"/>
      <c r="C43" s="426"/>
      <c r="D43" s="426"/>
      <c r="E43" s="426"/>
      <c r="F43" s="426"/>
      <c r="G43" s="426"/>
      <c r="H43" s="427"/>
      <c r="I43" s="73"/>
      <c r="J43" s="225"/>
      <c r="K43" s="456"/>
      <c r="L43" s="457"/>
      <c r="M43" s="56"/>
    </row>
    <row r="44" spans="1:16">
      <c r="A44" s="425"/>
      <c r="B44" s="426"/>
      <c r="C44" s="426"/>
      <c r="D44" s="426"/>
      <c r="E44" s="426"/>
      <c r="F44" s="426"/>
      <c r="G44" s="426"/>
      <c r="H44" s="427"/>
      <c r="I44" s="73"/>
      <c r="J44" s="225"/>
      <c r="K44" s="456"/>
      <c r="L44" s="457"/>
      <c r="M44" s="56"/>
    </row>
    <row r="45" spans="1:16">
      <c r="A45" s="425"/>
      <c r="B45" s="426"/>
      <c r="C45" s="426"/>
      <c r="D45" s="426"/>
      <c r="E45" s="426"/>
      <c r="F45" s="426"/>
      <c r="G45" s="426"/>
      <c r="H45" s="427"/>
      <c r="I45" s="73"/>
      <c r="J45" s="225"/>
      <c r="K45" s="456"/>
      <c r="L45" s="457"/>
      <c r="M45" s="56"/>
    </row>
    <row r="46" spans="1:16">
      <c r="A46" s="425"/>
      <c r="B46" s="426"/>
      <c r="C46" s="426"/>
      <c r="D46" s="426"/>
      <c r="E46" s="426"/>
      <c r="F46" s="426"/>
      <c r="G46" s="426"/>
      <c r="H46" s="427"/>
      <c r="I46" s="73"/>
      <c r="J46" s="225"/>
      <c r="K46" s="456"/>
      <c r="L46" s="457"/>
      <c r="M46" s="56"/>
    </row>
    <row r="47" spans="1:16" ht="15.75" thickBot="1">
      <c r="A47" s="410"/>
      <c r="B47" s="411"/>
      <c r="C47" s="411"/>
      <c r="D47" s="411"/>
      <c r="E47" s="411"/>
      <c r="F47" s="411"/>
      <c r="G47" s="411"/>
      <c r="H47" s="412"/>
      <c r="I47" s="74"/>
      <c r="J47" s="211"/>
      <c r="K47" s="466"/>
      <c r="L47" s="467"/>
      <c r="M47" s="75"/>
    </row>
    <row r="48" spans="1:16" ht="15.75" thickBot="1">
      <c r="A48" s="416" t="s">
        <v>87</v>
      </c>
      <c r="B48" s="417"/>
      <c r="C48" s="417"/>
      <c r="D48" s="417"/>
      <c r="E48" s="417"/>
      <c r="F48" s="417"/>
      <c r="G48" s="417"/>
      <c r="H48" s="417"/>
      <c r="I48" s="417"/>
      <c r="J48" s="417"/>
      <c r="K48" s="417"/>
      <c r="L48" s="418"/>
      <c r="M48" s="58">
        <f>SUM(M39:M47)*1.0562</f>
        <v>26475.7654</v>
      </c>
    </row>
    <row r="49" spans="1:13">
      <c r="A49" s="30"/>
      <c r="B49" s="19"/>
      <c r="C49" s="19"/>
      <c r="D49" s="19"/>
      <c r="E49" s="19"/>
      <c r="F49" s="19"/>
      <c r="G49" s="19"/>
      <c r="H49" s="19"/>
      <c r="I49" s="19"/>
      <c r="J49" s="19"/>
      <c r="K49" s="19"/>
      <c r="L49" s="19"/>
      <c r="M49" s="24"/>
    </row>
    <row r="50" spans="1:13">
      <c r="A50" s="51" t="s">
        <v>90</v>
      </c>
      <c r="B50" s="52"/>
      <c r="C50" s="52"/>
      <c r="D50" s="52"/>
      <c r="E50" s="52"/>
      <c r="F50" s="52"/>
      <c r="G50" s="52"/>
      <c r="H50" s="52"/>
      <c r="I50" s="52"/>
      <c r="J50" s="52"/>
      <c r="K50" s="52"/>
      <c r="L50" s="52"/>
      <c r="M50" s="53"/>
    </row>
    <row r="51" spans="1:13" ht="15.75" thickBot="1">
      <c r="A51" s="30"/>
      <c r="B51" s="19"/>
      <c r="C51" s="19"/>
      <c r="D51" s="19"/>
      <c r="E51" s="19"/>
      <c r="F51" s="19"/>
      <c r="G51" s="19"/>
      <c r="H51" s="19"/>
      <c r="I51" s="19"/>
      <c r="J51" s="19"/>
      <c r="K51" s="19"/>
      <c r="L51" s="19"/>
      <c r="M51" s="24"/>
    </row>
    <row r="52" spans="1:13">
      <c r="A52" s="408" t="s">
        <v>91</v>
      </c>
      <c r="B52" s="431"/>
      <c r="C52" s="431"/>
      <c r="D52" s="431"/>
      <c r="E52" s="431"/>
      <c r="F52" s="431"/>
      <c r="G52" s="431"/>
      <c r="H52" s="221" t="s">
        <v>92</v>
      </c>
      <c r="I52" s="218" t="s">
        <v>93</v>
      </c>
      <c r="J52" s="60" t="s">
        <v>94</v>
      </c>
      <c r="K52" s="421" t="s">
        <v>95</v>
      </c>
      <c r="L52" s="424"/>
      <c r="M52" s="44" t="s">
        <v>85</v>
      </c>
    </row>
    <row r="53" spans="1:13">
      <c r="A53" s="425"/>
      <c r="B53" s="426"/>
      <c r="C53" s="426"/>
      <c r="D53" s="426"/>
      <c r="E53" s="426"/>
      <c r="F53" s="426"/>
      <c r="G53" s="426"/>
      <c r="H53" s="61"/>
      <c r="I53" s="55"/>
      <c r="J53" s="61"/>
      <c r="K53" s="428"/>
      <c r="L53" s="429"/>
    </row>
    <row r="54" spans="1:13" ht="15.75" thickBot="1">
      <c r="A54" s="410"/>
      <c r="B54" s="411"/>
      <c r="C54" s="411"/>
      <c r="D54" s="411"/>
      <c r="E54" s="411"/>
      <c r="F54" s="411"/>
      <c r="G54" s="411"/>
      <c r="H54" s="47"/>
      <c r="I54" s="15"/>
      <c r="J54" s="47"/>
      <c r="K54" s="414"/>
      <c r="L54" s="415"/>
      <c r="M54" s="62"/>
    </row>
    <row r="55" spans="1:13" ht="15.75" thickBot="1">
      <c r="A55" s="416" t="s">
        <v>87</v>
      </c>
      <c r="B55" s="417"/>
      <c r="C55" s="417"/>
      <c r="D55" s="417"/>
      <c r="E55" s="417"/>
      <c r="F55" s="417"/>
      <c r="G55" s="417"/>
      <c r="H55" s="417"/>
      <c r="I55" s="417"/>
      <c r="J55" s="417"/>
      <c r="K55" s="417"/>
      <c r="L55" s="418"/>
      <c r="M55" s="63">
        <f>SUM(M54:M54)</f>
        <v>0</v>
      </c>
    </row>
    <row r="56" spans="1:13">
      <c r="A56" s="30"/>
      <c r="B56" s="19"/>
      <c r="C56" s="19"/>
      <c r="D56" s="19"/>
      <c r="E56" s="19"/>
      <c r="F56" s="19"/>
      <c r="G56" s="19"/>
      <c r="H56" s="19"/>
      <c r="I56" s="19"/>
      <c r="J56" s="19"/>
      <c r="K56" s="19"/>
      <c r="L56" s="19"/>
      <c r="M56" s="24"/>
    </row>
    <row r="57" spans="1:13">
      <c r="A57" s="51" t="s">
        <v>96</v>
      </c>
      <c r="B57" s="52"/>
      <c r="C57" s="52"/>
      <c r="D57" s="52"/>
      <c r="E57" s="52"/>
      <c r="F57" s="52"/>
      <c r="G57" s="52"/>
      <c r="H57" s="52"/>
      <c r="I57" s="52"/>
      <c r="J57" s="52"/>
      <c r="K57" s="52"/>
      <c r="L57" s="52"/>
      <c r="M57" s="53"/>
    </row>
    <row r="58" spans="1:13" ht="15.75" thickBot="1">
      <c r="A58" s="30"/>
      <c r="B58" s="19"/>
      <c r="C58" s="19"/>
      <c r="D58" s="19"/>
      <c r="E58" s="19"/>
      <c r="F58" s="19"/>
      <c r="G58" s="19"/>
      <c r="H58" s="19"/>
      <c r="I58" s="19"/>
      <c r="J58" s="19"/>
      <c r="K58" s="19"/>
      <c r="L58" s="19"/>
      <c r="M58" s="24"/>
    </row>
    <row r="59" spans="1:13" ht="26.25">
      <c r="A59" s="453" t="s">
        <v>97</v>
      </c>
      <c r="B59" s="454"/>
      <c r="C59" s="454"/>
      <c r="D59" s="454"/>
      <c r="E59" s="454"/>
      <c r="F59" s="454"/>
      <c r="G59" s="454"/>
      <c r="H59" s="221" t="s">
        <v>98</v>
      </c>
      <c r="I59" s="222" t="s">
        <v>99</v>
      </c>
      <c r="J59" s="222" t="s">
        <v>100</v>
      </c>
      <c r="K59" s="455" t="s">
        <v>84</v>
      </c>
      <c r="L59" s="455"/>
      <c r="M59" s="65" t="s">
        <v>85</v>
      </c>
    </row>
    <row r="60" spans="1:13">
      <c r="A60" s="471" t="s">
        <v>243</v>
      </c>
      <c r="B60" s="472"/>
      <c r="C60" s="472"/>
      <c r="D60" s="472"/>
      <c r="E60" s="472"/>
      <c r="F60" s="472"/>
      <c r="G60" s="472"/>
      <c r="H60" s="1">
        <v>109738.14166566246</v>
      </c>
      <c r="I60" s="2">
        <v>2.2000000000000002</v>
      </c>
      <c r="J60" s="66">
        <f>(I60*H60)</f>
        <v>241423.91166445744</v>
      </c>
      <c r="K60" s="473">
        <v>9.8270690838959815</v>
      </c>
      <c r="L60" s="473"/>
      <c r="M60" s="56">
        <f>J60/K60</f>
        <v>24567.234605085727</v>
      </c>
    </row>
    <row r="61" spans="1:13">
      <c r="A61" s="471"/>
      <c r="B61" s="472"/>
      <c r="C61" s="472"/>
      <c r="D61" s="472"/>
      <c r="E61" s="472"/>
      <c r="F61" s="472"/>
      <c r="G61" s="472"/>
      <c r="H61" s="1"/>
      <c r="I61" s="2"/>
      <c r="J61" s="66"/>
      <c r="K61" s="473"/>
      <c r="L61" s="473"/>
      <c r="M61" s="56"/>
    </row>
    <row r="62" spans="1:13" ht="15.75" thickBot="1">
      <c r="A62" s="432"/>
      <c r="B62" s="433"/>
      <c r="C62" s="433"/>
      <c r="D62" s="433"/>
      <c r="E62" s="433"/>
      <c r="F62" s="433"/>
      <c r="G62" s="433"/>
      <c r="H62" s="3"/>
      <c r="I62" s="4"/>
      <c r="J62" s="67"/>
      <c r="K62" s="434"/>
      <c r="L62" s="434"/>
      <c r="M62" s="68"/>
    </row>
    <row r="63" spans="1:13" ht="15.75" thickBot="1">
      <c r="A63" s="435" t="s">
        <v>87</v>
      </c>
      <c r="B63" s="436"/>
      <c r="C63" s="436"/>
      <c r="D63" s="436"/>
      <c r="E63" s="436"/>
      <c r="F63" s="436"/>
      <c r="G63" s="436"/>
      <c r="H63" s="436"/>
      <c r="I63" s="436"/>
      <c r="J63" s="436"/>
      <c r="K63" s="436"/>
      <c r="L63" s="437"/>
      <c r="M63" s="69">
        <f>SUM(M60:M62)</f>
        <v>24567.234605085727</v>
      </c>
    </row>
    <row r="64" spans="1:13" ht="15.75" thickBot="1">
      <c r="A64" s="30"/>
      <c r="B64" s="19"/>
      <c r="C64" s="19"/>
      <c r="D64" s="19"/>
      <c r="E64" s="19"/>
      <c r="F64" s="19"/>
      <c r="G64" s="19"/>
      <c r="H64" s="19"/>
      <c r="I64" s="19"/>
      <c r="J64" s="19"/>
      <c r="K64" s="19"/>
      <c r="L64" s="19"/>
      <c r="M64" s="24"/>
    </row>
    <row r="65" spans="1:14" ht="15.75" thickBot="1">
      <c r="A65" s="416" t="s">
        <v>101</v>
      </c>
      <c r="B65" s="417"/>
      <c r="C65" s="417"/>
      <c r="D65" s="417"/>
      <c r="E65" s="417"/>
      <c r="F65" s="417"/>
      <c r="G65" s="417"/>
      <c r="H65" s="417"/>
      <c r="I65" s="417"/>
      <c r="J65" s="417"/>
      <c r="K65" s="417"/>
      <c r="L65" s="418"/>
      <c r="M65" s="70">
        <f>ROUND(M63+M55+M48+M34,0)</f>
        <v>51043</v>
      </c>
      <c r="N65" s="155"/>
    </row>
    <row r="66" spans="1:14">
      <c r="A66" s="30"/>
      <c r="B66" s="19"/>
      <c r="C66" s="19"/>
      <c r="D66" s="19"/>
      <c r="E66" s="19"/>
      <c r="F66" s="19"/>
      <c r="G66" s="19"/>
      <c r="H66" s="19"/>
      <c r="I66" s="19"/>
      <c r="J66" s="19"/>
      <c r="K66" s="19"/>
      <c r="L66" s="19"/>
      <c r="M66" s="24"/>
    </row>
    <row r="67" spans="1:14">
      <c r="A67" s="51" t="s">
        <v>102</v>
      </c>
      <c r="B67" s="52"/>
      <c r="C67" s="52"/>
      <c r="D67" s="52"/>
      <c r="E67" s="52"/>
      <c r="F67" s="52"/>
      <c r="G67" s="52"/>
      <c r="H67" s="52"/>
      <c r="I67" s="52"/>
      <c r="J67" s="52"/>
      <c r="K67" s="52"/>
      <c r="L67" s="52"/>
      <c r="M67" s="53"/>
    </row>
    <row r="68" spans="1:14" ht="15.75" thickBot="1">
      <c r="A68" s="30"/>
      <c r="B68" s="19"/>
      <c r="C68" s="19"/>
      <c r="D68" s="19"/>
      <c r="E68" s="19"/>
      <c r="F68" s="19"/>
      <c r="G68" s="19"/>
      <c r="H68" s="19"/>
      <c r="I68" s="19"/>
      <c r="J68" s="19"/>
      <c r="K68" s="19"/>
      <c r="L68" s="19"/>
      <c r="M68" s="24"/>
    </row>
    <row r="69" spans="1:14" ht="15.75" thickBot="1">
      <c r="A69" s="438" t="s">
        <v>103</v>
      </c>
      <c r="B69" s="439"/>
      <c r="C69" s="439"/>
      <c r="D69" s="439"/>
      <c r="E69" s="439"/>
      <c r="F69" s="439"/>
      <c r="G69" s="439"/>
      <c r="H69" s="219"/>
      <c r="I69" s="220"/>
      <c r="J69" s="81" t="s">
        <v>104</v>
      </c>
      <c r="K69" s="440" t="s">
        <v>105</v>
      </c>
      <c r="L69" s="441"/>
      <c r="M69" s="82"/>
    </row>
    <row r="70" spans="1:14">
      <c r="A70" s="442" t="s">
        <v>106</v>
      </c>
      <c r="B70" s="443"/>
      <c r="C70" s="443"/>
      <c r="D70" s="443"/>
      <c r="E70" s="443"/>
      <c r="F70" s="443"/>
      <c r="G70" s="443"/>
      <c r="H70" s="83"/>
      <c r="I70" s="84"/>
      <c r="J70" s="85">
        <v>0.19</v>
      </c>
      <c r="K70" s="444">
        <f>M65*J70</f>
        <v>9698.17</v>
      </c>
      <c r="L70" s="444"/>
      <c r="M70" s="86"/>
    </row>
    <row r="71" spans="1:14">
      <c r="A71" s="447" t="s">
        <v>107</v>
      </c>
      <c r="B71" s="448"/>
      <c r="C71" s="448"/>
      <c r="D71" s="448"/>
      <c r="E71" s="448"/>
      <c r="F71" s="448"/>
      <c r="G71" s="449"/>
      <c r="H71" s="77"/>
      <c r="I71" s="78"/>
      <c r="J71" s="5">
        <v>0.01</v>
      </c>
      <c r="K71" s="445">
        <f>M65*J71</f>
        <v>510.43</v>
      </c>
      <c r="L71" s="445"/>
      <c r="M71" s="6"/>
    </row>
    <row r="72" spans="1:14">
      <c r="A72" s="447" t="s">
        <v>108</v>
      </c>
      <c r="B72" s="448"/>
      <c r="C72" s="448"/>
      <c r="D72" s="448"/>
      <c r="E72" s="448"/>
      <c r="F72" s="448"/>
      <c r="G72" s="449"/>
      <c r="H72" s="77"/>
      <c r="I72" s="78"/>
      <c r="J72" s="5">
        <v>0.05</v>
      </c>
      <c r="K72" s="445">
        <f>M65*J72</f>
        <v>2552.15</v>
      </c>
      <c r="L72" s="445"/>
      <c r="M72" s="6"/>
    </row>
    <row r="73" spans="1:14" ht="15.75" thickBot="1">
      <c r="A73" s="450" t="s">
        <v>117</v>
      </c>
      <c r="B73" s="451"/>
      <c r="C73" s="451"/>
      <c r="D73" s="451"/>
      <c r="E73" s="451"/>
      <c r="F73" s="451"/>
      <c r="G73" s="452"/>
      <c r="H73" s="87"/>
      <c r="I73" s="88"/>
      <c r="J73" s="89">
        <v>0.19</v>
      </c>
      <c r="K73" s="446">
        <f>K72*J73</f>
        <v>484.9085</v>
      </c>
      <c r="L73" s="446"/>
      <c r="M73" s="90"/>
    </row>
    <row r="74" spans="1:14" ht="15.75" thickBot="1">
      <c r="A74" s="435" t="s">
        <v>87</v>
      </c>
      <c r="B74" s="436"/>
      <c r="C74" s="436"/>
      <c r="D74" s="436"/>
      <c r="E74" s="436"/>
      <c r="F74" s="436"/>
      <c r="G74" s="436"/>
      <c r="H74" s="436"/>
      <c r="I74" s="436"/>
      <c r="J74" s="436"/>
      <c r="K74" s="436"/>
      <c r="L74" s="437"/>
      <c r="M74" s="76">
        <f>SUM(K70:L73)</f>
        <v>13245.6585</v>
      </c>
    </row>
    <row r="75" spans="1:14" ht="15.75" thickBot="1">
      <c r="A75" s="30"/>
      <c r="B75" s="19"/>
      <c r="C75" s="19"/>
      <c r="D75" s="19"/>
      <c r="E75" s="19"/>
      <c r="F75" s="19"/>
      <c r="G75" s="19"/>
      <c r="H75" s="19"/>
      <c r="I75" s="19"/>
      <c r="J75" s="19"/>
      <c r="K75" s="19"/>
      <c r="L75" s="19"/>
      <c r="M75" s="24"/>
    </row>
    <row r="76" spans="1:14" ht="15.75" thickBot="1">
      <c r="A76" s="416" t="s">
        <v>109</v>
      </c>
      <c r="B76" s="417"/>
      <c r="C76" s="417"/>
      <c r="D76" s="417"/>
      <c r="E76" s="417"/>
      <c r="F76" s="417"/>
      <c r="G76" s="417"/>
      <c r="H76" s="417"/>
      <c r="I76" s="417"/>
      <c r="J76" s="417"/>
      <c r="K76" s="417"/>
      <c r="L76" s="418"/>
      <c r="M76" s="71">
        <f>ROUND(M65+M74,0)</f>
        <v>64289</v>
      </c>
    </row>
  </sheetData>
  <mergeCells count="8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41:H41"/>
    <mergeCell ref="K41:L41"/>
    <mergeCell ref="A42:H42"/>
    <mergeCell ref="K42:L42"/>
    <mergeCell ref="A43:H43"/>
    <mergeCell ref="K43:L43"/>
    <mergeCell ref="A53:G53"/>
    <mergeCell ref="K53:L53"/>
    <mergeCell ref="A44:H44"/>
    <mergeCell ref="K44:L44"/>
    <mergeCell ref="A45:H45"/>
    <mergeCell ref="K45:L45"/>
    <mergeCell ref="A46:H46"/>
    <mergeCell ref="K46:L46"/>
    <mergeCell ref="A47:H47"/>
    <mergeCell ref="K47:L47"/>
    <mergeCell ref="A48:L48"/>
    <mergeCell ref="A52:G52"/>
    <mergeCell ref="K52:L52"/>
    <mergeCell ref="A65:L65"/>
    <mergeCell ref="A54:G54"/>
    <mergeCell ref="K54:L54"/>
    <mergeCell ref="A55:L55"/>
    <mergeCell ref="A59:G59"/>
    <mergeCell ref="K59:L59"/>
    <mergeCell ref="A60:G60"/>
    <mergeCell ref="K60:L60"/>
    <mergeCell ref="A61:G61"/>
    <mergeCell ref="K61:L61"/>
    <mergeCell ref="A62:G62"/>
    <mergeCell ref="K62:L62"/>
    <mergeCell ref="A63:L63"/>
    <mergeCell ref="A76:L76"/>
    <mergeCell ref="A69:G69"/>
    <mergeCell ref="K69:L69"/>
    <mergeCell ref="A70:G70"/>
    <mergeCell ref="K70:L70"/>
    <mergeCell ref="A71:G71"/>
    <mergeCell ref="K71:L71"/>
    <mergeCell ref="A72:G72"/>
    <mergeCell ref="K72:L72"/>
    <mergeCell ref="A73:G73"/>
    <mergeCell ref="K73:L73"/>
    <mergeCell ref="A74:L74"/>
  </mergeCells>
  <pageMargins left="0.7" right="0.7" top="0.75" bottom="0.75" header="0.3" footer="0.3"/>
  <pageSetup scale="56"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view="pageBreakPreview" topLeftCell="A46" zoomScale="80" zoomScaleNormal="100" zoomScaleSheetLayoutView="80" workbookViewId="0">
      <selection activeCell="M65" sqref="M65"/>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9">
      <c r="A17" s="25"/>
      <c r="B17" s="26"/>
      <c r="C17" s="224"/>
      <c r="D17" s="224"/>
      <c r="E17" s="224"/>
      <c r="F17" s="224"/>
      <c r="G17" s="224"/>
      <c r="H17" s="224"/>
      <c r="I17" s="224"/>
      <c r="J17" s="224"/>
      <c r="K17" s="224"/>
      <c r="L17" s="224"/>
      <c r="M17" s="13"/>
    </row>
    <row r="18" spans="1:19">
      <c r="A18" s="25" t="s">
        <v>74</v>
      </c>
      <c r="B18" s="26"/>
      <c r="C18" s="379"/>
      <c r="D18" s="379"/>
      <c r="E18" s="379"/>
      <c r="F18" s="379"/>
      <c r="G18" s="379"/>
      <c r="H18" s="379"/>
      <c r="I18" s="379"/>
      <c r="J18" s="379"/>
      <c r="K18" s="379"/>
      <c r="L18" s="379"/>
      <c r="M18" s="380"/>
    </row>
    <row r="19" spans="1:19">
      <c r="A19" s="25"/>
      <c r="B19" s="26"/>
      <c r="C19" s="224"/>
      <c r="D19" s="224"/>
      <c r="E19" s="224"/>
      <c r="F19" s="224"/>
      <c r="G19" s="224"/>
      <c r="H19" s="224"/>
      <c r="I19" s="224"/>
      <c r="J19" s="224"/>
      <c r="K19" s="224"/>
      <c r="L19" s="224"/>
      <c r="M19" s="13"/>
    </row>
    <row r="20" spans="1:19" ht="31.5" customHeight="1">
      <c r="A20" s="464" t="s">
        <v>113</v>
      </c>
      <c r="B20" s="465"/>
      <c r="C20" s="379"/>
      <c r="D20" s="379"/>
      <c r="E20" s="379"/>
      <c r="F20" s="379"/>
      <c r="G20" s="379"/>
      <c r="H20" s="379"/>
      <c r="I20" s="379"/>
      <c r="J20" s="379"/>
      <c r="K20" s="379"/>
      <c r="L20" s="379"/>
      <c r="M20" s="380"/>
    </row>
    <row r="21" spans="1:19">
      <c r="A21" s="400"/>
      <c r="B21" s="401"/>
      <c r="C21" s="224"/>
      <c r="D21" s="224"/>
      <c r="E21" s="224"/>
      <c r="F21" s="224"/>
      <c r="G21" s="224"/>
      <c r="H21" s="224"/>
      <c r="I21" s="224"/>
      <c r="J21" s="224"/>
      <c r="K21" s="224"/>
      <c r="L21" s="22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216" t="s">
        <v>78</v>
      </c>
      <c r="K25" s="408" t="s">
        <v>79</v>
      </c>
      <c r="L25" s="409"/>
      <c r="M25" s="31" t="s">
        <v>80</v>
      </c>
    </row>
    <row r="26" spans="1:19" ht="47.25" customHeight="1" thickBot="1">
      <c r="A26" s="33"/>
      <c r="B26" s="509" t="s">
        <v>268</v>
      </c>
      <c r="C26" s="510"/>
      <c r="D26" s="510"/>
      <c r="E26" s="510"/>
      <c r="F26" s="510"/>
      <c r="G26" s="510"/>
      <c r="H26" s="510"/>
      <c r="I26" s="511"/>
      <c r="J26" s="215">
        <v>1</v>
      </c>
      <c r="K26" s="391" t="s">
        <v>115</v>
      </c>
      <c r="L26" s="393"/>
      <c r="M26" s="35"/>
      <c r="N26" s="230"/>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221" t="s">
        <v>83</v>
      </c>
      <c r="K30" s="421" t="s">
        <v>84</v>
      </c>
      <c r="L30" s="424"/>
      <c r="M30" s="44" t="s">
        <v>85</v>
      </c>
    </row>
    <row r="31" spans="1:19" ht="15.75" thickBot="1">
      <c r="A31" s="425" t="s">
        <v>124</v>
      </c>
      <c r="B31" s="426"/>
      <c r="C31" s="426"/>
      <c r="D31" s="426"/>
      <c r="E31" s="427"/>
      <c r="F31" s="428" t="s">
        <v>125</v>
      </c>
      <c r="G31" s="429"/>
      <c r="H31" s="430" t="s">
        <v>86</v>
      </c>
      <c r="I31" s="427"/>
      <c r="J31" s="72">
        <v>1045.77</v>
      </c>
      <c r="K31" s="428">
        <v>1</v>
      </c>
      <c r="L31" s="429"/>
      <c r="M31" s="231">
        <f>J31/K31</f>
        <v>1045.77</v>
      </c>
      <c r="N31" s="489"/>
      <c r="O31" s="490"/>
      <c r="P31" s="95"/>
      <c r="Q31" s="96"/>
      <c r="R31" s="97"/>
      <c r="S31" s="98"/>
    </row>
    <row r="32" spans="1:19">
      <c r="A32" s="425" t="s">
        <v>209</v>
      </c>
      <c r="B32" s="426"/>
      <c r="C32" s="426"/>
      <c r="D32" s="426"/>
      <c r="E32" s="427"/>
      <c r="F32" s="428" t="s">
        <v>210</v>
      </c>
      <c r="G32" s="429"/>
      <c r="H32" s="430" t="s">
        <v>211</v>
      </c>
      <c r="I32" s="427"/>
      <c r="J32" s="72">
        <v>49980</v>
      </c>
      <c r="K32" s="428">
        <v>2.5000000000000001E-2</v>
      </c>
      <c r="L32" s="429"/>
      <c r="M32" s="209">
        <f>J32*K32</f>
        <v>1249.5</v>
      </c>
    </row>
    <row r="33" spans="1:16" ht="15.75" thickBot="1">
      <c r="A33" s="410"/>
      <c r="B33" s="411"/>
      <c r="C33" s="411"/>
      <c r="D33" s="411"/>
      <c r="E33" s="412"/>
      <c r="F33" s="414"/>
      <c r="G33" s="415"/>
      <c r="H33" s="413"/>
      <c r="I33" s="412"/>
      <c r="J33" s="91"/>
      <c r="K33" s="414"/>
      <c r="L33" s="415"/>
      <c r="M33" s="46"/>
    </row>
    <row r="34" spans="1:16" ht="15.75" thickBot="1">
      <c r="A34" s="416" t="s">
        <v>87</v>
      </c>
      <c r="B34" s="417"/>
      <c r="C34" s="417"/>
      <c r="D34" s="417"/>
      <c r="E34" s="417"/>
      <c r="F34" s="417"/>
      <c r="G34" s="417"/>
      <c r="H34" s="417"/>
      <c r="I34" s="417"/>
      <c r="J34" s="417"/>
      <c r="K34" s="417"/>
      <c r="L34" s="418"/>
      <c r="M34" s="232">
        <f>SUM(M31:M33)</f>
        <v>2295.27</v>
      </c>
    </row>
    <row r="35" spans="1:16">
      <c r="A35" s="50"/>
      <c r="B35" s="19"/>
      <c r="C35" s="19"/>
      <c r="D35" s="19"/>
      <c r="E35" s="19"/>
      <c r="F35" s="19"/>
      <c r="G35" s="19"/>
      <c r="H35" s="19"/>
      <c r="I35" s="19"/>
      <c r="J35" s="19"/>
      <c r="K35" s="19"/>
      <c r="L35" s="19"/>
      <c r="M35" s="24"/>
    </row>
    <row r="36" spans="1:16">
      <c r="A36" s="51" t="s">
        <v>88</v>
      </c>
      <c r="B36" s="52"/>
      <c r="C36" s="52"/>
      <c r="D36" s="52"/>
      <c r="E36" s="52"/>
      <c r="F36" s="52"/>
      <c r="G36" s="52"/>
      <c r="H36" s="52"/>
      <c r="I36" s="52"/>
      <c r="J36" s="52"/>
      <c r="K36" s="52"/>
      <c r="L36" s="52"/>
      <c r="M36" s="53"/>
    </row>
    <row r="37" spans="1:16" ht="15.75" thickBot="1">
      <c r="A37" s="14"/>
      <c r="B37" s="15"/>
      <c r="C37" s="15"/>
      <c r="D37" s="15"/>
      <c r="E37" s="15"/>
      <c r="F37" s="15"/>
      <c r="G37" s="15"/>
      <c r="H37" s="15"/>
      <c r="I37" s="19"/>
      <c r="J37" s="19"/>
      <c r="K37" s="19"/>
      <c r="L37" s="19"/>
      <c r="M37" s="24"/>
    </row>
    <row r="38" spans="1:16">
      <c r="A38" s="408" t="s">
        <v>77</v>
      </c>
      <c r="B38" s="431"/>
      <c r="C38" s="431"/>
      <c r="D38" s="431"/>
      <c r="E38" s="431"/>
      <c r="F38" s="431"/>
      <c r="G38" s="431"/>
      <c r="H38" s="424"/>
      <c r="I38" s="217" t="s">
        <v>79</v>
      </c>
      <c r="J38" s="221" t="s">
        <v>80</v>
      </c>
      <c r="K38" s="421" t="s">
        <v>89</v>
      </c>
      <c r="L38" s="424"/>
      <c r="M38" s="44" t="s">
        <v>85</v>
      </c>
    </row>
    <row r="39" spans="1:16" ht="15" customHeight="1">
      <c r="A39" s="484" t="s">
        <v>269</v>
      </c>
      <c r="B39" s="485"/>
      <c r="C39" s="485"/>
      <c r="D39" s="485"/>
      <c r="E39" s="485"/>
      <c r="F39" s="485"/>
      <c r="G39" s="485"/>
      <c r="H39" s="486"/>
      <c r="I39" s="73" t="s">
        <v>11</v>
      </c>
      <c r="J39" s="92">
        <v>1</v>
      </c>
      <c r="K39" s="487">
        <v>110900</v>
      </c>
      <c r="L39" s="488"/>
      <c r="M39" s="56">
        <f>K39*J39</f>
        <v>110900</v>
      </c>
      <c r="O39" s="94"/>
    </row>
    <row r="40" spans="1:16" ht="15" customHeight="1">
      <c r="A40" s="484" t="s">
        <v>270</v>
      </c>
      <c r="B40" s="485"/>
      <c r="C40" s="485"/>
      <c r="D40" s="485"/>
      <c r="E40" s="485"/>
      <c r="F40" s="485"/>
      <c r="G40" s="485"/>
      <c r="H40" s="486"/>
      <c r="I40" s="99" t="s">
        <v>11</v>
      </c>
      <c r="J40" s="93">
        <v>3</v>
      </c>
      <c r="K40" s="487">
        <v>9000</v>
      </c>
      <c r="L40" s="488"/>
      <c r="M40" s="56">
        <f t="shared" ref="M40:M41" si="0">K40*J40</f>
        <v>27000</v>
      </c>
      <c r="P40" s="94"/>
    </row>
    <row r="41" spans="1:16" ht="15" customHeight="1">
      <c r="A41" s="484" t="s">
        <v>271</v>
      </c>
      <c r="B41" s="485"/>
      <c r="C41" s="485"/>
      <c r="D41" s="485"/>
      <c r="E41" s="485"/>
      <c r="F41" s="485"/>
      <c r="G41" s="485"/>
      <c r="H41" s="486"/>
      <c r="I41" s="73" t="s">
        <v>11</v>
      </c>
      <c r="J41" s="93">
        <v>1</v>
      </c>
      <c r="K41" s="487">
        <v>6900</v>
      </c>
      <c r="L41" s="488"/>
      <c r="M41" s="56">
        <f t="shared" si="0"/>
        <v>6900</v>
      </c>
    </row>
    <row r="42" spans="1:16">
      <c r="A42" s="425"/>
      <c r="B42" s="426"/>
      <c r="C42" s="426"/>
      <c r="D42" s="426"/>
      <c r="E42" s="426"/>
      <c r="F42" s="426"/>
      <c r="G42" s="426"/>
      <c r="H42" s="427"/>
      <c r="I42" s="73"/>
      <c r="J42" s="225"/>
      <c r="K42" s="456"/>
      <c r="L42" s="457"/>
      <c r="M42" s="56"/>
    </row>
    <row r="43" spans="1:16">
      <c r="A43" s="425"/>
      <c r="B43" s="426"/>
      <c r="C43" s="426"/>
      <c r="D43" s="426"/>
      <c r="E43" s="426"/>
      <c r="F43" s="426"/>
      <c r="G43" s="426"/>
      <c r="H43" s="427"/>
      <c r="I43" s="73"/>
      <c r="J43" s="225"/>
      <c r="K43" s="456"/>
      <c r="L43" s="457"/>
      <c r="M43" s="56"/>
    </row>
    <row r="44" spans="1:16">
      <c r="A44" s="425"/>
      <c r="B44" s="426"/>
      <c r="C44" s="426"/>
      <c r="D44" s="426"/>
      <c r="E44" s="426"/>
      <c r="F44" s="426"/>
      <c r="G44" s="426"/>
      <c r="H44" s="427"/>
      <c r="I44" s="73"/>
      <c r="J44" s="225"/>
      <c r="K44" s="526"/>
      <c r="L44" s="527"/>
      <c r="M44" s="56"/>
    </row>
    <row r="45" spans="1:16">
      <c r="A45" s="425"/>
      <c r="B45" s="426"/>
      <c r="C45" s="426"/>
      <c r="D45" s="426"/>
      <c r="E45" s="426"/>
      <c r="F45" s="426"/>
      <c r="G45" s="426"/>
      <c r="H45" s="427"/>
      <c r="I45" s="73"/>
      <c r="J45" s="225"/>
      <c r="K45" s="456"/>
      <c r="L45" s="457"/>
      <c r="M45" s="56"/>
    </row>
    <row r="46" spans="1:16">
      <c r="A46" s="425"/>
      <c r="B46" s="426"/>
      <c r="C46" s="426"/>
      <c r="D46" s="426"/>
      <c r="E46" s="426"/>
      <c r="F46" s="426"/>
      <c r="G46" s="426"/>
      <c r="H46" s="427"/>
      <c r="I46" s="73"/>
      <c r="J46" s="225"/>
      <c r="K46" s="456"/>
      <c r="L46" s="457"/>
      <c r="M46" s="56"/>
    </row>
    <row r="47" spans="1:16" ht="15.75" thickBot="1">
      <c r="A47" s="410"/>
      <c r="B47" s="411"/>
      <c r="C47" s="411"/>
      <c r="D47" s="411"/>
      <c r="E47" s="411"/>
      <c r="F47" s="411"/>
      <c r="G47" s="411"/>
      <c r="H47" s="412"/>
      <c r="I47" s="74"/>
      <c r="J47" s="211"/>
      <c r="K47" s="466"/>
      <c r="L47" s="467"/>
      <c r="M47" s="75"/>
    </row>
    <row r="48" spans="1:16" ht="15.75" thickBot="1">
      <c r="A48" s="416" t="s">
        <v>87</v>
      </c>
      <c r="B48" s="417"/>
      <c r="C48" s="417"/>
      <c r="D48" s="417"/>
      <c r="E48" s="417"/>
      <c r="F48" s="417"/>
      <c r="G48" s="417"/>
      <c r="H48" s="417"/>
      <c r="I48" s="417"/>
      <c r="J48" s="417"/>
      <c r="K48" s="417"/>
      <c r="L48" s="418"/>
      <c r="M48" s="58">
        <f>SUM(M39:M47)</f>
        <v>144800</v>
      </c>
    </row>
    <row r="49" spans="1:13">
      <c r="A49" s="30"/>
      <c r="B49" s="19"/>
      <c r="C49" s="19"/>
      <c r="D49" s="19"/>
      <c r="E49" s="19"/>
      <c r="F49" s="19"/>
      <c r="G49" s="19"/>
      <c r="H49" s="19"/>
      <c r="I49" s="19"/>
      <c r="J49" s="19"/>
      <c r="K49" s="19"/>
      <c r="L49" s="19"/>
      <c r="M49" s="24"/>
    </row>
    <row r="50" spans="1:13">
      <c r="A50" s="51" t="s">
        <v>90</v>
      </c>
      <c r="B50" s="52"/>
      <c r="C50" s="52"/>
      <c r="D50" s="52"/>
      <c r="E50" s="52"/>
      <c r="F50" s="52"/>
      <c r="G50" s="52"/>
      <c r="H50" s="52"/>
      <c r="I50" s="52"/>
      <c r="J50" s="52"/>
      <c r="K50" s="52"/>
      <c r="L50" s="52"/>
      <c r="M50" s="53"/>
    </row>
    <row r="51" spans="1:13" ht="15.75" thickBot="1">
      <c r="A51" s="30"/>
      <c r="B51" s="19"/>
      <c r="C51" s="19"/>
      <c r="D51" s="19"/>
      <c r="E51" s="19"/>
      <c r="F51" s="19"/>
      <c r="G51" s="19"/>
      <c r="H51" s="19"/>
      <c r="I51" s="19"/>
      <c r="J51" s="19"/>
      <c r="K51" s="19"/>
      <c r="L51" s="19"/>
      <c r="M51" s="24"/>
    </row>
    <row r="52" spans="1:13">
      <c r="A52" s="408" t="s">
        <v>91</v>
      </c>
      <c r="B52" s="431"/>
      <c r="C52" s="431"/>
      <c r="D52" s="431"/>
      <c r="E52" s="431"/>
      <c r="F52" s="431"/>
      <c r="G52" s="431"/>
      <c r="H52" s="221" t="s">
        <v>92</v>
      </c>
      <c r="I52" s="218" t="s">
        <v>93</v>
      </c>
      <c r="J52" s="60" t="s">
        <v>94</v>
      </c>
      <c r="K52" s="421" t="s">
        <v>95</v>
      </c>
      <c r="L52" s="424"/>
      <c r="M52" s="44" t="s">
        <v>85</v>
      </c>
    </row>
    <row r="53" spans="1:13">
      <c r="A53" s="425"/>
      <c r="B53" s="426"/>
      <c r="C53" s="426"/>
      <c r="D53" s="426"/>
      <c r="E53" s="426"/>
      <c r="F53" s="426"/>
      <c r="G53" s="426"/>
      <c r="H53" s="61"/>
      <c r="I53" s="55"/>
      <c r="J53" s="61"/>
      <c r="K53" s="428"/>
      <c r="L53" s="429"/>
    </row>
    <row r="54" spans="1:13" ht="15.75" thickBot="1">
      <c r="A54" s="410"/>
      <c r="B54" s="411"/>
      <c r="C54" s="411"/>
      <c r="D54" s="411"/>
      <c r="E54" s="411"/>
      <c r="F54" s="411"/>
      <c r="G54" s="411"/>
      <c r="H54" s="47"/>
      <c r="I54" s="15"/>
      <c r="J54" s="47"/>
      <c r="K54" s="414"/>
      <c r="L54" s="415"/>
      <c r="M54" s="62"/>
    </row>
    <row r="55" spans="1:13" ht="15.75" thickBot="1">
      <c r="A55" s="416" t="s">
        <v>87</v>
      </c>
      <c r="B55" s="417"/>
      <c r="C55" s="417"/>
      <c r="D55" s="417"/>
      <c r="E55" s="417"/>
      <c r="F55" s="417"/>
      <c r="G55" s="417"/>
      <c r="H55" s="417"/>
      <c r="I55" s="417"/>
      <c r="J55" s="417"/>
      <c r="K55" s="417"/>
      <c r="L55" s="418"/>
      <c r="M55" s="63">
        <f>SUM(M54:M54)</f>
        <v>0</v>
      </c>
    </row>
    <row r="56" spans="1:13">
      <c r="A56" s="30"/>
      <c r="B56" s="19"/>
      <c r="C56" s="19"/>
      <c r="D56" s="19"/>
      <c r="E56" s="19"/>
      <c r="F56" s="19"/>
      <c r="G56" s="19"/>
      <c r="H56" s="19"/>
      <c r="I56" s="19"/>
      <c r="J56" s="19"/>
      <c r="K56" s="19"/>
      <c r="L56" s="19"/>
      <c r="M56" s="24"/>
    </row>
    <row r="57" spans="1:13">
      <c r="A57" s="51" t="s">
        <v>96</v>
      </c>
      <c r="B57" s="52"/>
      <c r="C57" s="52"/>
      <c r="D57" s="52"/>
      <c r="E57" s="52"/>
      <c r="F57" s="52"/>
      <c r="G57" s="52"/>
      <c r="H57" s="52"/>
      <c r="I57" s="52"/>
      <c r="J57" s="52"/>
      <c r="K57" s="52"/>
      <c r="L57" s="52"/>
      <c r="M57" s="53"/>
    </row>
    <row r="58" spans="1:13" ht="15.75" thickBot="1">
      <c r="A58" s="30"/>
      <c r="B58" s="19"/>
      <c r="C58" s="19"/>
      <c r="D58" s="19"/>
      <c r="E58" s="19"/>
      <c r="F58" s="19"/>
      <c r="G58" s="19"/>
      <c r="H58" s="19"/>
      <c r="I58" s="19"/>
      <c r="J58" s="19"/>
      <c r="K58" s="19"/>
      <c r="L58" s="19"/>
      <c r="M58" s="24"/>
    </row>
    <row r="59" spans="1:13" ht="26.25">
      <c r="A59" s="453" t="s">
        <v>97</v>
      </c>
      <c r="B59" s="454"/>
      <c r="C59" s="454"/>
      <c r="D59" s="454"/>
      <c r="E59" s="454"/>
      <c r="F59" s="454"/>
      <c r="G59" s="454"/>
      <c r="H59" s="221" t="s">
        <v>98</v>
      </c>
      <c r="I59" s="222" t="s">
        <v>99</v>
      </c>
      <c r="J59" s="222" t="s">
        <v>100</v>
      </c>
      <c r="K59" s="455" t="s">
        <v>84</v>
      </c>
      <c r="L59" s="455"/>
      <c r="M59" s="65" t="s">
        <v>85</v>
      </c>
    </row>
    <row r="60" spans="1:13">
      <c r="A60" s="471" t="s">
        <v>243</v>
      </c>
      <c r="B60" s="472"/>
      <c r="C60" s="472"/>
      <c r="D60" s="472"/>
      <c r="E60" s="472"/>
      <c r="F60" s="472"/>
      <c r="G60" s="472"/>
      <c r="H60" s="1">
        <v>109738.14166566246</v>
      </c>
      <c r="I60" s="2">
        <v>2.2000000000000002</v>
      </c>
      <c r="J60" s="66">
        <f>(I60*H60)</f>
        <v>241423.91166445744</v>
      </c>
      <c r="K60" s="483">
        <v>5.5</v>
      </c>
      <c r="L60" s="483"/>
      <c r="M60" s="56">
        <f>J60/K60</f>
        <v>43895.256666264992</v>
      </c>
    </row>
    <row r="61" spans="1:13">
      <c r="A61" s="471"/>
      <c r="B61" s="472"/>
      <c r="C61" s="472"/>
      <c r="D61" s="472"/>
      <c r="E61" s="472"/>
      <c r="F61" s="472"/>
      <c r="G61" s="472"/>
      <c r="H61" s="1"/>
      <c r="I61" s="2"/>
      <c r="J61" s="66"/>
      <c r="K61" s="473"/>
      <c r="L61" s="473"/>
      <c r="M61" s="56"/>
    </row>
    <row r="62" spans="1:13" ht="15.75" thickBot="1">
      <c r="A62" s="432"/>
      <c r="B62" s="433"/>
      <c r="C62" s="433"/>
      <c r="D62" s="433"/>
      <c r="E62" s="433"/>
      <c r="F62" s="433"/>
      <c r="G62" s="433"/>
      <c r="H62" s="3"/>
      <c r="I62" s="4"/>
      <c r="J62" s="67"/>
      <c r="K62" s="434"/>
      <c r="L62" s="434"/>
      <c r="M62" s="68"/>
    </row>
    <row r="63" spans="1:13" ht="15.75" thickBot="1">
      <c r="A63" s="435" t="s">
        <v>87</v>
      </c>
      <c r="B63" s="436"/>
      <c r="C63" s="436"/>
      <c r="D63" s="436"/>
      <c r="E63" s="436"/>
      <c r="F63" s="436"/>
      <c r="G63" s="436"/>
      <c r="H63" s="436"/>
      <c r="I63" s="436"/>
      <c r="J63" s="436"/>
      <c r="K63" s="436"/>
      <c r="L63" s="437"/>
      <c r="M63" s="69">
        <f>SUM(M60:M62)</f>
        <v>43895.256666264992</v>
      </c>
    </row>
    <row r="64" spans="1:13" ht="15.75" thickBot="1">
      <c r="A64" s="30"/>
      <c r="B64" s="19"/>
      <c r="C64" s="19"/>
      <c r="D64" s="19"/>
      <c r="E64" s="19"/>
      <c r="F64" s="19"/>
      <c r="G64" s="19"/>
      <c r="H64" s="19"/>
      <c r="I64" s="19"/>
      <c r="J64" s="19"/>
      <c r="K64" s="19"/>
      <c r="L64" s="19"/>
      <c r="M64" s="24"/>
    </row>
    <row r="65" spans="1:13" ht="15.75" thickBot="1">
      <c r="A65" s="416" t="s">
        <v>101</v>
      </c>
      <c r="B65" s="417"/>
      <c r="C65" s="417"/>
      <c r="D65" s="417"/>
      <c r="E65" s="417"/>
      <c r="F65" s="417"/>
      <c r="G65" s="417"/>
      <c r="H65" s="417"/>
      <c r="I65" s="417"/>
      <c r="J65" s="417"/>
      <c r="K65" s="417"/>
      <c r="L65" s="418"/>
      <c r="M65" s="70">
        <f>ROUND(M63+M55+M48+M34,0)</f>
        <v>190991</v>
      </c>
    </row>
    <row r="66" spans="1:13">
      <c r="A66" s="30"/>
      <c r="B66" s="19"/>
      <c r="C66" s="19"/>
      <c r="D66" s="19"/>
      <c r="E66" s="19"/>
      <c r="F66" s="19"/>
      <c r="G66" s="19"/>
      <c r="H66" s="19"/>
      <c r="I66" s="19"/>
      <c r="J66" s="19"/>
      <c r="K66" s="19"/>
      <c r="L66" s="19"/>
      <c r="M66" s="24"/>
    </row>
    <row r="67" spans="1:13">
      <c r="A67" s="51" t="s">
        <v>102</v>
      </c>
      <c r="B67" s="52"/>
      <c r="C67" s="52"/>
      <c r="D67" s="52"/>
      <c r="E67" s="52"/>
      <c r="F67" s="52"/>
      <c r="G67" s="52"/>
      <c r="H67" s="52"/>
      <c r="I67" s="52"/>
      <c r="J67" s="52"/>
      <c r="K67" s="52"/>
      <c r="L67" s="52"/>
      <c r="M67" s="53"/>
    </row>
    <row r="68" spans="1:13" ht="15.75" thickBot="1">
      <c r="A68" s="30"/>
      <c r="B68" s="19"/>
      <c r="C68" s="19"/>
      <c r="D68" s="19"/>
      <c r="E68" s="19"/>
      <c r="F68" s="19"/>
      <c r="G68" s="19"/>
      <c r="H68" s="19"/>
      <c r="I68" s="19"/>
      <c r="J68" s="19"/>
      <c r="K68" s="19"/>
      <c r="L68" s="19"/>
      <c r="M68" s="24"/>
    </row>
    <row r="69" spans="1:13" ht="15.75" thickBot="1">
      <c r="A69" s="438" t="s">
        <v>103</v>
      </c>
      <c r="B69" s="439"/>
      <c r="C69" s="439"/>
      <c r="D69" s="439"/>
      <c r="E69" s="439"/>
      <c r="F69" s="439"/>
      <c r="G69" s="439"/>
      <c r="H69" s="219"/>
      <c r="I69" s="220"/>
      <c r="J69" s="81" t="s">
        <v>104</v>
      </c>
      <c r="K69" s="440" t="s">
        <v>105</v>
      </c>
      <c r="L69" s="441"/>
      <c r="M69" s="82"/>
    </row>
    <row r="70" spans="1:13">
      <c r="A70" s="442" t="s">
        <v>106</v>
      </c>
      <c r="B70" s="443"/>
      <c r="C70" s="443"/>
      <c r="D70" s="443"/>
      <c r="E70" s="443"/>
      <c r="F70" s="443"/>
      <c r="G70" s="443"/>
      <c r="H70" s="83"/>
      <c r="I70" s="84"/>
      <c r="J70" s="85">
        <v>0.19</v>
      </c>
      <c r="K70" s="444">
        <f>M65*J70</f>
        <v>36288.29</v>
      </c>
      <c r="L70" s="444"/>
      <c r="M70" s="86"/>
    </row>
    <row r="71" spans="1:13">
      <c r="A71" s="447" t="s">
        <v>107</v>
      </c>
      <c r="B71" s="448"/>
      <c r="C71" s="448"/>
      <c r="D71" s="448"/>
      <c r="E71" s="448"/>
      <c r="F71" s="448"/>
      <c r="G71" s="449"/>
      <c r="H71" s="77"/>
      <c r="I71" s="78"/>
      <c r="J71" s="5">
        <v>0.01</v>
      </c>
      <c r="K71" s="445">
        <f>M65*J71</f>
        <v>1909.91</v>
      </c>
      <c r="L71" s="445"/>
      <c r="M71" s="6"/>
    </row>
    <row r="72" spans="1:13">
      <c r="A72" s="447" t="s">
        <v>108</v>
      </c>
      <c r="B72" s="448"/>
      <c r="C72" s="448"/>
      <c r="D72" s="448"/>
      <c r="E72" s="448"/>
      <c r="F72" s="448"/>
      <c r="G72" s="449"/>
      <c r="H72" s="77"/>
      <c r="I72" s="78"/>
      <c r="J72" s="5">
        <v>0.05</v>
      </c>
      <c r="K72" s="445">
        <f>M65*J72</f>
        <v>9549.5500000000011</v>
      </c>
      <c r="L72" s="445"/>
      <c r="M72" s="6"/>
    </row>
    <row r="73" spans="1:13" ht="15.75" thickBot="1">
      <c r="A73" s="450" t="s">
        <v>117</v>
      </c>
      <c r="B73" s="451"/>
      <c r="C73" s="451"/>
      <c r="D73" s="451"/>
      <c r="E73" s="451"/>
      <c r="F73" s="451"/>
      <c r="G73" s="452"/>
      <c r="H73" s="87"/>
      <c r="I73" s="88"/>
      <c r="J73" s="89">
        <v>0.19</v>
      </c>
      <c r="K73" s="446">
        <f>K72*J73</f>
        <v>1814.4145000000003</v>
      </c>
      <c r="L73" s="446"/>
      <c r="M73" s="90"/>
    </row>
    <row r="74" spans="1:13" ht="15.75" thickBot="1">
      <c r="A74" s="435" t="s">
        <v>87</v>
      </c>
      <c r="B74" s="436"/>
      <c r="C74" s="436"/>
      <c r="D74" s="436"/>
      <c r="E74" s="436"/>
      <c r="F74" s="436"/>
      <c r="G74" s="436"/>
      <c r="H74" s="436"/>
      <c r="I74" s="436"/>
      <c r="J74" s="436"/>
      <c r="K74" s="436"/>
      <c r="L74" s="437"/>
      <c r="M74" s="76">
        <f>SUM(K70:L73)</f>
        <v>49562.164500000006</v>
      </c>
    </row>
    <row r="75" spans="1:13" ht="15.75" thickBot="1">
      <c r="A75" s="30"/>
      <c r="B75" s="19"/>
      <c r="C75" s="19"/>
      <c r="D75" s="19"/>
      <c r="E75" s="19"/>
      <c r="F75" s="19"/>
      <c r="G75" s="19"/>
      <c r="H75" s="19"/>
      <c r="I75" s="19"/>
      <c r="J75" s="19"/>
      <c r="K75" s="19"/>
      <c r="L75" s="19"/>
      <c r="M75" s="24"/>
    </row>
    <row r="76" spans="1:13" ht="15.75" thickBot="1">
      <c r="A76" s="416" t="s">
        <v>109</v>
      </c>
      <c r="B76" s="417"/>
      <c r="C76" s="417"/>
      <c r="D76" s="417"/>
      <c r="E76" s="417"/>
      <c r="F76" s="417"/>
      <c r="G76" s="417"/>
      <c r="H76" s="417"/>
      <c r="I76" s="417"/>
      <c r="J76" s="417"/>
      <c r="K76" s="417"/>
      <c r="L76" s="418"/>
      <c r="M76" s="71">
        <f>ROUND(M65+M74,0)</f>
        <v>240553</v>
      </c>
    </row>
  </sheetData>
  <mergeCells count="8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41:H41"/>
    <mergeCell ref="K41:L41"/>
    <mergeCell ref="A42:H42"/>
    <mergeCell ref="K42:L42"/>
    <mergeCell ref="A43:H43"/>
    <mergeCell ref="K43:L43"/>
    <mergeCell ref="A53:G53"/>
    <mergeCell ref="K53:L53"/>
    <mergeCell ref="A44:H44"/>
    <mergeCell ref="K44:L44"/>
    <mergeCell ref="A45:H45"/>
    <mergeCell ref="K45:L45"/>
    <mergeCell ref="A46:H46"/>
    <mergeCell ref="K46:L46"/>
    <mergeCell ref="A47:H47"/>
    <mergeCell ref="K47:L47"/>
    <mergeCell ref="A48:L48"/>
    <mergeCell ref="A52:G52"/>
    <mergeCell ref="K52:L52"/>
    <mergeCell ref="A65:L65"/>
    <mergeCell ref="A54:G54"/>
    <mergeCell ref="K54:L54"/>
    <mergeCell ref="A55:L55"/>
    <mergeCell ref="A59:G59"/>
    <mergeCell ref="K59:L59"/>
    <mergeCell ref="A60:G60"/>
    <mergeCell ref="K60:L60"/>
    <mergeCell ref="A61:G61"/>
    <mergeCell ref="K61:L61"/>
    <mergeCell ref="A62:G62"/>
    <mergeCell ref="K62:L62"/>
    <mergeCell ref="A63:L63"/>
    <mergeCell ref="A76:L76"/>
    <mergeCell ref="A69:G69"/>
    <mergeCell ref="K69:L69"/>
    <mergeCell ref="A70:G70"/>
    <mergeCell ref="K70:L70"/>
    <mergeCell ref="A71:G71"/>
    <mergeCell ref="K71:L71"/>
    <mergeCell ref="A72:G72"/>
    <mergeCell ref="K72:L72"/>
    <mergeCell ref="A73:G73"/>
    <mergeCell ref="K73:L73"/>
    <mergeCell ref="A74:L74"/>
  </mergeCells>
  <pageMargins left="0.7" right="0.7" top="0.75" bottom="0.75" header="0.3" footer="0.3"/>
  <pageSetup scale="56"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view="pageBreakPreview" topLeftCell="A43" zoomScale="80" zoomScaleNormal="100" zoomScaleSheetLayoutView="80" workbookViewId="0">
      <selection activeCell="M65" sqref="M65"/>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9">
      <c r="A17" s="25"/>
      <c r="B17" s="26"/>
      <c r="C17" s="224"/>
      <c r="D17" s="224"/>
      <c r="E17" s="224"/>
      <c r="F17" s="224"/>
      <c r="G17" s="224"/>
      <c r="H17" s="224"/>
      <c r="I17" s="224"/>
      <c r="J17" s="224"/>
      <c r="K17" s="224"/>
      <c r="L17" s="224"/>
      <c r="M17" s="13"/>
    </row>
    <row r="18" spans="1:19">
      <c r="A18" s="25" t="s">
        <v>74</v>
      </c>
      <c r="B18" s="26"/>
      <c r="C18" s="379"/>
      <c r="D18" s="379"/>
      <c r="E18" s="379"/>
      <c r="F18" s="379"/>
      <c r="G18" s="379"/>
      <c r="H18" s="379"/>
      <c r="I18" s="379"/>
      <c r="J18" s="379"/>
      <c r="K18" s="379"/>
      <c r="L18" s="379"/>
      <c r="M18" s="380"/>
    </row>
    <row r="19" spans="1:19">
      <c r="A19" s="25"/>
      <c r="B19" s="26"/>
      <c r="C19" s="224"/>
      <c r="D19" s="224"/>
      <c r="E19" s="224"/>
      <c r="F19" s="224"/>
      <c r="G19" s="224"/>
      <c r="H19" s="224"/>
      <c r="I19" s="224"/>
      <c r="J19" s="224"/>
      <c r="K19" s="224"/>
      <c r="L19" s="224"/>
      <c r="M19" s="13"/>
    </row>
    <row r="20" spans="1:19" ht="31.5" customHeight="1">
      <c r="A20" s="464" t="s">
        <v>113</v>
      </c>
      <c r="B20" s="465"/>
      <c r="C20" s="379"/>
      <c r="D20" s="379"/>
      <c r="E20" s="379"/>
      <c r="F20" s="379"/>
      <c r="G20" s="379"/>
      <c r="H20" s="379"/>
      <c r="I20" s="379"/>
      <c r="J20" s="379"/>
      <c r="K20" s="379"/>
      <c r="L20" s="379"/>
      <c r="M20" s="380"/>
    </row>
    <row r="21" spans="1:19">
      <c r="A21" s="400"/>
      <c r="B21" s="401"/>
      <c r="C21" s="224"/>
      <c r="D21" s="224"/>
      <c r="E21" s="224"/>
      <c r="F21" s="224"/>
      <c r="G21" s="224"/>
      <c r="H21" s="224"/>
      <c r="I21" s="224"/>
      <c r="J21" s="224"/>
      <c r="K21" s="224"/>
      <c r="L21" s="22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216" t="s">
        <v>78</v>
      </c>
      <c r="K25" s="408" t="s">
        <v>79</v>
      </c>
      <c r="L25" s="409"/>
      <c r="M25" s="31" t="s">
        <v>80</v>
      </c>
    </row>
    <row r="26" spans="1:19" ht="47.25" customHeight="1" thickBot="1">
      <c r="A26" s="205"/>
      <c r="B26" s="505" t="s">
        <v>272</v>
      </c>
      <c r="C26" s="528"/>
      <c r="D26" s="528"/>
      <c r="E26" s="528"/>
      <c r="F26" s="528"/>
      <c r="G26" s="528"/>
      <c r="H26" s="528"/>
      <c r="I26" s="529"/>
      <c r="J26" s="226">
        <v>1</v>
      </c>
      <c r="K26" s="508" t="s">
        <v>115</v>
      </c>
      <c r="L26" s="507"/>
      <c r="M26" s="207"/>
      <c r="N26" s="230"/>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221" t="s">
        <v>83</v>
      </c>
      <c r="K30" s="421" t="s">
        <v>84</v>
      </c>
      <c r="L30" s="424"/>
      <c r="M30" s="44" t="s">
        <v>85</v>
      </c>
    </row>
    <row r="31" spans="1:19" ht="15.75" thickBot="1">
      <c r="A31" s="425" t="s">
        <v>124</v>
      </c>
      <c r="B31" s="426"/>
      <c r="C31" s="426"/>
      <c r="D31" s="426"/>
      <c r="E31" s="427"/>
      <c r="F31" s="428" t="s">
        <v>125</v>
      </c>
      <c r="G31" s="429"/>
      <c r="H31" s="430" t="s">
        <v>86</v>
      </c>
      <c r="I31" s="427"/>
      <c r="J31" s="72">
        <v>1045.77</v>
      </c>
      <c r="K31" s="428">
        <v>1</v>
      </c>
      <c r="L31" s="429"/>
      <c r="M31" s="231">
        <f>J31/K31</f>
        <v>1045.77</v>
      </c>
      <c r="N31" s="489"/>
      <c r="O31" s="490"/>
      <c r="P31" s="95"/>
      <c r="Q31" s="96"/>
      <c r="R31" s="97"/>
      <c r="S31" s="98"/>
    </row>
    <row r="32" spans="1:19">
      <c r="A32" s="425" t="s">
        <v>209</v>
      </c>
      <c r="B32" s="426"/>
      <c r="C32" s="426"/>
      <c r="D32" s="426"/>
      <c r="E32" s="427"/>
      <c r="F32" s="428" t="s">
        <v>210</v>
      </c>
      <c r="G32" s="429"/>
      <c r="H32" s="430" t="s">
        <v>211</v>
      </c>
      <c r="I32" s="427"/>
      <c r="J32" s="72">
        <v>49980</v>
      </c>
      <c r="K32" s="428">
        <v>2.5000000000000001E-2</v>
      </c>
      <c r="L32" s="429"/>
      <c r="M32" s="209">
        <f>J32*K32</f>
        <v>1249.5</v>
      </c>
    </row>
    <row r="33" spans="1:16" ht="15.75" thickBot="1">
      <c r="A33" s="410"/>
      <c r="B33" s="411"/>
      <c r="C33" s="411"/>
      <c r="D33" s="411"/>
      <c r="E33" s="412"/>
      <c r="F33" s="414"/>
      <c r="G33" s="415"/>
      <c r="H33" s="413"/>
      <c r="I33" s="412"/>
      <c r="J33" s="91"/>
      <c r="K33" s="414"/>
      <c r="L33" s="415"/>
      <c r="M33" s="46"/>
    </row>
    <row r="34" spans="1:16" ht="15.75" thickBot="1">
      <c r="A34" s="416" t="s">
        <v>87</v>
      </c>
      <c r="B34" s="417"/>
      <c r="C34" s="417"/>
      <c r="D34" s="417"/>
      <c r="E34" s="417"/>
      <c r="F34" s="417"/>
      <c r="G34" s="417"/>
      <c r="H34" s="417"/>
      <c r="I34" s="417"/>
      <c r="J34" s="417"/>
      <c r="K34" s="417"/>
      <c r="L34" s="418"/>
      <c r="M34" s="232">
        <f>SUM(M31:M33)</f>
        <v>2295.27</v>
      </c>
    </row>
    <row r="35" spans="1:16">
      <c r="A35" s="50"/>
      <c r="B35" s="19"/>
      <c r="C35" s="19"/>
      <c r="D35" s="19"/>
      <c r="E35" s="19"/>
      <c r="F35" s="19"/>
      <c r="G35" s="19"/>
      <c r="H35" s="19"/>
      <c r="I35" s="19"/>
      <c r="J35" s="19"/>
      <c r="K35" s="19"/>
      <c r="L35" s="19"/>
      <c r="M35" s="24"/>
    </row>
    <row r="36" spans="1:16">
      <c r="A36" s="51" t="s">
        <v>88</v>
      </c>
      <c r="B36" s="52"/>
      <c r="C36" s="52"/>
      <c r="D36" s="52"/>
      <c r="E36" s="52"/>
      <c r="F36" s="52"/>
      <c r="G36" s="52"/>
      <c r="H36" s="52"/>
      <c r="I36" s="52"/>
      <c r="J36" s="52"/>
      <c r="K36" s="52"/>
      <c r="L36" s="52"/>
      <c r="M36" s="53"/>
    </row>
    <row r="37" spans="1:16" ht="15.75" thickBot="1">
      <c r="A37" s="14"/>
      <c r="B37" s="15"/>
      <c r="C37" s="15"/>
      <c r="D37" s="15"/>
      <c r="E37" s="15"/>
      <c r="F37" s="15"/>
      <c r="G37" s="15"/>
      <c r="H37" s="15"/>
      <c r="I37" s="19"/>
      <c r="J37" s="19"/>
      <c r="K37" s="19"/>
      <c r="L37" s="19"/>
      <c r="M37" s="24"/>
    </row>
    <row r="38" spans="1:16">
      <c r="A38" s="408" t="s">
        <v>77</v>
      </c>
      <c r="B38" s="431"/>
      <c r="C38" s="431"/>
      <c r="D38" s="431"/>
      <c r="E38" s="431"/>
      <c r="F38" s="431"/>
      <c r="G38" s="431"/>
      <c r="H38" s="424"/>
      <c r="I38" s="217" t="s">
        <v>79</v>
      </c>
      <c r="J38" s="221" t="s">
        <v>80</v>
      </c>
      <c r="K38" s="421" t="s">
        <v>89</v>
      </c>
      <c r="L38" s="424"/>
      <c r="M38" s="44" t="s">
        <v>85</v>
      </c>
    </row>
    <row r="39" spans="1:16" ht="15" customHeight="1">
      <c r="A39" s="484" t="s">
        <v>272</v>
      </c>
      <c r="B39" s="485"/>
      <c r="C39" s="485"/>
      <c r="D39" s="485"/>
      <c r="E39" s="485"/>
      <c r="F39" s="485"/>
      <c r="G39" s="485"/>
      <c r="H39" s="486"/>
      <c r="I39" s="73" t="s">
        <v>11</v>
      </c>
      <c r="J39" s="92">
        <v>1</v>
      </c>
      <c r="K39" s="487">
        <v>151903</v>
      </c>
      <c r="L39" s="488"/>
      <c r="M39" s="56">
        <f>K39*J39</f>
        <v>151903</v>
      </c>
      <c r="O39" s="94"/>
    </row>
    <row r="40" spans="1:16" ht="15" customHeight="1">
      <c r="A40" s="484"/>
      <c r="B40" s="485"/>
      <c r="C40" s="485"/>
      <c r="D40" s="485"/>
      <c r="E40" s="485"/>
      <c r="F40" s="485"/>
      <c r="G40" s="485"/>
      <c r="H40" s="486"/>
      <c r="I40" s="99"/>
      <c r="J40" s="93"/>
      <c r="K40" s="487"/>
      <c r="L40" s="488"/>
      <c r="M40" s="56">
        <f t="shared" ref="M40:M41" si="0">K40*J40</f>
        <v>0</v>
      </c>
      <c r="P40" s="94"/>
    </row>
    <row r="41" spans="1:16" ht="15" customHeight="1">
      <c r="A41" s="484"/>
      <c r="B41" s="485"/>
      <c r="C41" s="485"/>
      <c r="D41" s="485"/>
      <c r="E41" s="485"/>
      <c r="F41" s="485"/>
      <c r="G41" s="485"/>
      <c r="H41" s="486"/>
      <c r="I41" s="73"/>
      <c r="J41" s="93"/>
      <c r="K41" s="487"/>
      <c r="L41" s="488"/>
      <c r="M41" s="56">
        <f t="shared" si="0"/>
        <v>0</v>
      </c>
    </row>
    <row r="42" spans="1:16">
      <c r="A42" s="425"/>
      <c r="B42" s="426"/>
      <c r="C42" s="426"/>
      <c r="D42" s="426"/>
      <c r="E42" s="426"/>
      <c r="F42" s="426"/>
      <c r="G42" s="426"/>
      <c r="H42" s="427"/>
      <c r="I42" s="73"/>
      <c r="J42" s="225"/>
      <c r="K42" s="456"/>
      <c r="L42" s="457"/>
      <c r="M42" s="56"/>
    </row>
    <row r="43" spans="1:16">
      <c r="A43" s="425"/>
      <c r="B43" s="426"/>
      <c r="C43" s="426"/>
      <c r="D43" s="426"/>
      <c r="E43" s="426"/>
      <c r="F43" s="426"/>
      <c r="G43" s="426"/>
      <c r="H43" s="427"/>
      <c r="I43" s="73"/>
      <c r="J43" s="225"/>
      <c r="K43" s="456"/>
      <c r="L43" s="457"/>
      <c r="M43" s="56"/>
    </row>
    <row r="44" spans="1:16">
      <c r="A44" s="425"/>
      <c r="B44" s="426"/>
      <c r="C44" s="426"/>
      <c r="D44" s="426"/>
      <c r="E44" s="426"/>
      <c r="F44" s="426"/>
      <c r="G44" s="426"/>
      <c r="H44" s="427"/>
      <c r="I44" s="73"/>
      <c r="J44" s="225"/>
      <c r="K44" s="456"/>
      <c r="L44" s="457"/>
      <c r="M44" s="56"/>
    </row>
    <row r="45" spans="1:16">
      <c r="A45" s="425"/>
      <c r="B45" s="426"/>
      <c r="C45" s="426"/>
      <c r="D45" s="426"/>
      <c r="E45" s="426"/>
      <c r="F45" s="426"/>
      <c r="G45" s="426"/>
      <c r="H45" s="427"/>
      <c r="I45" s="73"/>
      <c r="J45" s="225"/>
      <c r="K45" s="456"/>
      <c r="L45" s="457"/>
      <c r="M45" s="56"/>
    </row>
    <row r="46" spans="1:16">
      <c r="A46" s="425"/>
      <c r="B46" s="426"/>
      <c r="C46" s="426"/>
      <c r="D46" s="426"/>
      <c r="E46" s="426"/>
      <c r="F46" s="426"/>
      <c r="G46" s="426"/>
      <c r="H46" s="427"/>
      <c r="I46" s="73"/>
      <c r="J46" s="225"/>
      <c r="K46" s="456"/>
      <c r="L46" s="457"/>
      <c r="M46" s="56"/>
    </row>
    <row r="47" spans="1:16" ht="15.75" thickBot="1">
      <c r="A47" s="410"/>
      <c r="B47" s="411"/>
      <c r="C47" s="411"/>
      <c r="D47" s="411"/>
      <c r="E47" s="411"/>
      <c r="F47" s="411"/>
      <c r="G47" s="411"/>
      <c r="H47" s="412"/>
      <c r="I47" s="74"/>
      <c r="J47" s="211"/>
      <c r="K47" s="466"/>
      <c r="L47" s="467"/>
      <c r="M47" s="75"/>
    </row>
    <row r="48" spans="1:16" ht="15.75" thickBot="1">
      <c r="A48" s="416" t="s">
        <v>87</v>
      </c>
      <c r="B48" s="417"/>
      <c r="C48" s="417"/>
      <c r="D48" s="417"/>
      <c r="E48" s="417"/>
      <c r="F48" s="417"/>
      <c r="G48" s="417"/>
      <c r="H48" s="417"/>
      <c r="I48" s="417"/>
      <c r="J48" s="417"/>
      <c r="K48" s="417"/>
      <c r="L48" s="418"/>
      <c r="M48" s="58">
        <f>SUM(M39:M47)</f>
        <v>151903</v>
      </c>
    </row>
    <row r="49" spans="1:13">
      <c r="A49" s="30"/>
      <c r="B49" s="19"/>
      <c r="C49" s="19"/>
      <c r="D49" s="19"/>
      <c r="E49" s="19"/>
      <c r="F49" s="19"/>
      <c r="G49" s="19"/>
      <c r="H49" s="19"/>
      <c r="I49" s="19"/>
      <c r="J49" s="19"/>
      <c r="K49" s="19"/>
      <c r="L49" s="19"/>
      <c r="M49" s="24"/>
    </row>
    <row r="50" spans="1:13">
      <c r="A50" s="51" t="s">
        <v>90</v>
      </c>
      <c r="B50" s="52"/>
      <c r="C50" s="52"/>
      <c r="D50" s="52"/>
      <c r="E50" s="52"/>
      <c r="F50" s="52"/>
      <c r="G50" s="52"/>
      <c r="H50" s="52"/>
      <c r="I50" s="52"/>
      <c r="J50" s="52"/>
      <c r="K50" s="52"/>
      <c r="L50" s="52"/>
      <c r="M50" s="53"/>
    </row>
    <row r="51" spans="1:13" ht="15.75" thickBot="1">
      <c r="A51" s="30"/>
      <c r="B51" s="19"/>
      <c r="C51" s="19"/>
      <c r="D51" s="19"/>
      <c r="E51" s="19"/>
      <c r="F51" s="19"/>
      <c r="G51" s="19"/>
      <c r="H51" s="19"/>
      <c r="I51" s="19"/>
      <c r="J51" s="19"/>
      <c r="K51" s="19"/>
      <c r="L51" s="19"/>
      <c r="M51" s="24"/>
    </row>
    <row r="52" spans="1:13">
      <c r="A52" s="408" t="s">
        <v>91</v>
      </c>
      <c r="B52" s="431"/>
      <c r="C52" s="431"/>
      <c r="D52" s="431"/>
      <c r="E52" s="431"/>
      <c r="F52" s="431"/>
      <c r="G52" s="431"/>
      <c r="H52" s="221" t="s">
        <v>92</v>
      </c>
      <c r="I52" s="218" t="s">
        <v>93</v>
      </c>
      <c r="J52" s="60" t="s">
        <v>94</v>
      </c>
      <c r="K52" s="421" t="s">
        <v>95</v>
      </c>
      <c r="L52" s="424"/>
      <c r="M52" s="44" t="s">
        <v>85</v>
      </c>
    </row>
    <row r="53" spans="1:13">
      <c r="A53" s="425"/>
      <c r="B53" s="426"/>
      <c r="C53" s="426"/>
      <c r="D53" s="426"/>
      <c r="E53" s="426"/>
      <c r="F53" s="426"/>
      <c r="G53" s="426"/>
      <c r="H53" s="61"/>
      <c r="I53" s="55"/>
      <c r="J53" s="61"/>
      <c r="K53" s="428"/>
      <c r="L53" s="429"/>
    </row>
    <row r="54" spans="1:13" ht="15.75" thickBot="1">
      <c r="A54" s="410"/>
      <c r="B54" s="411"/>
      <c r="C54" s="411"/>
      <c r="D54" s="411"/>
      <c r="E54" s="411"/>
      <c r="F54" s="411"/>
      <c r="G54" s="411"/>
      <c r="H54" s="47"/>
      <c r="I54" s="15"/>
      <c r="J54" s="47"/>
      <c r="K54" s="414"/>
      <c r="L54" s="415"/>
      <c r="M54" s="62"/>
    </row>
    <row r="55" spans="1:13" ht="15.75" thickBot="1">
      <c r="A55" s="416" t="s">
        <v>87</v>
      </c>
      <c r="B55" s="417"/>
      <c r="C55" s="417"/>
      <c r="D55" s="417"/>
      <c r="E55" s="417"/>
      <c r="F55" s="417"/>
      <c r="G55" s="417"/>
      <c r="H55" s="417"/>
      <c r="I55" s="417"/>
      <c r="J55" s="417"/>
      <c r="K55" s="417"/>
      <c r="L55" s="418"/>
      <c r="M55" s="63">
        <f>SUM(M54:M54)</f>
        <v>0</v>
      </c>
    </row>
    <row r="56" spans="1:13">
      <c r="A56" s="30"/>
      <c r="B56" s="19"/>
      <c r="C56" s="19"/>
      <c r="D56" s="19"/>
      <c r="E56" s="19"/>
      <c r="F56" s="19"/>
      <c r="G56" s="19"/>
      <c r="H56" s="19"/>
      <c r="I56" s="19"/>
      <c r="J56" s="19"/>
      <c r="K56" s="19"/>
      <c r="L56" s="19"/>
      <c r="M56" s="24"/>
    </row>
    <row r="57" spans="1:13">
      <c r="A57" s="51" t="s">
        <v>96</v>
      </c>
      <c r="B57" s="52"/>
      <c r="C57" s="52"/>
      <c r="D57" s="52"/>
      <c r="E57" s="52"/>
      <c r="F57" s="52"/>
      <c r="G57" s="52"/>
      <c r="H57" s="52"/>
      <c r="I57" s="52"/>
      <c r="J57" s="52"/>
      <c r="K57" s="52"/>
      <c r="L57" s="52"/>
      <c r="M57" s="53"/>
    </row>
    <row r="58" spans="1:13" ht="15.75" thickBot="1">
      <c r="A58" s="30"/>
      <c r="B58" s="19"/>
      <c r="C58" s="19"/>
      <c r="D58" s="19"/>
      <c r="E58" s="19"/>
      <c r="F58" s="19"/>
      <c r="G58" s="19"/>
      <c r="H58" s="19"/>
      <c r="I58" s="19"/>
      <c r="J58" s="19"/>
      <c r="K58" s="19"/>
      <c r="L58" s="19"/>
      <c r="M58" s="24"/>
    </row>
    <row r="59" spans="1:13" ht="26.25">
      <c r="A59" s="453" t="s">
        <v>97</v>
      </c>
      <c r="B59" s="454"/>
      <c r="C59" s="454"/>
      <c r="D59" s="454"/>
      <c r="E59" s="454"/>
      <c r="F59" s="454"/>
      <c r="G59" s="454"/>
      <c r="H59" s="221" t="s">
        <v>98</v>
      </c>
      <c r="I59" s="222" t="s">
        <v>99</v>
      </c>
      <c r="J59" s="222" t="s">
        <v>100</v>
      </c>
      <c r="K59" s="455" t="s">
        <v>84</v>
      </c>
      <c r="L59" s="455"/>
      <c r="M59" s="65" t="s">
        <v>85</v>
      </c>
    </row>
    <row r="60" spans="1:13">
      <c r="A60" s="471" t="s">
        <v>243</v>
      </c>
      <c r="B60" s="472"/>
      <c r="C60" s="472"/>
      <c r="D60" s="472"/>
      <c r="E60" s="472"/>
      <c r="F60" s="472"/>
      <c r="G60" s="472"/>
      <c r="H60" s="1">
        <v>109738.14166566246</v>
      </c>
      <c r="I60" s="2">
        <v>2.2000000000000002</v>
      </c>
      <c r="J60" s="66">
        <f>(I60*H60)</f>
        <v>241423.91166445744</v>
      </c>
      <c r="K60" s="483">
        <v>50</v>
      </c>
      <c r="L60" s="483"/>
      <c r="M60" s="56">
        <f>J60/K60</f>
        <v>4828.4782332891491</v>
      </c>
    </row>
    <row r="61" spans="1:13">
      <c r="A61" s="471"/>
      <c r="B61" s="472"/>
      <c r="C61" s="472"/>
      <c r="D61" s="472"/>
      <c r="E61" s="472"/>
      <c r="F61" s="472"/>
      <c r="G61" s="472"/>
      <c r="H61" s="1"/>
      <c r="I61" s="2"/>
      <c r="J61" s="66"/>
      <c r="K61" s="473"/>
      <c r="L61" s="473"/>
      <c r="M61" s="56"/>
    </row>
    <row r="62" spans="1:13" ht="15.75" thickBot="1">
      <c r="A62" s="432"/>
      <c r="B62" s="433"/>
      <c r="C62" s="433"/>
      <c r="D62" s="433"/>
      <c r="E62" s="433"/>
      <c r="F62" s="433"/>
      <c r="G62" s="433"/>
      <c r="H62" s="3"/>
      <c r="I62" s="4"/>
      <c r="J62" s="67"/>
      <c r="K62" s="434"/>
      <c r="L62" s="434"/>
      <c r="M62" s="68"/>
    </row>
    <row r="63" spans="1:13" ht="15.75" thickBot="1">
      <c r="A63" s="435" t="s">
        <v>87</v>
      </c>
      <c r="B63" s="436"/>
      <c r="C63" s="436"/>
      <c r="D63" s="436"/>
      <c r="E63" s="436"/>
      <c r="F63" s="436"/>
      <c r="G63" s="436"/>
      <c r="H63" s="436"/>
      <c r="I63" s="436"/>
      <c r="J63" s="436"/>
      <c r="K63" s="436"/>
      <c r="L63" s="437"/>
      <c r="M63" s="69">
        <f>SUM(M60:M62)</f>
        <v>4828.4782332891491</v>
      </c>
    </row>
    <row r="64" spans="1:13" ht="15.75" thickBot="1">
      <c r="A64" s="30"/>
      <c r="B64" s="19"/>
      <c r="C64" s="19"/>
      <c r="D64" s="19"/>
      <c r="E64" s="19"/>
      <c r="F64" s="19"/>
      <c r="G64" s="19"/>
      <c r="H64" s="19"/>
      <c r="I64" s="19"/>
      <c r="J64" s="19"/>
      <c r="K64" s="19"/>
      <c r="L64" s="19"/>
      <c r="M64" s="24"/>
    </row>
    <row r="65" spans="1:13" ht="15.75" thickBot="1">
      <c r="A65" s="416" t="s">
        <v>101</v>
      </c>
      <c r="B65" s="417"/>
      <c r="C65" s="417"/>
      <c r="D65" s="417"/>
      <c r="E65" s="417"/>
      <c r="F65" s="417"/>
      <c r="G65" s="417"/>
      <c r="H65" s="417"/>
      <c r="I65" s="417"/>
      <c r="J65" s="417"/>
      <c r="K65" s="417"/>
      <c r="L65" s="418"/>
      <c r="M65" s="70">
        <f>ROUND(M63+M55+M48+M34,0)</f>
        <v>159027</v>
      </c>
    </row>
    <row r="66" spans="1:13">
      <c r="A66" s="30"/>
      <c r="B66" s="19"/>
      <c r="C66" s="19"/>
      <c r="D66" s="19"/>
      <c r="E66" s="19"/>
      <c r="F66" s="19"/>
      <c r="G66" s="19"/>
      <c r="H66" s="19"/>
      <c r="I66" s="19"/>
      <c r="J66" s="19"/>
      <c r="K66" s="19"/>
      <c r="L66" s="19"/>
      <c r="M66" s="24"/>
    </row>
    <row r="67" spans="1:13">
      <c r="A67" s="51" t="s">
        <v>102</v>
      </c>
      <c r="B67" s="52"/>
      <c r="C67" s="52"/>
      <c r="D67" s="52"/>
      <c r="E67" s="52"/>
      <c r="F67" s="52"/>
      <c r="G67" s="52"/>
      <c r="H67" s="52"/>
      <c r="I67" s="52"/>
      <c r="J67" s="52"/>
      <c r="K67" s="52"/>
      <c r="L67" s="52"/>
      <c r="M67" s="53"/>
    </row>
    <row r="68" spans="1:13" ht="15.75" thickBot="1">
      <c r="A68" s="30"/>
      <c r="B68" s="19"/>
      <c r="C68" s="19"/>
      <c r="D68" s="19"/>
      <c r="E68" s="19"/>
      <c r="F68" s="19"/>
      <c r="G68" s="19"/>
      <c r="H68" s="19"/>
      <c r="I68" s="19"/>
      <c r="J68" s="19"/>
      <c r="K68" s="19"/>
      <c r="L68" s="19"/>
      <c r="M68" s="24"/>
    </row>
    <row r="69" spans="1:13" ht="15.75" thickBot="1">
      <c r="A69" s="438" t="s">
        <v>103</v>
      </c>
      <c r="B69" s="439"/>
      <c r="C69" s="439"/>
      <c r="D69" s="439"/>
      <c r="E69" s="439"/>
      <c r="F69" s="439"/>
      <c r="G69" s="439"/>
      <c r="H69" s="219"/>
      <c r="I69" s="220"/>
      <c r="J69" s="81" t="s">
        <v>104</v>
      </c>
      <c r="K69" s="440" t="s">
        <v>105</v>
      </c>
      <c r="L69" s="441"/>
      <c r="M69" s="82"/>
    </row>
    <row r="70" spans="1:13">
      <c r="A70" s="442" t="s">
        <v>106</v>
      </c>
      <c r="B70" s="443"/>
      <c r="C70" s="443"/>
      <c r="D70" s="443"/>
      <c r="E70" s="443"/>
      <c r="F70" s="443"/>
      <c r="G70" s="443"/>
      <c r="H70" s="83"/>
      <c r="I70" s="84"/>
      <c r="J70" s="85">
        <v>0.19</v>
      </c>
      <c r="K70" s="444">
        <f>M65*J70</f>
        <v>30215.13</v>
      </c>
      <c r="L70" s="444"/>
      <c r="M70" s="86"/>
    </row>
    <row r="71" spans="1:13">
      <c r="A71" s="447" t="s">
        <v>107</v>
      </c>
      <c r="B71" s="448"/>
      <c r="C71" s="448"/>
      <c r="D71" s="448"/>
      <c r="E71" s="448"/>
      <c r="F71" s="448"/>
      <c r="G71" s="449"/>
      <c r="H71" s="77"/>
      <c r="I71" s="78"/>
      <c r="J71" s="5">
        <v>0.01</v>
      </c>
      <c r="K71" s="445">
        <f>M65*J71</f>
        <v>1590.27</v>
      </c>
      <c r="L71" s="445"/>
      <c r="M71" s="6"/>
    </row>
    <row r="72" spans="1:13">
      <c r="A72" s="447" t="s">
        <v>108</v>
      </c>
      <c r="B72" s="448"/>
      <c r="C72" s="448"/>
      <c r="D72" s="448"/>
      <c r="E72" s="448"/>
      <c r="F72" s="448"/>
      <c r="G72" s="449"/>
      <c r="H72" s="77"/>
      <c r="I72" s="78"/>
      <c r="J72" s="5">
        <v>0.05</v>
      </c>
      <c r="K72" s="445">
        <f>M65*J72</f>
        <v>7951.35</v>
      </c>
      <c r="L72" s="445"/>
      <c r="M72" s="6"/>
    </row>
    <row r="73" spans="1:13" ht="15.75" thickBot="1">
      <c r="A73" s="450" t="s">
        <v>117</v>
      </c>
      <c r="B73" s="451"/>
      <c r="C73" s="451"/>
      <c r="D73" s="451"/>
      <c r="E73" s="451"/>
      <c r="F73" s="451"/>
      <c r="G73" s="452"/>
      <c r="H73" s="87"/>
      <c r="I73" s="88"/>
      <c r="J73" s="89">
        <v>0.19</v>
      </c>
      <c r="K73" s="446">
        <f>K72*J73</f>
        <v>1510.7565000000002</v>
      </c>
      <c r="L73" s="446"/>
      <c r="M73" s="90"/>
    </row>
    <row r="74" spans="1:13" ht="15.75" thickBot="1">
      <c r="A74" s="435" t="s">
        <v>87</v>
      </c>
      <c r="B74" s="436"/>
      <c r="C74" s="436"/>
      <c r="D74" s="436"/>
      <c r="E74" s="436"/>
      <c r="F74" s="436"/>
      <c r="G74" s="436"/>
      <c r="H74" s="436"/>
      <c r="I74" s="436"/>
      <c r="J74" s="436"/>
      <c r="K74" s="436"/>
      <c r="L74" s="437"/>
      <c r="M74" s="76">
        <f>SUM(K70:L73)</f>
        <v>41267.506500000003</v>
      </c>
    </row>
    <row r="75" spans="1:13" ht="15.75" thickBot="1">
      <c r="A75" s="30"/>
      <c r="B75" s="19"/>
      <c r="C75" s="19"/>
      <c r="D75" s="19"/>
      <c r="E75" s="19"/>
      <c r="F75" s="19"/>
      <c r="G75" s="19"/>
      <c r="H75" s="19"/>
      <c r="I75" s="19"/>
      <c r="J75" s="19"/>
      <c r="K75" s="19"/>
      <c r="L75" s="19"/>
      <c r="M75" s="24"/>
    </row>
    <row r="76" spans="1:13" ht="15.75" thickBot="1">
      <c r="A76" s="416" t="s">
        <v>109</v>
      </c>
      <c r="B76" s="417"/>
      <c r="C76" s="417"/>
      <c r="D76" s="417"/>
      <c r="E76" s="417"/>
      <c r="F76" s="417"/>
      <c r="G76" s="417"/>
      <c r="H76" s="417"/>
      <c r="I76" s="417"/>
      <c r="J76" s="417"/>
      <c r="K76" s="417"/>
      <c r="L76" s="418"/>
      <c r="M76" s="71">
        <f>ROUND(M65+M74,0)</f>
        <v>200295</v>
      </c>
    </row>
  </sheetData>
  <mergeCells count="8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41:H41"/>
    <mergeCell ref="K41:L41"/>
    <mergeCell ref="A42:H42"/>
    <mergeCell ref="K42:L42"/>
    <mergeCell ref="A43:H43"/>
    <mergeCell ref="K43:L43"/>
    <mergeCell ref="A53:G53"/>
    <mergeCell ref="K53:L53"/>
    <mergeCell ref="A44:H44"/>
    <mergeCell ref="K44:L44"/>
    <mergeCell ref="A45:H45"/>
    <mergeCell ref="K45:L45"/>
    <mergeCell ref="A46:H46"/>
    <mergeCell ref="K46:L46"/>
    <mergeCell ref="A47:H47"/>
    <mergeCell ref="K47:L47"/>
    <mergeCell ref="A48:L48"/>
    <mergeCell ref="A52:G52"/>
    <mergeCell ref="K52:L52"/>
    <mergeCell ref="A65:L65"/>
    <mergeCell ref="A54:G54"/>
    <mergeCell ref="K54:L54"/>
    <mergeCell ref="A55:L55"/>
    <mergeCell ref="A59:G59"/>
    <mergeCell ref="K59:L59"/>
    <mergeCell ref="A60:G60"/>
    <mergeCell ref="K60:L60"/>
    <mergeCell ref="A61:G61"/>
    <mergeCell ref="K61:L61"/>
    <mergeCell ref="A62:G62"/>
    <mergeCell ref="K62:L62"/>
    <mergeCell ref="A63:L63"/>
    <mergeCell ref="A76:L76"/>
    <mergeCell ref="A69:G69"/>
    <mergeCell ref="K69:L69"/>
    <mergeCell ref="A70:G70"/>
    <mergeCell ref="K70:L70"/>
    <mergeCell ref="A71:G71"/>
    <mergeCell ref="K71:L71"/>
    <mergeCell ref="A72:G72"/>
    <mergeCell ref="K72:L72"/>
    <mergeCell ref="A73:G73"/>
    <mergeCell ref="K73:L73"/>
    <mergeCell ref="A74:L74"/>
  </mergeCells>
  <pageMargins left="0.7" right="0.7" top="0.75" bottom="0.75" header="0.3" footer="0.3"/>
  <pageSetup scale="56"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view="pageBreakPreview" topLeftCell="A42" zoomScale="70" zoomScaleNormal="100" zoomScaleSheetLayoutView="70" workbookViewId="0">
      <selection activeCell="M65" sqref="M65"/>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9">
      <c r="A17" s="25"/>
      <c r="B17" s="26"/>
      <c r="C17" s="224"/>
      <c r="D17" s="224"/>
      <c r="E17" s="224"/>
      <c r="F17" s="224"/>
      <c r="G17" s="224"/>
      <c r="H17" s="224"/>
      <c r="I17" s="224"/>
      <c r="J17" s="224"/>
      <c r="K17" s="224"/>
      <c r="L17" s="224"/>
      <c r="M17" s="13"/>
    </row>
    <row r="18" spans="1:19">
      <c r="A18" s="25" t="s">
        <v>74</v>
      </c>
      <c r="B18" s="26"/>
      <c r="C18" s="379"/>
      <c r="D18" s="379"/>
      <c r="E18" s="379"/>
      <c r="F18" s="379"/>
      <c r="G18" s="379"/>
      <c r="H18" s="379"/>
      <c r="I18" s="379"/>
      <c r="J18" s="379"/>
      <c r="K18" s="379"/>
      <c r="L18" s="379"/>
      <c r="M18" s="380"/>
    </row>
    <row r="19" spans="1:19">
      <c r="A19" s="25"/>
      <c r="B19" s="26"/>
      <c r="C19" s="224"/>
      <c r="D19" s="224"/>
      <c r="E19" s="224"/>
      <c r="F19" s="224"/>
      <c r="G19" s="224"/>
      <c r="H19" s="224"/>
      <c r="I19" s="224"/>
      <c r="J19" s="224"/>
      <c r="K19" s="224"/>
      <c r="L19" s="224"/>
      <c r="M19" s="13"/>
    </row>
    <row r="20" spans="1:19" ht="31.5" customHeight="1">
      <c r="A20" s="464" t="s">
        <v>113</v>
      </c>
      <c r="B20" s="465"/>
      <c r="C20" s="379"/>
      <c r="D20" s="379"/>
      <c r="E20" s="379"/>
      <c r="F20" s="379"/>
      <c r="G20" s="379"/>
      <c r="H20" s="379"/>
      <c r="I20" s="379"/>
      <c r="J20" s="379"/>
      <c r="K20" s="379"/>
      <c r="L20" s="379"/>
      <c r="M20" s="380"/>
    </row>
    <row r="21" spans="1:19">
      <c r="A21" s="400"/>
      <c r="B21" s="401"/>
      <c r="C21" s="224"/>
      <c r="D21" s="224"/>
      <c r="E21" s="224"/>
      <c r="F21" s="224"/>
      <c r="G21" s="224"/>
      <c r="H21" s="224"/>
      <c r="I21" s="224"/>
      <c r="J21" s="224"/>
      <c r="K21" s="224"/>
      <c r="L21" s="22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216" t="s">
        <v>78</v>
      </c>
      <c r="K25" s="408" t="s">
        <v>79</v>
      </c>
      <c r="L25" s="409"/>
      <c r="M25" s="31" t="s">
        <v>80</v>
      </c>
    </row>
    <row r="26" spans="1:19" ht="29.25" customHeight="1" thickBot="1">
      <c r="A26" s="33"/>
      <c r="B26" s="505" t="s">
        <v>441</v>
      </c>
      <c r="C26" s="528"/>
      <c r="D26" s="528"/>
      <c r="E26" s="528"/>
      <c r="F26" s="528"/>
      <c r="G26" s="528"/>
      <c r="H26" s="528"/>
      <c r="I26" s="529"/>
      <c r="J26" s="226">
        <v>1</v>
      </c>
      <c r="K26" s="508" t="s">
        <v>115</v>
      </c>
      <c r="L26" s="507"/>
      <c r="M26" s="228"/>
      <c r="N26" s="230"/>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221" t="s">
        <v>83</v>
      </c>
      <c r="K30" s="421" t="s">
        <v>84</v>
      </c>
      <c r="L30" s="424"/>
      <c r="M30" s="44" t="s">
        <v>85</v>
      </c>
    </row>
    <row r="31" spans="1:19" ht="15.75" thickBot="1">
      <c r="A31" s="425" t="s">
        <v>124</v>
      </c>
      <c r="B31" s="426"/>
      <c r="C31" s="426"/>
      <c r="D31" s="426"/>
      <c r="E31" s="427"/>
      <c r="F31" s="428" t="s">
        <v>125</v>
      </c>
      <c r="G31" s="429"/>
      <c r="H31" s="430" t="s">
        <v>86</v>
      </c>
      <c r="I31" s="427"/>
      <c r="J31" s="72">
        <v>1045.77</v>
      </c>
      <c r="K31" s="428">
        <v>1</v>
      </c>
      <c r="L31" s="429"/>
      <c r="M31" s="231">
        <f>J31/K31</f>
        <v>1045.77</v>
      </c>
      <c r="N31" s="489"/>
      <c r="O31" s="490"/>
      <c r="P31" s="95"/>
      <c r="Q31" s="96"/>
      <c r="R31" s="97"/>
      <c r="S31" s="98"/>
    </row>
    <row r="32" spans="1:19">
      <c r="A32" s="425" t="s">
        <v>209</v>
      </c>
      <c r="B32" s="426"/>
      <c r="C32" s="426"/>
      <c r="D32" s="426"/>
      <c r="E32" s="427"/>
      <c r="F32" s="428" t="s">
        <v>210</v>
      </c>
      <c r="G32" s="429"/>
      <c r="H32" s="430" t="s">
        <v>211</v>
      </c>
      <c r="I32" s="427"/>
      <c r="J32" s="72">
        <v>49980</v>
      </c>
      <c r="K32" s="428">
        <v>2.5000000000000001E-2</v>
      </c>
      <c r="L32" s="429"/>
      <c r="M32" s="209">
        <f>J32*K32</f>
        <v>1249.5</v>
      </c>
    </row>
    <row r="33" spans="1:16" ht="15.75" thickBot="1">
      <c r="A33" s="410"/>
      <c r="B33" s="411"/>
      <c r="C33" s="411"/>
      <c r="D33" s="411"/>
      <c r="E33" s="412"/>
      <c r="F33" s="414"/>
      <c r="G33" s="415"/>
      <c r="H33" s="413"/>
      <c r="I33" s="412"/>
      <c r="J33" s="91"/>
      <c r="K33" s="414"/>
      <c r="L33" s="415"/>
      <c r="M33" s="46"/>
    </row>
    <row r="34" spans="1:16" ht="15.75" thickBot="1">
      <c r="A34" s="416" t="s">
        <v>87</v>
      </c>
      <c r="B34" s="417"/>
      <c r="C34" s="417"/>
      <c r="D34" s="417"/>
      <c r="E34" s="417"/>
      <c r="F34" s="417"/>
      <c r="G34" s="417"/>
      <c r="H34" s="417"/>
      <c r="I34" s="417"/>
      <c r="J34" s="417"/>
      <c r="K34" s="417"/>
      <c r="L34" s="418"/>
      <c r="M34" s="232">
        <f>SUM(M31:M33)</f>
        <v>2295.27</v>
      </c>
    </row>
    <row r="35" spans="1:16">
      <c r="A35" s="50"/>
      <c r="B35" s="19"/>
      <c r="C35" s="19"/>
      <c r="D35" s="19"/>
      <c r="E35" s="19"/>
      <c r="F35" s="19"/>
      <c r="G35" s="19"/>
      <c r="H35" s="19"/>
      <c r="I35" s="19"/>
      <c r="J35" s="19"/>
      <c r="K35" s="19"/>
      <c r="L35" s="19"/>
      <c r="M35" s="24"/>
    </row>
    <row r="36" spans="1:16">
      <c r="A36" s="51" t="s">
        <v>88</v>
      </c>
      <c r="B36" s="52"/>
      <c r="C36" s="52"/>
      <c r="D36" s="52"/>
      <c r="E36" s="52"/>
      <c r="F36" s="52"/>
      <c r="G36" s="52"/>
      <c r="H36" s="52"/>
      <c r="I36" s="52"/>
      <c r="J36" s="52"/>
      <c r="K36" s="52"/>
      <c r="L36" s="52"/>
      <c r="M36" s="53"/>
    </row>
    <row r="37" spans="1:16" ht="15.75" thickBot="1">
      <c r="A37" s="14"/>
      <c r="B37" s="15"/>
      <c r="C37" s="15"/>
      <c r="D37" s="15"/>
      <c r="E37" s="15"/>
      <c r="F37" s="15"/>
      <c r="G37" s="15"/>
      <c r="H37" s="15"/>
      <c r="I37" s="19"/>
      <c r="J37" s="19"/>
      <c r="K37" s="19"/>
      <c r="L37" s="19"/>
      <c r="M37" s="24"/>
    </row>
    <row r="38" spans="1:16">
      <c r="A38" s="408" t="s">
        <v>77</v>
      </c>
      <c r="B38" s="431"/>
      <c r="C38" s="431"/>
      <c r="D38" s="431"/>
      <c r="E38" s="431"/>
      <c r="F38" s="431"/>
      <c r="G38" s="431"/>
      <c r="H38" s="424"/>
      <c r="I38" s="217" t="s">
        <v>79</v>
      </c>
      <c r="J38" s="221" t="s">
        <v>80</v>
      </c>
      <c r="K38" s="421" t="s">
        <v>89</v>
      </c>
      <c r="L38" s="424"/>
      <c r="M38" s="44" t="s">
        <v>85</v>
      </c>
    </row>
    <row r="39" spans="1:16" ht="15" customHeight="1">
      <c r="A39" s="484" t="s">
        <v>269</v>
      </c>
      <c r="B39" s="485"/>
      <c r="C39" s="485"/>
      <c r="D39" s="485"/>
      <c r="E39" s="485"/>
      <c r="F39" s="485"/>
      <c r="G39" s="485"/>
      <c r="H39" s="486"/>
      <c r="I39" s="73" t="s">
        <v>11</v>
      </c>
      <c r="J39" s="92">
        <v>1</v>
      </c>
      <c r="K39" s="487">
        <v>159999</v>
      </c>
      <c r="L39" s="488"/>
      <c r="M39" s="56">
        <f>K39*J39</f>
        <v>159999</v>
      </c>
      <c r="O39" s="94"/>
    </row>
    <row r="40" spans="1:16" ht="15" customHeight="1">
      <c r="A40" s="484" t="s">
        <v>270</v>
      </c>
      <c r="B40" s="485"/>
      <c r="C40" s="485"/>
      <c r="D40" s="485"/>
      <c r="E40" s="485"/>
      <c r="F40" s="485"/>
      <c r="G40" s="485"/>
      <c r="H40" s="486"/>
      <c r="I40" s="99" t="s">
        <v>8</v>
      </c>
      <c r="J40" s="93">
        <v>3</v>
      </c>
      <c r="K40" s="487">
        <v>9000</v>
      </c>
      <c r="L40" s="488"/>
      <c r="M40" s="56">
        <f t="shared" ref="M40:M41" si="0">K40*J40</f>
        <v>27000</v>
      </c>
      <c r="P40" s="94"/>
    </row>
    <row r="41" spans="1:16" ht="15" customHeight="1">
      <c r="A41" s="484" t="s">
        <v>271</v>
      </c>
      <c r="B41" s="485"/>
      <c r="C41" s="485"/>
      <c r="D41" s="485"/>
      <c r="E41" s="485"/>
      <c r="F41" s="485"/>
      <c r="G41" s="485"/>
      <c r="H41" s="486"/>
      <c r="I41" s="73" t="s">
        <v>11</v>
      </c>
      <c r="J41" s="93">
        <v>1</v>
      </c>
      <c r="K41" s="487">
        <v>6900</v>
      </c>
      <c r="L41" s="488"/>
      <c r="M41" s="56">
        <f t="shared" si="0"/>
        <v>6900</v>
      </c>
    </row>
    <row r="42" spans="1:16">
      <c r="A42" s="425"/>
      <c r="B42" s="426"/>
      <c r="C42" s="426"/>
      <c r="D42" s="426"/>
      <c r="E42" s="426"/>
      <c r="F42" s="426"/>
      <c r="G42" s="426"/>
      <c r="H42" s="427"/>
      <c r="I42" s="73"/>
      <c r="J42" s="225"/>
      <c r="K42" s="456"/>
      <c r="L42" s="457"/>
      <c r="M42" s="56"/>
    </row>
    <row r="43" spans="1:16">
      <c r="A43" s="425"/>
      <c r="B43" s="426"/>
      <c r="C43" s="426"/>
      <c r="D43" s="426"/>
      <c r="E43" s="426"/>
      <c r="F43" s="426"/>
      <c r="G43" s="426"/>
      <c r="H43" s="427"/>
      <c r="I43" s="73"/>
      <c r="J43" s="225"/>
      <c r="K43" s="456"/>
      <c r="L43" s="457"/>
      <c r="M43" s="56"/>
    </row>
    <row r="44" spans="1:16">
      <c r="A44" s="425"/>
      <c r="B44" s="426"/>
      <c r="C44" s="426"/>
      <c r="D44" s="426"/>
      <c r="E44" s="426"/>
      <c r="F44" s="426"/>
      <c r="G44" s="426"/>
      <c r="H44" s="427"/>
      <c r="I44" s="73"/>
      <c r="J44" s="225"/>
      <c r="K44" s="456"/>
      <c r="L44" s="457"/>
      <c r="M44" s="56"/>
    </row>
    <row r="45" spans="1:16">
      <c r="A45" s="425"/>
      <c r="B45" s="426"/>
      <c r="C45" s="426"/>
      <c r="D45" s="426"/>
      <c r="E45" s="426"/>
      <c r="F45" s="426"/>
      <c r="G45" s="426"/>
      <c r="H45" s="427"/>
      <c r="I45" s="73"/>
      <c r="J45" s="225"/>
      <c r="K45" s="456"/>
      <c r="L45" s="457"/>
      <c r="M45" s="56"/>
    </row>
    <row r="46" spans="1:16">
      <c r="A46" s="425"/>
      <c r="B46" s="426"/>
      <c r="C46" s="426"/>
      <c r="D46" s="426"/>
      <c r="E46" s="426"/>
      <c r="F46" s="426"/>
      <c r="G46" s="426"/>
      <c r="H46" s="427"/>
      <c r="I46" s="73"/>
      <c r="J46" s="225"/>
      <c r="K46" s="456"/>
      <c r="L46" s="457"/>
      <c r="M46" s="56"/>
    </row>
    <row r="47" spans="1:16" ht="15.75" thickBot="1">
      <c r="A47" s="410"/>
      <c r="B47" s="411"/>
      <c r="C47" s="411"/>
      <c r="D47" s="411"/>
      <c r="E47" s="411"/>
      <c r="F47" s="411"/>
      <c r="G47" s="411"/>
      <c r="H47" s="412"/>
      <c r="I47" s="74"/>
      <c r="J47" s="211"/>
      <c r="K47" s="466"/>
      <c r="L47" s="467"/>
      <c r="M47" s="75"/>
    </row>
    <row r="48" spans="1:16" ht="15.75" thickBot="1">
      <c r="A48" s="416" t="s">
        <v>87</v>
      </c>
      <c r="B48" s="417"/>
      <c r="C48" s="417"/>
      <c r="D48" s="417"/>
      <c r="E48" s="417"/>
      <c r="F48" s="417"/>
      <c r="G48" s="417"/>
      <c r="H48" s="417"/>
      <c r="I48" s="417"/>
      <c r="J48" s="417"/>
      <c r="K48" s="417"/>
      <c r="L48" s="418"/>
      <c r="M48" s="58">
        <f>SUM(M39:M47)</f>
        <v>193899</v>
      </c>
    </row>
    <row r="49" spans="1:13">
      <c r="A49" s="30"/>
      <c r="B49" s="19"/>
      <c r="C49" s="19"/>
      <c r="D49" s="19"/>
      <c r="E49" s="19"/>
      <c r="F49" s="19"/>
      <c r="G49" s="19"/>
      <c r="H49" s="19"/>
      <c r="I49" s="19"/>
      <c r="J49" s="19"/>
      <c r="K49" s="19"/>
      <c r="L49" s="19"/>
      <c r="M49" s="24"/>
    </row>
    <row r="50" spans="1:13">
      <c r="A50" s="51" t="s">
        <v>90</v>
      </c>
      <c r="B50" s="52"/>
      <c r="C50" s="52"/>
      <c r="D50" s="52"/>
      <c r="E50" s="52"/>
      <c r="F50" s="52"/>
      <c r="G50" s="52"/>
      <c r="H50" s="52"/>
      <c r="I50" s="52"/>
      <c r="J50" s="52"/>
      <c r="K50" s="52"/>
      <c r="L50" s="52"/>
      <c r="M50" s="53"/>
    </row>
    <row r="51" spans="1:13" ht="15.75" thickBot="1">
      <c r="A51" s="30"/>
      <c r="B51" s="19"/>
      <c r="C51" s="19"/>
      <c r="D51" s="19"/>
      <c r="E51" s="19"/>
      <c r="F51" s="19"/>
      <c r="G51" s="19"/>
      <c r="H51" s="19"/>
      <c r="I51" s="19"/>
      <c r="J51" s="19"/>
      <c r="K51" s="19"/>
      <c r="L51" s="19"/>
      <c r="M51" s="24"/>
    </row>
    <row r="52" spans="1:13">
      <c r="A52" s="408" t="s">
        <v>91</v>
      </c>
      <c r="B52" s="431"/>
      <c r="C52" s="431"/>
      <c r="D52" s="431"/>
      <c r="E52" s="431"/>
      <c r="F52" s="431"/>
      <c r="G52" s="431"/>
      <c r="H52" s="221" t="s">
        <v>92</v>
      </c>
      <c r="I52" s="218" t="s">
        <v>93</v>
      </c>
      <c r="J52" s="60" t="s">
        <v>94</v>
      </c>
      <c r="K52" s="421" t="s">
        <v>95</v>
      </c>
      <c r="L52" s="424"/>
      <c r="M52" s="44" t="s">
        <v>85</v>
      </c>
    </row>
    <row r="53" spans="1:13">
      <c r="A53" s="425"/>
      <c r="B53" s="426"/>
      <c r="C53" s="426"/>
      <c r="D53" s="426"/>
      <c r="E53" s="426"/>
      <c r="F53" s="426"/>
      <c r="G53" s="426"/>
      <c r="H53" s="61"/>
      <c r="I53" s="55"/>
      <c r="J53" s="61"/>
      <c r="K53" s="428"/>
      <c r="L53" s="429"/>
    </row>
    <row r="54" spans="1:13" ht="15.75" thickBot="1">
      <c r="A54" s="410"/>
      <c r="B54" s="411"/>
      <c r="C54" s="411"/>
      <c r="D54" s="411"/>
      <c r="E54" s="411"/>
      <c r="F54" s="411"/>
      <c r="G54" s="411"/>
      <c r="H54" s="47"/>
      <c r="I54" s="15"/>
      <c r="J54" s="47"/>
      <c r="K54" s="414"/>
      <c r="L54" s="415"/>
      <c r="M54" s="62"/>
    </row>
    <row r="55" spans="1:13" ht="15.75" thickBot="1">
      <c r="A55" s="416" t="s">
        <v>87</v>
      </c>
      <c r="B55" s="417"/>
      <c r="C55" s="417"/>
      <c r="D55" s="417"/>
      <c r="E55" s="417"/>
      <c r="F55" s="417"/>
      <c r="G55" s="417"/>
      <c r="H55" s="417"/>
      <c r="I55" s="417"/>
      <c r="J55" s="417"/>
      <c r="K55" s="417"/>
      <c r="L55" s="418"/>
      <c r="M55" s="63">
        <f>SUM(M54:M54)</f>
        <v>0</v>
      </c>
    </row>
    <row r="56" spans="1:13">
      <c r="A56" s="30"/>
      <c r="B56" s="19"/>
      <c r="C56" s="19"/>
      <c r="D56" s="19"/>
      <c r="E56" s="19"/>
      <c r="F56" s="19"/>
      <c r="G56" s="19"/>
      <c r="H56" s="19"/>
      <c r="I56" s="19"/>
      <c r="J56" s="19"/>
      <c r="K56" s="19"/>
      <c r="L56" s="19"/>
      <c r="M56" s="24"/>
    </row>
    <row r="57" spans="1:13">
      <c r="A57" s="51" t="s">
        <v>96</v>
      </c>
      <c r="B57" s="52"/>
      <c r="C57" s="52"/>
      <c r="D57" s="52"/>
      <c r="E57" s="52"/>
      <c r="F57" s="52"/>
      <c r="G57" s="52"/>
      <c r="H57" s="52"/>
      <c r="I57" s="52"/>
      <c r="J57" s="52"/>
      <c r="K57" s="52"/>
      <c r="L57" s="52"/>
      <c r="M57" s="53"/>
    </row>
    <row r="58" spans="1:13" ht="15.75" thickBot="1">
      <c r="A58" s="30"/>
      <c r="B58" s="19"/>
      <c r="C58" s="19"/>
      <c r="D58" s="19"/>
      <c r="E58" s="19"/>
      <c r="F58" s="19"/>
      <c r="G58" s="19"/>
      <c r="H58" s="19"/>
      <c r="I58" s="19"/>
      <c r="J58" s="19"/>
      <c r="K58" s="19"/>
      <c r="L58" s="19"/>
      <c r="M58" s="24"/>
    </row>
    <row r="59" spans="1:13" ht="26.25">
      <c r="A59" s="453" t="s">
        <v>97</v>
      </c>
      <c r="B59" s="454"/>
      <c r="C59" s="454"/>
      <c r="D59" s="454"/>
      <c r="E59" s="454"/>
      <c r="F59" s="454"/>
      <c r="G59" s="454"/>
      <c r="H59" s="221" t="s">
        <v>98</v>
      </c>
      <c r="I59" s="222" t="s">
        <v>99</v>
      </c>
      <c r="J59" s="222" t="s">
        <v>100</v>
      </c>
      <c r="K59" s="455" t="s">
        <v>84</v>
      </c>
      <c r="L59" s="455"/>
      <c r="M59" s="65" t="s">
        <v>85</v>
      </c>
    </row>
    <row r="60" spans="1:13">
      <c r="A60" s="471" t="s">
        <v>243</v>
      </c>
      <c r="B60" s="472"/>
      <c r="C60" s="472"/>
      <c r="D60" s="472"/>
      <c r="E60" s="472"/>
      <c r="F60" s="472"/>
      <c r="G60" s="472"/>
      <c r="H60" s="1">
        <v>109738.14166566246</v>
      </c>
      <c r="I60" s="2">
        <v>2.2000000000000002</v>
      </c>
      <c r="J60" s="66">
        <f>(I60*H60)</f>
        <v>241423.91166445744</v>
      </c>
      <c r="K60" s="483">
        <v>5.5</v>
      </c>
      <c r="L60" s="483"/>
      <c r="M60" s="56">
        <f>J60/K60</f>
        <v>43895.256666264992</v>
      </c>
    </row>
    <row r="61" spans="1:13">
      <c r="A61" s="471"/>
      <c r="B61" s="472"/>
      <c r="C61" s="472"/>
      <c r="D61" s="472"/>
      <c r="E61" s="472"/>
      <c r="F61" s="472"/>
      <c r="G61" s="472"/>
      <c r="H61" s="1"/>
      <c r="I61" s="2"/>
      <c r="J61" s="66"/>
      <c r="K61" s="473"/>
      <c r="L61" s="473"/>
      <c r="M61" s="56"/>
    </row>
    <row r="62" spans="1:13" ht="15.75" thickBot="1">
      <c r="A62" s="432"/>
      <c r="B62" s="433"/>
      <c r="C62" s="433"/>
      <c r="D62" s="433"/>
      <c r="E62" s="433"/>
      <c r="F62" s="433"/>
      <c r="G62" s="433"/>
      <c r="H62" s="3"/>
      <c r="I62" s="4"/>
      <c r="J62" s="67"/>
      <c r="K62" s="434"/>
      <c r="L62" s="434"/>
      <c r="M62" s="68"/>
    </row>
    <row r="63" spans="1:13" ht="15.75" thickBot="1">
      <c r="A63" s="435" t="s">
        <v>87</v>
      </c>
      <c r="B63" s="436"/>
      <c r="C63" s="436"/>
      <c r="D63" s="436"/>
      <c r="E63" s="436"/>
      <c r="F63" s="436"/>
      <c r="G63" s="436"/>
      <c r="H63" s="436"/>
      <c r="I63" s="436"/>
      <c r="J63" s="436"/>
      <c r="K63" s="436"/>
      <c r="L63" s="437"/>
      <c r="M63" s="69">
        <f>SUM(M60:M62)</f>
        <v>43895.256666264992</v>
      </c>
    </row>
    <row r="64" spans="1:13" ht="15.75" thickBot="1">
      <c r="A64" s="30"/>
      <c r="B64" s="19"/>
      <c r="C64" s="19"/>
      <c r="D64" s="19"/>
      <c r="E64" s="19"/>
      <c r="F64" s="19"/>
      <c r="G64" s="19"/>
      <c r="H64" s="19"/>
      <c r="I64" s="19"/>
      <c r="J64" s="19"/>
      <c r="K64" s="19"/>
      <c r="L64" s="19"/>
      <c r="M64" s="24"/>
    </row>
    <row r="65" spans="1:13" ht="15.75" thickBot="1">
      <c r="A65" s="416" t="s">
        <v>101</v>
      </c>
      <c r="B65" s="417"/>
      <c r="C65" s="417"/>
      <c r="D65" s="417"/>
      <c r="E65" s="417"/>
      <c r="F65" s="417"/>
      <c r="G65" s="417"/>
      <c r="H65" s="417"/>
      <c r="I65" s="417"/>
      <c r="J65" s="417"/>
      <c r="K65" s="417"/>
      <c r="L65" s="418"/>
      <c r="M65" s="70">
        <f>ROUND(M63+M55+M48+M34,0)</f>
        <v>240090</v>
      </c>
    </row>
    <row r="66" spans="1:13">
      <c r="A66" s="30"/>
      <c r="B66" s="19"/>
      <c r="C66" s="19"/>
      <c r="D66" s="19"/>
      <c r="E66" s="19"/>
      <c r="F66" s="19"/>
      <c r="G66" s="19"/>
      <c r="H66" s="19"/>
      <c r="I66" s="19"/>
      <c r="J66" s="19"/>
      <c r="K66" s="19"/>
      <c r="L66" s="19"/>
      <c r="M66" s="24"/>
    </row>
    <row r="67" spans="1:13">
      <c r="A67" s="51" t="s">
        <v>102</v>
      </c>
      <c r="B67" s="52"/>
      <c r="C67" s="52"/>
      <c r="D67" s="52"/>
      <c r="E67" s="52"/>
      <c r="F67" s="52"/>
      <c r="G67" s="52"/>
      <c r="H67" s="52"/>
      <c r="I67" s="52"/>
      <c r="J67" s="52"/>
      <c r="K67" s="52"/>
      <c r="L67" s="52"/>
      <c r="M67" s="53"/>
    </row>
    <row r="68" spans="1:13" ht="15.75" thickBot="1">
      <c r="A68" s="30"/>
      <c r="B68" s="19"/>
      <c r="C68" s="19"/>
      <c r="D68" s="19"/>
      <c r="E68" s="19"/>
      <c r="F68" s="19"/>
      <c r="G68" s="19"/>
      <c r="H68" s="19"/>
      <c r="I68" s="19"/>
      <c r="J68" s="19"/>
      <c r="K68" s="19"/>
      <c r="L68" s="19"/>
      <c r="M68" s="24"/>
    </row>
    <row r="69" spans="1:13" ht="15.75" thickBot="1">
      <c r="A69" s="438" t="s">
        <v>103</v>
      </c>
      <c r="B69" s="439"/>
      <c r="C69" s="439"/>
      <c r="D69" s="439"/>
      <c r="E69" s="439"/>
      <c r="F69" s="439"/>
      <c r="G69" s="439"/>
      <c r="H69" s="219"/>
      <c r="I69" s="220"/>
      <c r="J69" s="81" t="s">
        <v>104</v>
      </c>
      <c r="K69" s="440" t="s">
        <v>105</v>
      </c>
      <c r="L69" s="441"/>
      <c r="M69" s="82"/>
    </row>
    <row r="70" spans="1:13">
      <c r="A70" s="442" t="s">
        <v>106</v>
      </c>
      <c r="B70" s="443"/>
      <c r="C70" s="443"/>
      <c r="D70" s="443"/>
      <c r="E70" s="443"/>
      <c r="F70" s="443"/>
      <c r="G70" s="443"/>
      <c r="H70" s="83"/>
      <c r="I70" s="84"/>
      <c r="J70" s="85">
        <v>0.19</v>
      </c>
      <c r="K70" s="444">
        <f>M65*J70</f>
        <v>45617.1</v>
      </c>
      <c r="L70" s="444"/>
      <c r="M70" s="86"/>
    </row>
    <row r="71" spans="1:13">
      <c r="A71" s="447" t="s">
        <v>107</v>
      </c>
      <c r="B71" s="448"/>
      <c r="C71" s="448"/>
      <c r="D71" s="448"/>
      <c r="E71" s="448"/>
      <c r="F71" s="448"/>
      <c r="G71" s="449"/>
      <c r="H71" s="77"/>
      <c r="I71" s="78"/>
      <c r="J71" s="5">
        <v>0.01</v>
      </c>
      <c r="K71" s="445">
        <f>M65*J71</f>
        <v>2400.9</v>
      </c>
      <c r="L71" s="445"/>
      <c r="M71" s="6"/>
    </row>
    <row r="72" spans="1:13">
      <c r="A72" s="447" t="s">
        <v>108</v>
      </c>
      <c r="B72" s="448"/>
      <c r="C72" s="448"/>
      <c r="D72" s="448"/>
      <c r="E72" s="448"/>
      <c r="F72" s="448"/>
      <c r="G72" s="449"/>
      <c r="H72" s="77"/>
      <c r="I72" s="78"/>
      <c r="J72" s="5">
        <v>0.05</v>
      </c>
      <c r="K72" s="445">
        <f>M65*J72</f>
        <v>12004.5</v>
      </c>
      <c r="L72" s="445"/>
      <c r="M72" s="6"/>
    </row>
    <row r="73" spans="1:13" ht="15.75" thickBot="1">
      <c r="A73" s="450" t="s">
        <v>117</v>
      </c>
      <c r="B73" s="451"/>
      <c r="C73" s="451"/>
      <c r="D73" s="451"/>
      <c r="E73" s="451"/>
      <c r="F73" s="451"/>
      <c r="G73" s="452"/>
      <c r="H73" s="87"/>
      <c r="I73" s="88"/>
      <c r="J73" s="89">
        <v>0.19</v>
      </c>
      <c r="K73" s="446">
        <f>K72*J73</f>
        <v>2280.855</v>
      </c>
      <c r="L73" s="446"/>
      <c r="M73" s="90"/>
    </row>
    <row r="74" spans="1:13" ht="15.75" thickBot="1">
      <c r="A74" s="435" t="s">
        <v>87</v>
      </c>
      <c r="B74" s="436"/>
      <c r="C74" s="436"/>
      <c r="D74" s="436"/>
      <c r="E74" s="436"/>
      <c r="F74" s="436"/>
      <c r="G74" s="436"/>
      <c r="H74" s="436"/>
      <c r="I74" s="436"/>
      <c r="J74" s="436"/>
      <c r="K74" s="436"/>
      <c r="L74" s="437"/>
      <c r="M74" s="76">
        <f>SUM(K70:L73)</f>
        <v>62303.355000000003</v>
      </c>
    </row>
    <row r="75" spans="1:13" ht="15.75" thickBot="1">
      <c r="A75" s="30"/>
      <c r="B75" s="19"/>
      <c r="C75" s="19"/>
      <c r="D75" s="19"/>
      <c r="E75" s="19"/>
      <c r="F75" s="19"/>
      <c r="G75" s="19"/>
      <c r="H75" s="19"/>
      <c r="I75" s="19"/>
      <c r="J75" s="19"/>
      <c r="K75" s="19"/>
      <c r="L75" s="19"/>
      <c r="M75" s="24"/>
    </row>
    <row r="76" spans="1:13" ht="15.75" thickBot="1">
      <c r="A76" s="416" t="s">
        <v>109</v>
      </c>
      <c r="B76" s="417"/>
      <c r="C76" s="417"/>
      <c r="D76" s="417"/>
      <c r="E76" s="417"/>
      <c r="F76" s="417"/>
      <c r="G76" s="417"/>
      <c r="H76" s="417"/>
      <c r="I76" s="417"/>
      <c r="J76" s="417"/>
      <c r="K76" s="417"/>
      <c r="L76" s="418"/>
      <c r="M76" s="71">
        <f>ROUND(M65+M74,0)</f>
        <v>302393</v>
      </c>
    </row>
  </sheetData>
  <mergeCells count="8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41:H41"/>
    <mergeCell ref="K41:L41"/>
    <mergeCell ref="A42:H42"/>
    <mergeCell ref="K42:L42"/>
    <mergeCell ref="A43:H43"/>
    <mergeCell ref="K43:L43"/>
    <mergeCell ref="A53:G53"/>
    <mergeCell ref="K53:L53"/>
    <mergeCell ref="A44:H44"/>
    <mergeCell ref="K44:L44"/>
    <mergeCell ref="A45:H45"/>
    <mergeCell ref="K45:L45"/>
    <mergeCell ref="A46:H46"/>
    <mergeCell ref="K46:L46"/>
    <mergeCell ref="A47:H47"/>
    <mergeCell ref="K47:L47"/>
    <mergeCell ref="A48:L48"/>
    <mergeCell ref="A52:G52"/>
    <mergeCell ref="K52:L52"/>
    <mergeCell ref="A65:L65"/>
    <mergeCell ref="A54:G54"/>
    <mergeCell ref="K54:L54"/>
    <mergeCell ref="A55:L55"/>
    <mergeCell ref="A59:G59"/>
    <mergeCell ref="K59:L59"/>
    <mergeCell ref="A60:G60"/>
    <mergeCell ref="K60:L60"/>
    <mergeCell ref="A61:G61"/>
    <mergeCell ref="K61:L61"/>
    <mergeCell ref="A62:G62"/>
    <mergeCell ref="K62:L62"/>
    <mergeCell ref="A63:L63"/>
    <mergeCell ref="A76:L76"/>
    <mergeCell ref="A69:G69"/>
    <mergeCell ref="K69:L69"/>
    <mergeCell ref="A70:G70"/>
    <mergeCell ref="K70:L70"/>
    <mergeCell ref="A71:G71"/>
    <mergeCell ref="K71:L71"/>
    <mergeCell ref="A72:G72"/>
    <mergeCell ref="K72:L72"/>
    <mergeCell ref="A73:G73"/>
    <mergeCell ref="K73:L73"/>
    <mergeCell ref="A74:L74"/>
  </mergeCells>
  <pageMargins left="0.7" right="0.7" top="0.75" bottom="0.75" header="0.3" footer="0.3"/>
  <pageSetup scale="56"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view="pageBreakPreview" topLeftCell="A49" zoomScale="80" zoomScaleNormal="100" zoomScaleSheetLayoutView="80" workbookViewId="0">
      <selection activeCell="M66" sqref="M66"/>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9">
      <c r="A17" s="25"/>
      <c r="B17" s="26"/>
      <c r="C17" s="224"/>
      <c r="D17" s="224"/>
      <c r="E17" s="224"/>
      <c r="F17" s="224"/>
      <c r="G17" s="224"/>
      <c r="H17" s="224"/>
      <c r="I17" s="224"/>
      <c r="J17" s="224"/>
      <c r="K17" s="224"/>
      <c r="L17" s="224"/>
      <c r="M17" s="13"/>
    </row>
    <row r="18" spans="1:19">
      <c r="A18" s="25" t="s">
        <v>74</v>
      </c>
      <c r="B18" s="26"/>
      <c r="C18" s="379"/>
      <c r="D18" s="379"/>
      <c r="E18" s="379"/>
      <c r="F18" s="379"/>
      <c r="G18" s="379"/>
      <c r="H18" s="379"/>
      <c r="I18" s="379"/>
      <c r="J18" s="379"/>
      <c r="K18" s="379"/>
      <c r="L18" s="379"/>
      <c r="M18" s="380"/>
    </row>
    <row r="19" spans="1:19">
      <c r="A19" s="25"/>
      <c r="B19" s="26"/>
      <c r="C19" s="224"/>
      <c r="D19" s="224"/>
      <c r="E19" s="224"/>
      <c r="F19" s="224"/>
      <c r="G19" s="224"/>
      <c r="H19" s="224"/>
      <c r="I19" s="224"/>
      <c r="J19" s="224"/>
      <c r="K19" s="224"/>
      <c r="L19" s="224"/>
      <c r="M19" s="13"/>
    </row>
    <row r="20" spans="1:19" ht="31.5" customHeight="1">
      <c r="A20" s="464" t="s">
        <v>113</v>
      </c>
      <c r="B20" s="465"/>
      <c r="C20" s="379"/>
      <c r="D20" s="379"/>
      <c r="E20" s="379"/>
      <c r="F20" s="379"/>
      <c r="G20" s="379"/>
      <c r="H20" s="379"/>
      <c r="I20" s="379"/>
      <c r="J20" s="379"/>
      <c r="K20" s="379"/>
      <c r="L20" s="379"/>
      <c r="M20" s="380"/>
    </row>
    <row r="21" spans="1:19">
      <c r="A21" s="400"/>
      <c r="B21" s="401"/>
      <c r="C21" s="224"/>
      <c r="D21" s="224"/>
      <c r="E21" s="224"/>
      <c r="F21" s="224"/>
      <c r="G21" s="224"/>
      <c r="H21" s="224"/>
      <c r="I21" s="224"/>
      <c r="J21" s="224"/>
      <c r="K21" s="224"/>
      <c r="L21" s="22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216" t="s">
        <v>78</v>
      </c>
      <c r="K25" s="408" t="s">
        <v>79</v>
      </c>
      <c r="L25" s="409"/>
      <c r="M25" s="31" t="s">
        <v>80</v>
      </c>
    </row>
    <row r="26" spans="1:19" ht="47.25" customHeight="1" thickBot="1">
      <c r="A26" s="227"/>
      <c r="B26" s="505" t="s">
        <v>274</v>
      </c>
      <c r="C26" s="528"/>
      <c r="D26" s="528"/>
      <c r="E26" s="528"/>
      <c r="F26" s="528"/>
      <c r="G26" s="528"/>
      <c r="H26" s="528"/>
      <c r="I26" s="529"/>
      <c r="J26" s="226">
        <v>1</v>
      </c>
      <c r="K26" s="508" t="s">
        <v>8</v>
      </c>
      <c r="L26" s="507"/>
      <c r="M26" s="228"/>
      <c r="N26" s="230"/>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221" t="s">
        <v>83</v>
      </c>
      <c r="K30" s="421" t="s">
        <v>84</v>
      </c>
      <c r="L30" s="424"/>
      <c r="M30" s="44" t="s">
        <v>85</v>
      </c>
    </row>
    <row r="31" spans="1:19" ht="15.75" thickBot="1">
      <c r="A31" s="425" t="s">
        <v>124</v>
      </c>
      <c r="B31" s="426"/>
      <c r="C31" s="426"/>
      <c r="D31" s="426"/>
      <c r="E31" s="427"/>
      <c r="F31" s="428" t="s">
        <v>125</v>
      </c>
      <c r="G31" s="429"/>
      <c r="H31" s="430" t="s">
        <v>86</v>
      </c>
      <c r="I31" s="427"/>
      <c r="J31" s="72">
        <v>705.89</v>
      </c>
      <c r="K31" s="428">
        <v>1</v>
      </c>
      <c r="L31" s="429"/>
      <c r="M31" s="231">
        <f>J31/K31</f>
        <v>705.89</v>
      </c>
      <c r="N31" s="489"/>
      <c r="O31" s="490"/>
      <c r="P31" s="95"/>
      <c r="Q31" s="96"/>
      <c r="R31" s="97"/>
      <c r="S31" s="98"/>
    </row>
    <row r="32" spans="1:19">
      <c r="A32" s="425"/>
      <c r="B32" s="426"/>
      <c r="C32" s="426"/>
      <c r="D32" s="426"/>
      <c r="E32" s="427"/>
      <c r="F32" s="428"/>
      <c r="G32" s="429"/>
      <c r="H32" s="430"/>
      <c r="I32" s="427"/>
      <c r="J32" s="72"/>
      <c r="K32" s="428"/>
      <c r="L32" s="429"/>
      <c r="M32" s="209">
        <f>J32*K32</f>
        <v>0</v>
      </c>
    </row>
    <row r="33" spans="1:16" ht="15.75" thickBot="1">
      <c r="A33" s="410"/>
      <c r="B33" s="411"/>
      <c r="C33" s="411"/>
      <c r="D33" s="411"/>
      <c r="E33" s="412"/>
      <c r="F33" s="414"/>
      <c r="G33" s="415"/>
      <c r="H33" s="413"/>
      <c r="I33" s="412"/>
      <c r="J33" s="91"/>
      <c r="K33" s="414"/>
      <c r="L33" s="415"/>
      <c r="M33" s="46"/>
    </row>
    <row r="34" spans="1:16" ht="15.75" thickBot="1">
      <c r="A34" s="416" t="s">
        <v>87</v>
      </c>
      <c r="B34" s="417"/>
      <c r="C34" s="417"/>
      <c r="D34" s="417"/>
      <c r="E34" s="417"/>
      <c r="F34" s="417"/>
      <c r="G34" s="417"/>
      <c r="H34" s="417"/>
      <c r="I34" s="417"/>
      <c r="J34" s="417"/>
      <c r="K34" s="417"/>
      <c r="L34" s="418"/>
      <c r="M34" s="232">
        <f>SUM(M31:M33)</f>
        <v>705.89</v>
      </c>
    </row>
    <row r="35" spans="1:16">
      <c r="A35" s="50"/>
      <c r="B35" s="19"/>
      <c r="C35" s="19"/>
      <c r="D35" s="19"/>
      <c r="E35" s="19"/>
      <c r="F35" s="19"/>
      <c r="G35" s="19"/>
      <c r="H35" s="19"/>
      <c r="I35" s="19"/>
      <c r="J35" s="19"/>
      <c r="K35" s="19"/>
      <c r="L35" s="19"/>
      <c r="M35" s="24"/>
    </row>
    <row r="36" spans="1:16">
      <c r="A36" s="51" t="s">
        <v>88</v>
      </c>
      <c r="B36" s="52"/>
      <c r="C36" s="52"/>
      <c r="D36" s="52"/>
      <c r="E36" s="52"/>
      <c r="F36" s="52"/>
      <c r="G36" s="52"/>
      <c r="H36" s="52"/>
      <c r="I36" s="52"/>
      <c r="J36" s="52"/>
      <c r="K36" s="52"/>
      <c r="L36" s="52"/>
      <c r="M36" s="53"/>
    </row>
    <row r="37" spans="1:16" ht="15.75" thickBot="1">
      <c r="A37" s="14"/>
      <c r="B37" s="15"/>
      <c r="C37" s="15"/>
      <c r="D37" s="15"/>
      <c r="E37" s="15"/>
      <c r="F37" s="15"/>
      <c r="G37" s="15"/>
      <c r="H37" s="15"/>
      <c r="I37" s="19"/>
      <c r="J37" s="19"/>
      <c r="K37" s="19"/>
      <c r="L37" s="19"/>
      <c r="M37" s="24"/>
    </row>
    <row r="38" spans="1:16">
      <c r="A38" s="408" t="s">
        <v>77</v>
      </c>
      <c r="B38" s="431"/>
      <c r="C38" s="431"/>
      <c r="D38" s="431"/>
      <c r="E38" s="431"/>
      <c r="F38" s="431"/>
      <c r="G38" s="431"/>
      <c r="H38" s="424"/>
      <c r="I38" s="217" t="s">
        <v>79</v>
      </c>
      <c r="J38" s="221" t="s">
        <v>80</v>
      </c>
      <c r="K38" s="421" t="s">
        <v>89</v>
      </c>
      <c r="L38" s="424"/>
      <c r="M38" s="44" t="s">
        <v>85</v>
      </c>
    </row>
    <row r="39" spans="1:16" ht="15" customHeight="1">
      <c r="A39" s="484" t="s">
        <v>275</v>
      </c>
      <c r="B39" s="485"/>
      <c r="C39" s="485"/>
      <c r="D39" s="485"/>
      <c r="E39" s="485"/>
      <c r="F39" s="485"/>
      <c r="G39" s="485"/>
      <c r="H39" s="486"/>
      <c r="I39" s="73" t="s">
        <v>8</v>
      </c>
      <c r="J39" s="92">
        <v>1</v>
      </c>
      <c r="K39" s="487">
        <v>7402</v>
      </c>
      <c r="L39" s="488"/>
      <c r="M39" s="56">
        <f>K39*J39</f>
        <v>7402</v>
      </c>
      <c r="O39" s="94"/>
    </row>
    <row r="40" spans="1:16" ht="15" customHeight="1">
      <c r="A40" s="484" t="s">
        <v>276</v>
      </c>
      <c r="B40" s="485"/>
      <c r="C40" s="485"/>
      <c r="D40" s="485"/>
      <c r="E40" s="485"/>
      <c r="F40" s="485"/>
      <c r="G40" s="485"/>
      <c r="H40" s="486"/>
      <c r="I40" s="73" t="s">
        <v>11</v>
      </c>
      <c r="J40" s="93">
        <v>0.3</v>
      </c>
      <c r="K40" s="487">
        <v>1401</v>
      </c>
      <c r="L40" s="488"/>
      <c r="M40" s="56">
        <f t="shared" ref="M40:M43" si="0">K40*J40</f>
        <v>420.3</v>
      </c>
      <c r="P40" s="94"/>
    </row>
    <row r="41" spans="1:16" ht="15" customHeight="1">
      <c r="A41" s="484" t="s">
        <v>277</v>
      </c>
      <c r="B41" s="485"/>
      <c r="C41" s="485"/>
      <c r="D41" s="485"/>
      <c r="E41" s="485"/>
      <c r="F41" s="485"/>
      <c r="G41" s="485"/>
      <c r="H41" s="486"/>
      <c r="I41" s="73" t="s">
        <v>11</v>
      </c>
      <c r="J41" s="93">
        <v>0.2</v>
      </c>
      <c r="K41" s="487">
        <v>4171</v>
      </c>
      <c r="L41" s="488"/>
      <c r="M41" s="56">
        <f t="shared" si="0"/>
        <v>834.2</v>
      </c>
    </row>
    <row r="42" spans="1:16">
      <c r="A42" s="425" t="s">
        <v>278</v>
      </c>
      <c r="B42" s="426"/>
      <c r="C42" s="426"/>
      <c r="D42" s="426"/>
      <c r="E42" s="426"/>
      <c r="F42" s="426"/>
      <c r="G42" s="426"/>
      <c r="H42" s="427"/>
      <c r="I42" s="73" t="s">
        <v>11</v>
      </c>
      <c r="J42" s="225">
        <v>0.33</v>
      </c>
      <c r="K42" s="456">
        <v>2733</v>
      </c>
      <c r="L42" s="457"/>
      <c r="M42" s="56">
        <f t="shared" si="0"/>
        <v>901.89</v>
      </c>
    </row>
    <row r="43" spans="1:16">
      <c r="A43" s="425" t="s">
        <v>279</v>
      </c>
      <c r="B43" s="426"/>
      <c r="C43" s="426"/>
      <c r="D43" s="426"/>
      <c r="E43" s="426"/>
      <c r="F43" s="426"/>
      <c r="G43" s="426"/>
      <c r="H43" s="427"/>
      <c r="I43" s="73" t="s">
        <v>11</v>
      </c>
      <c r="J43" s="225">
        <v>0.5</v>
      </c>
      <c r="K43" s="456">
        <v>288</v>
      </c>
      <c r="L43" s="457"/>
      <c r="M43" s="56">
        <f t="shared" si="0"/>
        <v>144</v>
      </c>
    </row>
    <row r="44" spans="1:16">
      <c r="A44" s="425"/>
      <c r="B44" s="426"/>
      <c r="C44" s="426"/>
      <c r="D44" s="426"/>
      <c r="E44" s="426"/>
      <c r="F44" s="426"/>
      <c r="G44" s="426"/>
      <c r="H44" s="427"/>
      <c r="I44" s="73"/>
      <c r="J44" s="225"/>
      <c r="K44" s="456"/>
      <c r="L44" s="457"/>
      <c r="M44" s="56"/>
    </row>
    <row r="45" spans="1:16">
      <c r="A45" s="425"/>
      <c r="B45" s="426"/>
      <c r="C45" s="426"/>
      <c r="D45" s="426"/>
      <c r="E45" s="426"/>
      <c r="F45" s="426"/>
      <c r="G45" s="426"/>
      <c r="H45" s="427"/>
      <c r="I45" s="73"/>
      <c r="J45" s="225"/>
      <c r="K45" s="456"/>
      <c r="L45" s="457"/>
      <c r="M45" s="56"/>
    </row>
    <row r="46" spans="1:16">
      <c r="A46" s="425"/>
      <c r="B46" s="426"/>
      <c r="C46" s="426"/>
      <c r="D46" s="426"/>
      <c r="E46" s="426"/>
      <c r="F46" s="426"/>
      <c r="G46" s="426"/>
      <c r="H46" s="427"/>
      <c r="I46" s="73"/>
      <c r="J46" s="225"/>
      <c r="K46" s="456"/>
      <c r="L46" s="457"/>
      <c r="M46" s="56"/>
    </row>
    <row r="47" spans="1:16" ht="15.75" thickBot="1">
      <c r="A47" s="410"/>
      <c r="B47" s="411"/>
      <c r="C47" s="411"/>
      <c r="D47" s="411"/>
      <c r="E47" s="411"/>
      <c r="F47" s="411"/>
      <c r="G47" s="411"/>
      <c r="H47" s="412"/>
      <c r="I47" s="74"/>
      <c r="J47" s="211"/>
      <c r="K47" s="466"/>
      <c r="L47" s="467"/>
      <c r="M47" s="75"/>
    </row>
    <row r="48" spans="1:16" ht="15.75" thickBot="1">
      <c r="A48" s="416" t="s">
        <v>87</v>
      </c>
      <c r="B48" s="417"/>
      <c r="C48" s="417"/>
      <c r="D48" s="417"/>
      <c r="E48" s="417"/>
      <c r="F48" s="417"/>
      <c r="G48" s="417"/>
      <c r="H48" s="417"/>
      <c r="I48" s="417"/>
      <c r="J48" s="417"/>
      <c r="K48" s="417"/>
      <c r="L48" s="418"/>
      <c r="M48" s="58">
        <f>SUM(M39:M47)</f>
        <v>9702.39</v>
      </c>
    </row>
    <row r="49" spans="1:13">
      <c r="A49" s="30"/>
      <c r="B49" s="19"/>
      <c r="C49" s="19"/>
      <c r="D49" s="19"/>
      <c r="E49" s="19"/>
      <c r="F49" s="19"/>
      <c r="G49" s="19"/>
      <c r="H49" s="19"/>
      <c r="I49" s="19"/>
      <c r="J49" s="19"/>
      <c r="K49" s="19"/>
      <c r="L49" s="19"/>
      <c r="M49" s="24"/>
    </row>
    <row r="50" spans="1:13">
      <c r="A50" s="51" t="s">
        <v>90</v>
      </c>
      <c r="B50" s="52"/>
      <c r="C50" s="52"/>
      <c r="D50" s="52"/>
      <c r="E50" s="52"/>
      <c r="F50" s="52"/>
      <c r="G50" s="52"/>
      <c r="H50" s="52"/>
      <c r="I50" s="52"/>
      <c r="J50" s="52"/>
      <c r="K50" s="52"/>
      <c r="L50" s="52"/>
      <c r="M50" s="53"/>
    </row>
    <row r="51" spans="1:13" ht="15.75" thickBot="1">
      <c r="A51" s="30"/>
      <c r="B51" s="19"/>
      <c r="C51" s="19"/>
      <c r="D51" s="19"/>
      <c r="E51" s="19"/>
      <c r="F51" s="19"/>
      <c r="G51" s="19"/>
      <c r="H51" s="19"/>
      <c r="I51" s="19"/>
      <c r="J51" s="19"/>
      <c r="K51" s="19"/>
      <c r="L51" s="19"/>
      <c r="M51" s="24"/>
    </row>
    <row r="52" spans="1:13">
      <c r="A52" s="408" t="s">
        <v>91</v>
      </c>
      <c r="B52" s="431"/>
      <c r="C52" s="431"/>
      <c r="D52" s="431"/>
      <c r="E52" s="431"/>
      <c r="F52" s="431"/>
      <c r="G52" s="431"/>
      <c r="H52" s="221" t="s">
        <v>92</v>
      </c>
      <c r="I52" s="218" t="s">
        <v>93</v>
      </c>
      <c r="J52" s="60" t="s">
        <v>94</v>
      </c>
      <c r="K52" s="421" t="s">
        <v>95</v>
      </c>
      <c r="L52" s="424"/>
      <c r="M52" s="44" t="s">
        <v>85</v>
      </c>
    </row>
    <row r="53" spans="1:13">
      <c r="A53" s="425"/>
      <c r="B53" s="426"/>
      <c r="C53" s="426"/>
      <c r="D53" s="426"/>
      <c r="E53" s="426"/>
      <c r="F53" s="426"/>
      <c r="G53" s="426"/>
      <c r="H53" s="61"/>
      <c r="I53" s="55"/>
      <c r="J53" s="61"/>
      <c r="K53" s="428"/>
      <c r="L53" s="429"/>
    </row>
    <row r="54" spans="1:13" ht="15.75" thickBot="1">
      <c r="A54" s="410"/>
      <c r="B54" s="411"/>
      <c r="C54" s="411"/>
      <c r="D54" s="411"/>
      <c r="E54" s="411"/>
      <c r="F54" s="411"/>
      <c r="G54" s="411"/>
      <c r="H54" s="47"/>
      <c r="I54" s="15"/>
      <c r="J54" s="47"/>
      <c r="K54" s="414"/>
      <c r="L54" s="415"/>
      <c r="M54" s="62"/>
    </row>
    <row r="55" spans="1:13" ht="15.75" thickBot="1">
      <c r="A55" s="416" t="s">
        <v>87</v>
      </c>
      <c r="B55" s="417"/>
      <c r="C55" s="417"/>
      <c r="D55" s="417"/>
      <c r="E55" s="417"/>
      <c r="F55" s="417"/>
      <c r="G55" s="417"/>
      <c r="H55" s="417"/>
      <c r="I55" s="417"/>
      <c r="J55" s="417"/>
      <c r="K55" s="417"/>
      <c r="L55" s="418"/>
      <c r="M55" s="63">
        <f>SUM(M54:M54)</f>
        <v>0</v>
      </c>
    </row>
    <row r="56" spans="1:13">
      <c r="A56" s="30"/>
      <c r="B56" s="19"/>
      <c r="C56" s="19"/>
      <c r="D56" s="19"/>
      <c r="E56" s="19"/>
      <c r="F56" s="19"/>
      <c r="G56" s="19"/>
      <c r="H56" s="19"/>
      <c r="I56" s="19"/>
      <c r="J56" s="19"/>
      <c r="K56" s="19"/>
      <c r="L56" s="19"/>
      <c r="M56" s="24"/>
    </row>
    <row r="57" spans="1:13">
      <c r="A57" s="51" t="s">
        <v>96</v>
      </c>
      <c r="B57" s="52"/>
      <c r="C57" s="52"/>
      <c r="D57" s="52"/>
      <c r="E57" s="52"/>
      <c r="F57" s="52"/>
      <c r="G57" s="52"/>
      <c r="H57" s="52"/>
      <c r="I57" s="52"/>
      <c r="J57" s="52"/>
      <c r="K57" s="52"/>
      <c r="L57" s="52"/>
      <c r="M57" s="53"/>
    </row>
    <row r="58" spans="1:13" ht="15.75" thickBot="1">
      <c r="A58" s="30"/>
      <c r="B58" s="19"/>
      <c r="C58" s="19"/>
      <c r="D58" s="19"/>
      <c r="E58" s="19"/>
      <c r="F58" s="19"/>
      <c r="G58" s="19"/>
      <c r="H58" s="19"/>
      <c r="I58" s="19"/>
      <c r="J58" s="19"/>
      <c r="K58" s="19"/>
      <c r="L58" s="19"/>
      <c r="M58" s="24"/>
    </row>
    <row r="59" spans="1:13" ht="26.25">
      <c r="A59" s="453" t="s">
        <v>97</v>
      </c>
      <c r="B59" s="454"/>
      <c r="C59" s="454"/>
      <c r="D59" s="454"/>
      <c r="E59" s="454"/>
      <c r="F59" s="454"/>
      <c r="G59" s="454"/>
      <c r="H59" s="221" t="s">
        <v>98</v>
      </c>
      <c r="I59" s="222" t="s">
        <v>99</v>
      </c>
      <c r="J59" s="222" t="s">
        <v>100</v>
      </c>
      <c r="K59" s="455" t="s">
        <v>84</v>
      </c>
      <c r="L59" s="455"/>
      <c r="M59" s="65" t="s">
        <v>85</v>
      </c>
    </row>
    <row r="60" spans="1:13">
      <c r="A60" s="471" t="s">
        <v>273</v>
      </c>
      <c r="B60" s="472"/>
      <c r="C60" s="472"/>
      <c r="D60" s="472"/>
      <c r="E60" s="472"/>
      <c r="F60" s="472"/>
      <c r="G60" s="472"/>
      <c r="H60" s="1">
        <v>144138.45454545453</v>
      </c>
      <c r="I60" s="2">
        <v>2.2000000000000002</v>
      </c>
      <c r="J60" s="66">
        <f>(I60*H60)</f>
        <v>317104.59999999998</v>
      </c>
      <c r="K60" s="473">
        <v>16.266178738467772</v>
      </c>
      <c r="L60" s="473"/>
      <c r="M60" s="56">
        <f>J60/K60</f>
        <v>19494.72000145194</v>
      </c>
    </row>
    <row r="61" spans="1:13">
      <c r="A61" s="471"/>
      <c r="B61" s="472"/>
      <c r="C61" s="472"/>
      <c r="D61" s="472"/>
      <c r="E61" s="472"/>
      <c r="F61" s="472"/>
      <c r="G61" s="472"/>
      <c r="H61" s="1"/>
      <c r="I61" s="2"/>
      <c r="J61" s="66"/>
      <c r="K61" s="473"/>
      <c r="L61" s="473"/>
      <c r="M61" s="56"/>
    </row>
    <row r="62" spans="1:13" ht="15.75" thickBot="1">
      <c r="A62" s="432"/>
      <c r="B62" s="433"/>
      <c r="C62" s="433"/>
      <c r="D62" s="433"/>
      <c r="E62" s="433"/>
      <c r="F62" s="433"/>
      <c r="G62" s="433"/>
      <c r="H62" s="3"/>
      <c r="I62" s="4"/>
      <c r="J62" s="67"/>
      <c r="K62" s="434"/>
      <c r="L62" s="434"/>
      <c r="M62" s="68"/>
    </row>
    <row r="63" spans="1:13" ht="15.75" thickBot="1">
      <c r="A63" s="435" t="s">
        <v>87</v>
      </c>
      <c r="B63" s="436"/>
      <c r="C63" s="436"/>
      <c r="D63" s="436"/>
      <c r="E63" s="436"/>
      <c r="F63" s="436"/>
      <c r="G63" s="436"/>
      <c r="H63" s="436"/>
      <c r="I63" s="436"/>
      <c r="J63" s="436"/>
      <c r="K63" s="436"/>
      <c r="L63" s="437"/>
      <c r="M63" s="69">
        <f>SUM(M60:M62)</f>
        <v>19494.72000145194</v>
      </c>
    </row>
    <row r="64" spans="1:13" ht="15.75" thickBot="1">
      <c r="A64" s="30"/>
      <c r="B64" s="19"/>
      <c r="C64" s="19"/>
      <c r="D64" s="19"/>
      <c r="E64" s="19"/>
      <c r="F64" s="19"/>
      <c r="G64" s="19"/>
      <c r="H64" s="19"/>
      <c r="I64" s="19"/>
      <c r="J64" s="19"/>
      <c r="K64" s="19"/>
      <c r="L64" s="19"/>
      <c r="M64" s="24"/>
    </row>
    <row r="65" spans="1:14" ht="15.75" thickBot="1">
      <c r="A65" s="416" t="s">
        <v>101</v>
      </c>
      <c r="B65" s="417"/>
      <c r="C65" s="417"/>
      <c r="D65" s="417"/>
      <c r="E65" s="417"/>
      <c r="F65" s="417"/>
      <c r="G65" s="417"/>
      <c r="H65" s="417"/>
      <c r="I65" s="417"/>
      <c r="J65" s="417"/>
      <c r="K65" s="417"/>
      <c r="L65" s="418"/>
      <c r="M65" s="70">
        <f>ROUND(M63+M55+M48+M34,0)</f>
        <v>29903</v>
      </c>
      <c r="N65" s="155"/>
    </row>
    <row r="66" spans="1:14">
      <c r="A66" s="30"/>
      <c r="B66" s="19"/>
      <c r="C66" s="19"/>
      <c r="D66" s="19"/>
      <c r="E66" s="19"/>
      <c r="F66" s="19"/>
      <c r="G66" s="19"/>
      <c r="H66" s="19"/>
      <c r="I66" s="19"/>
      <c r="J66" s="19"/>
      <c r="K66" s="19"/>
      <c r="L66" s="19"/>
      <c r="M66" s="24"/>
    </row>
    <row r="67" spans="1:14">
      <c r="A67" s="51" t="s">
        <v>102</v>
      </c>
      <c r="B67" s="52"/>
      <c r="C67" s="52"/>
      <c r="D67" s="52"/>
      <c r="E67" s="52"/>
      <c r="F67" s="52"/>
      <c r="G67" s="52"/>
      <c r="H67" s="52"/>
      <c r="I67" s="52"/>
      <c r="J67" s="52"/>
      <c r="K67" s="52"/>
      <c r="L67" s="52"/>
      <c r="M67" s="53"/>
    </row>
    <row r="68" spans="1:14" ht="15.75" thickBot="1">
      <c r="A68" s="30"/>
      <c r="B68" s="19"/>
      <c r="C68" s="19"/>
      <c r="D68" s="19"/>
      <c r="E68" s="19"/>
      <c r="F68" s="19"/>
      <c r="G68" s="19"/>
      <c r="H68" s="19"/>
      <c r="I68" s="19"/>
      <c r="J68" s="19"/>
      <c r="K68" s="19"/>
      <c r="L68" s="19"/>
      <c r="M68" s="24"/>
    </row>
    <row r="69" spans="1:14" ht="15.75" thickBot="1">
      <c r="A69" s="438" t="s">
        <v>103</v>
      </c>
      <c r="B69" s="439"/>
      <c r="C69" s="439"/>
      <c r="D69" s="439"/>
      <c r="E69" s="439"/>
      <c r="F69" s="439"/>
      <c r="G69" s="439"/>
      <c r="H69" s="219"/>
      <c r="I69" s="220"/>
      <c r="J69" s="81" t="s">
        <v>104</v>
      </c>
      <c r="K69" s="440" t="s">
        <v>105</v>
      </c>
      <c r="L69" s="441"/>
      <c r="M69" s="82"/>
    </row>
    <row r="70" spans="1:14">
      <c r="A70" s="442" t="s">
        <v>106</v>
      </c>
      <c r="B70" s="443"/>
      <c r="C70" s="443"/>
      <c r="D70" s="443"/>
      <c r="E70" s="443"/>
      <c r="F70" s="443"/>
      <c r="G70" s="443"/>
      <c r="H70" s="83"/>
      <c r="I70" s="84"/>
      <c r="J70" s="85">
        <v>0.19</v>
      </c>
      <c r="K70" s="444">
        <f>M65*J70</f>
        <v>5681.57</v>
      </c>
      <c r="L70" s="444"/>
      <c r="M70" s="86"/>
    </row>
    <row r="71" spans="1:14">
      <c r="A71" s="447" t="s">
        <v>107</v>
      </c>
      <c r="B71" s="448"/>
      <c r="C71" s="448"/>
      <c r="D71" s="448"/>
      <c r="E71" s="448"/>
      <c r="F71" s="448"/>
      <c r="G71" s="449"/>
      <c r="H71" s="77"/>
      <c r="I71" s="78"/>
      <c r="J71" s="5">
        <v>0.01</v>
      </c>
      <c r="K71" s="445">
        <f>M65*J71</f>
        <v>299.03000000000003</v>
      </c>
      <c r="L71" s="445"/>
      <c r="M71" s="6"/>
    </row>
    <row r="72" spans="1:14">
      <c r="A72" s="447" t="s">
        <v>108</v>
      </c>
      <c r="B72" s="448"/>
      <c r="C72" s="448"/>
      <c r="D72" s="448"/>
      <c r="E72" s="448"/>
      <c r="F72" s="448"/>
      <c r="G72" s="449"/>
      <c r="H72" s="77"/>
      <c r="I72" s="78"/>
      <c r="J72" s="5">
        <v>0.05</v>
      </c>
      <c r="K72" s="445">
        <f>M65*J72</f>
        <v>1495.15</v>
      </c>
      <c r="L72" s="445"/>
      <c r="M72" s="6"/>
    </row>
    <row r="73" spans="1:14" ht="15.75" thickBot="1">
      <c r="A73" s="450" t="s">
        <v>117</v>
      </c>
      <c r="B73" s="451"/>
      <c r="C73" s="451"/>
      <c r="D73" s="451"/>
      <c r="E73" s="451"/>
      <c r="F73" s="451"/>
      <c r="G73" s="452"/>
      <c r="H73" s="87"/>
      <c r="I73" s="88"/>
      <c r="J73" s="89">
        <v>0.19</v>
      </c>
      <c r="K73" s="446">
        <f>K72*J73</f>
        <v>284.07850000000002</v>
      </c>
      <c r="L73" s="446"/>
      <c r="M73" s="90"/>
    </row>
    <row r="74" spans="1:14" ht="15.75" thickBot="1">
      <c r="A74" s="435" t="s">
        <v>87</v>
      </c>
      <c r="B74" s="436"/>
      <c r="C74" s="436"/>
      <c r="D74" s="436"/>
      <c r="E74" s="436"/>
      <c r="F74" s="436"/>
      <c r="G74" s="436"/>
      <c r="H74" s="436"/>
      <c r="I74" s="436"/>
      <c r="J74" s="436"/>
      <c r="K74" s="436"/>
      <c r="L74" s="437"/>
      <c r="M74" s="76">
        <f>SUM(K70:L73)</f>
        <v>7759.8284999999996</v>
      </c>
    </row>
    <row r="75" spans="1:14" ht="15.75" thickBot="1">
      <c r="A75" s="30"/>
      <c r="B75" s="19"/>
      <c r="C75" s="19"/>
      <c r="D75" s="19"/>
      <c r="E75" s="19"/>
      <c r="F75" s="19"/>
      <c r="G75" s="19"/>
      <c r="H75" s="19"/>
      <c r="I75" s="19"/>
      <c r="J75" s="19"/>
      <c r="K75" s="19"/>
      <c r="L75" s="19"/>
      <c r="M75" s="24"/>
    </row>
    <row r="76" spans="1:14" ht="15.75" thickBot="1">
      <c r="A76" s="416" t="s">
        <v>109</v>
      </c>
      <c r="B76" s="417"/>
      <c r="C76" s="417"/>
      <c r="D76" s="417"/>
      <c r="E76" s="417"/>
      <c r="F76" s="417"/>
      <c r="G76" s="417"/>
      <c r="H76" s="417"/>
      <c r="I76" s="417"/>
      <c r="J76" s="417"/>
      <c r="K76" s="417"/>
      <c r="L76" s="418"/>
      <c r="M76" s="71">
        <f>ROUND(M65+M74,0)</f>
        <v>37663</v>
      </c>
    </row>
  </sheetData>
  <mergeCells count="8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41:H41"/>
    <mergeCell ref="K41:L41"/>
    <mergeCell ref="A42:H42"/>
    <mergeCell ref="K42:L42"/>
    <mergeCell ref="A43:H43"/>
    <mergeCell ref="K43:L43"/>
    <mergeCell ref="A53:G53"/>
    <mergeCell ref="K53:L53"/>
    <mergeCell ref="A44:H44"/>
    <mergeCell ref="K44:L44"/>
    <mergeCell ref="A45:H45"/>
    <mergeCell ref="K45:L45"/>
    <mergeCell ref="A46:H46"/>
    <mergeCell ref="K46:L46"/>
    <mergeCell ref="A47:H47"/>
    <mergeCell ref="K47:L47"/>
    <mergeCell ref="A48:L48"/>
    <mergeCell ref="A52:G52"/>
    <mergeCell ref="K52:L52"/>
    <mergeCell ref="A65:L65"/>
    <mergeCell ref="A54:G54"/>
    <mergeCell ref="K54:L54"/>
    <mergeCell ref="A55:L55"/>
    <mergeCell ref="A59:G59"/>
    <mergeCell ref="K59:L59"/>
    <mergeCell ref="A60:G60"/>
    <mergeCell ref="K60:L60"/>
    <mergeCell ref="A61:G61"/>
    <mergeCell ref="K61:L61"/>
    <mergeCell ref="A62:G62"/>
    <mergeCell ref="K62:L62"/>
    <mergeCell ref="A63:L63"/>
    <mergeCell ref="A76:L76"/>
    <mergeCell ref="A69:G69"/>
    <mergeCell ref="K69:L69"/>
    <mergeCell ref="A70:G70"/>
    <mergeCell ref="K70:L70"/>
    <mergeCell ref="A71:G71"/>
    <mergeCell ref="K71:L71"/>
    <mergeCell ref="A72:G72"/>
    <mergeCell ref="K72:L72"/>
    <mergeCell ref="A73:G73"/>
    <mergeCell ref="K73:L73"/>
    <mergeCell ref="A74:L74"/>
  </mergeCells>
  <pageMargins left="0.7" right="0.7" top="0.75" bottom="0.75" header="0.3" footer="0.3"/>
  <pageSetup scale="56"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view="pageBreakPreview" topLeftCell="A55" zoomScale="80" zoomScaleNormal="100" zoomScaleSheetLayoutView="80" workbookViewId="0">
      <selection activeCell="M66" sqref="M66"/>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9">
      <c r="A17" s="25"/>
      <c r="B17" s="26"/>
      <c r="C17" s="224"/>
      <c r="D17" s="224"/>
      <c r="E17" s="224"/>
      <c r="F17" s="224"/>
      <c r="G17" s="224"/>
      <c r="H17" s="224"/>
      <c r="I17" s="224"/>
      <c r="J17" s="224"/>
      <c r="K17" s="224"/>
      <c r="L17" s="224"/>
      <c r="M17" s="13"/>
    </row>
    <row r="18" spans="1:19">
      <c r="A18" s="25" t="s">
        <v>74</v>
      </c>
      <c r="B18" s="26"/>
      <c r="C18" s="379"/>
      <c r="D18" s="379"/>
      <c r="E18" s="379"/>
      <c r="F18" s="379"/>
      <c r="G18" s="379"/>
      <c r="H18" s="379"/>
      <c r="I18" s="379"/>
      <c r="J18" s="379"/>
      <c r="K18" s="379"/>
      <c r="L18" s="379"/>
      <c r="M18" s="380"/>
    </row>
    <row r="19" spans="1:19">
      <c r="A19" s="25"/>
      <c r="B19" s="26"/>
      <c r="C19" s="224"/>
      <c r="D19" s="224"/>
      <c r="E19" s="224"/>
      <c r="F19" s="224"/>
      <c r="G19" s="224"/>
      <c r="H19" s="224"/>
      <c r="I19" s="224"/>
      <c r="J19" s="224"/>
      <c r="K19" s="224"/>
      <c r="L19" s="224"/>
      <c r="M19" s="13"/>
    </row>
    <row r="20" spans="1:19" ht="31.5" customHeight="1">
      <c r="A20" s="464" t="s">
        <v>113</v>
      </c>
      <c r="B20" s="465"/>
      <c r="C20" s="379"/>
      <c r="D20" s="379"/>
      <c r="E20" s="379"/>
      <c r="F20" s="379"/>
      <c r="G20" s="379"/>
      <c r="H20" s="379"/>
      <c r="I20" s="379"/>
      <c r="J20" s="379"/>
      <c r="K20" s="379"/>
      <c r="L20" s="379"/>
      <c r="M20" s="380"/>
    </row>
    <row r="21" spans="1:19">
      <c r="A21" s="400"/>
      <c r="B21" s="401"/>
      <c r="C21" s="224"/>
      <c r="D21" s="224"/>
      <c r="E21" s="224"/>
      <c r="F21" s="224"/>
      <c r="G21" s="224"/>
      <c r="H21" s="224"/>
      <c r="I21" s="224"/>
      <c r="J21" s="224"/>
      <c r="K21" s="224"/>
      <c r="L21" s="22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216" t="s">
        <v>78</v>
      </c>
      <c r="K25" s="408" t="s">
        <v>79</v>
      </c>
      <c r="L25" s="409"/>
      <c r="M25" s="31" t="s">
        <v>80</v>
      </c>
    </row>
    <row r="26" spans="1:19" ht="47.25" customHeight="1" thickBot="1">
      <c r="A26" s="227"/>
      <c r="B26" s="505" t="s">
        <v>280</v>
      </c>
      <c r="C26" s="528"/>
      <c r="D26" s="528"/>
      <c r="E26" s="528"/>
      <c r="F26" s="528"/>
      <c r="G26" s="528"/>
      <c r="H26" s="528"/>
      <c r="I26" s="529"/>
      <c r="J26" s="226">
        <v>1</v>
      </c>
      <c r="K26" s="508" t="s">
        <v>8</v>
      </c>
      <c r="L26" s="507"/>
      <c r="M26" s="228"/>
      <c r="N26" s="230"/>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221" t="s">
        <v>83</v>
      </c>
      <c r="K30" s="421" t="s">
        <v>84</v>
      </c>
      <c r="L30" s="424"/>
      <c r="M30" s="44" t="s">
        <v>85</v>
      </c>
    </row>
    <row r="31" spans="1:19" ht="15.75" thickBot="1">
      <c r="A31" s="425" t="s">
        <v>124</v>
      </c>
      <c r="B31" s="426"/>
      <c r="C31" s="426"/>
      <c r="D31" s="426"/>
      <c r="E31" s="427"/>
      <c r="F31" s="428" t="s">
        <v>125</v>
      </c>
      <c r="G31" s="429"/>
      <c r="H31" s="430" t="s">
        <v>86</v>
      </c>
      <c r="I31" s="427"/>
      <c r="J31" s="72">
        <v>1045.77</v>
      </c>
      <c r="K31" s="428">
        <v>1</v>
      </c>
      <c r="L31" s="429"/>
      <c r="M31" s="231">
        <f>J31/K31</f>
        <v>1045.77</v>
      </c>
      <c r="N31" s="489"/>
      <c r="O31" s="490"/>
      <c r="P31" s="95"/>
      <c r="Q31" s="96"/>
      <c r="R31" s="97"/>
      <c r="S31" s="98"/>
    </row>
    <row r="32" spans="1:19">
      <c r="A32" s="425"/>
      <c r="B32" s="426"/>
      <c r="C32" s="426"/>
      <c r="D32" s="426"/>
      <c r="E32" s="427"/>
      <c r="F32" s="428"/>
      <c r="G32" s="429"/>
      <c r="H32" s="430"/>
      <c r="I32" s="427"/>
      <c r="J32" s="72"/>
      <c r="K32" s="428"/>
      <c r="L32" s="429"/>
      <c r="M32" s="209">
        <f>J32*K32</f>
        <v>0</v>
      </c>
    </row>
    <row r="33" spans="1:16" ht="15.75" thickBot="1">
      <c r="A33" s="410"/>
      <c r="B33" s="411"/>
      <c r="C33" s="411"/>
      <c r="D33" s="411"/>
      <c r="E33" s="412"/>
      <c r="F33" s="414"/>
      <c r="G33" s="415"/>
      <c r="H33" s="413"/>
      <c r="I33" s="412"/>
      <c r="J33" s="91"/>
      <c r="K33" s="414"/>
      <c r="L33" s="415"/>
      <c r="M33" s="46"/>
    </row>
    <row r="34" spans="1:16" ht="15.75" thickBot="1">
      <c r="A34" s="416" t="s">
        <v>87</v>
      </c>
      <c r="B34" s="417"/>
      <c r="C34" s="417"/>
      <c r="D34" s="417"/>
      <c r="E34" s="417"/>
      <c r="F34" s="417"/>
      <c r="G34" s="417"/>
      <c r="H34" s="417"/>
      <c r="I34" s="417"/>
      <c r="J34" s="417"/>
      <c r="K34" s="417"/>
      <c r="L34" s="418"/>
      <c r="M34" s="232">
        <f>SUM(M31:M33)</f>
        <v>1045.77</v>
      </c>
    </row>
    <row r="35" spans="1:16">
      <c r="A35" s="50"/>
      <c r="B35" s="19"/>
      <c r="C35" s="19"/>
      <c r="D35" s="19"/>
      <c r="E35" s="19"/>
      <c r="F35" s="19"/>
      <c r="G35" s="19"/>
      <c r="H35" s="19"/>
      <c r="I35" s="19"/>
      <c r="J35" s="19"/>
      <c r="K35" s="19"/>
      <c r="L35" s="19"/>
      <c r="M35" s="24"/>
    </row>
    <row r="36" spans="1:16">
      <c r="A36" s="51" t="s">
        <v>88</v>
      </c>
      <c r="B36" s="52"/>
      <c r="C36" s="52"/>
      <c r="D36" s="52"/>
      <c r="E36" s="52"/>
      <c r="F36" s="52"/>
      <c r="G36" s="52"/>
      <c r="H36" s="52"/>
      <c r="I36" s="52"/>
      <c r="J36" s="52"/>
      <c r="K36" s="52"/>
      <c r="L36" s="52"/>
      <c r="M36" s="53"/>
    </row>
    <row r="37" spans="1:16" ht="15.75" thickBot="1">
      <c r="A37" s="14"/>
      <c r="B37" s="15"/>
      <c r="C37" s="15"/>
      <c r="D37" s="15"/>
      <c r="E37" s="15"/>
      <c r="F37" s="15"/>
      <c r="G37" s="15"/>
      <c r="H37" s="15"/>
      <c r="I37" s="19"/>
      <c r="J37" s="19"/>
      <c r="K37" s="19"/>
      <c r="L37" s="19"/>
      <c r="M37" s="24"/>
    </row>
    <row r="38" spans="1:16">
      <c r="A38" s="408" t="s">
        <v>77</v>
      </c>
      <c r="B38" s="431"/>
      <c r="C38" s="431"/>
      <c r="D38" s="431"/>
      <c r="E38" s="431"/>
      <c r="F38" s="431"/>
      <c r="G38" s="431"/>
      <c r="H38" s="424"/>
      <c r="I38" s="217" t="s">
        <v>79</v>
      </c>
      <c r="J38" s="221" t="s">
        <v>80</v>
      </c>
      <c r="K38" s="421" t="s">
        <v>89</v>
      </c>
      <c r="L38" s="424"/>
      <c r="M38" s="44" t="s">
        <v>85</v>
      </c>
    </row>
    <row r="39" spans="1:16" ht="15" customHeight="1">
      <c r="A39" s="484" t="s">
        <v>281</v>
      </c>
      <c r="B39" s="485"/>
      <c r="C39" s="485"/>
      <c r="D39" s="485"/>
      <c r="E39" s="485"/>
      <c r="F39" s="485"/>
      <c r="G39" s="485"/>
      <c r="H39" s="486"/>
      <c r="I39" s="73" t="s">
        <v>8</v>
      </c>
      <c r="J39" s="92">
        <v>1</v>
      </c>
      <c r="K39" s="487">
        <v>10890</v>
      </c>
      <c r="L39" s="488"/>
      <c r="M39" s="56">
        <f>K39*J39</f>
        <v>10890</v>
      </c>
      <c r="O39" s="94"/>
    </row>
    <row r="40" spans="1:16" ht="15" customHeight="1">
      <c r="A40" s="484" t="s">
        <v>282</v>
      </c>
      <c r="B40" s="485"/>
      <c r="C40" s="485"/>
      <c r="D40" s="485"/>
      <c r="E40" s="485"/>
      <c r="F40" s="485"/>
      <c r="G40" s="485"/>
      <c r="H40" s="486"/>
      <c r="I40" s="73" t="s">
        <v>11</v>
      </c>
      <c r="J40" s="93">
        <v>0.3</v>
      </c>
      <c r="K40" s="487">
        <v>2086</v>
      </c>
      <c r="L40" s="488"/>
      <c r="M40" s="56">
        <f t="shared" ref="M40:M43" si="0">K40*J40</f>
        <v>625.79999999999995</v>
      </c>
      <c r="P40" s="94"/>
    </row>
    <row r="41" spans="1:16" ht="15" customHeight="1">
      <c r="A41" s="484" t="s">
        <v>283</v>
      </c>
      <c r="B41" s="485"/>
      <c r="C41" s="485"/>
      <c r="D41" s="485"/>
      <c r="E41" s="485"/>
      <c r="F41" s="485"/>
      <c r="G41" s="485"/>
      <c r="H41" s="486"/>
      <c r="I41" s="73" t="s">
        <v>11</v>
      </c>
      <c r="J41" s="93">
        <v>0.2</v>
      </c>
      <c r="K41" s="487">
        <v>7048</v>
      </c>
      <c r="L41" s="488"/>
      <c r="M41" s="56">
        <f t="shared" si="0"/>
        <v>1409.6000000000001</v>
      </c>
    </row>
    <row r="42" spans="1:16">
      <c r="A42" s="425" t="s">
        <v>284</v>
      </c>
      <c r="B42" s="426"/>
      <c r="C42" s="426"/>
      <c r="D42" s="426"/>
      <c r="E42" s="426"/>
      <c r="F42" s="426"/>
      <c r="G42" s="426"/>
      <c r="H42" s="427"/>
      <c r="I42" s="73" t="s">
        <v>11</v>
      </c>
      <c r="J42" s="225">
        <v>0.33</v>
      </c>
      <c r="K42" s="456">
        <v>2733</v>
      </c>
      <c r="L42" s="457"/>
      <c r="M42" s="56">
        <f t="shared" si="0"/>
        <v>901.89</v>
      </c>
    </row>
    <row r="43" spans="1:16">
      <c r="A43" s="425" t="s">
        <v>285</v>
      </c>
      <c r="B43" s="426"/>
      <c r="C43" s="426"/>
      <c r="D43" s="426"/>
      <c r="E43" s="426"/>
      <c r="F43" s="426"/>
      <c r="G43" s="426"/>
      <c r="H43" s="427"/>
      <c r="I43" s="73" t="s">
        <v>11</v>
      </c>
      <c r="J43" s="225">
        <v>0.5</v>
      </c>
      <c r="K43" s="456">
        <v>431</v>
      </c>
      <c r="L43" s="457"/>
      <c r="M43" s="56">
        <f t="shared" si="0"/>
        <v>215.5</v>
      </c>
    </row>
    <row r="44" spans="1:16">
      <c r="A44" s="425"/>
      <c r="B44" s="426"/>
      <c r="C44" s="426"/>
      <c r="D44" s="426"/>
      <c r="E44" s="426"/>
      <c r="F44" s="426"/>
      <c r="G44" s="426"/>
      <c r="H44" s="427"/>
      <c r="I44" s="73"/>
      <c r="J44" s="225"/>
      <c r="K44" s="456"/>
      <c r="L44" s="457"/>
      <c r="M44" s="56"/>
    </row>
    <row r="45" spans="1:16">
      <c r="A45" s="425"/>
      <c r="B45" s="426"/>
      <c r="C45" s="426"/>
      <c r="D45" s="426"/>
      <c r="E45" s="426"/>
      <c r="F45" s="426"/>
      <c r="G45" s="426"/>
      <c r="H45" s="427"/>
      <c r="I45" s="73"/>
      <c r="J45" s="225"/>
      <c r="K45" s="456"/>
      <c r="L45" s="457"/>
      <c r="M45" s="56"/>
    </row>
    <row r="46" spans="1:16">
      <c r="A46" s="425"/>
      <c r="B46" s="426"/>
      <c r="C46" s="426"/>
      <c r="D46" s="426"/>
      <c r="E46" s="426"/>
      <c r="F46" s="426"/>
      <c r="G46" s="426"/>
      <c r="H46" s="427"/>
      <c r="I46" s="73"/>
      <c r="J46" s="225"/>
      <c r="K46" s="456"/>
      <c r="L46" s="457"/>
      <c r="M46" s="56"/>
    </row>
    <row r="47" spans="1:16" ht="15.75" thickBot="1">
      <c r="A47" s="410"/>
      <c r="B47" s="411"/>
      <c r="C47" s="411"/>
      <c r="D47" s="411"/>
      <c r="E47" s="411"/>
      <c r="F47" s="411"/>
      <c r="G47" s="411"/>
      <c r="H47" s="412"/>
      <c r="I47" s="74"/>
      <c r="J47" s="211"/>
      <c r="K47" s="466"/>
      <c r="L47" s="467"/>
      <c r="M47" s="75"/>
    </row>
    <row r="48" spans="1:16" ht="15.75" thickBot="1">
      <c r="A48" s="416" t="s">
        <v>87</v>
      </c>
      <c r="B48" s="417"/>
      <c r="C48" s="417"/>
      <c r="D48" s="417"/>
      <c r="E48" s="417"/>
      <c r="F48" s="417"/>
      <c r="G48" s="417"/>
      <c r="H48" s="417"/>
      <c r="I48" s="417"/>
      <c r="J48" s="417"/>
      <c r="K48" s="417"/>
      <c r="L48" s="418"/>
      <c r="M48" s="58">
        <f>SUM(M39:M47)</f>
        <v>14042.789999999999</v>
      </c>
    </row>
    <row r="49" spans="1:13">
      <c r="A49" s="30"/>
      <c r="B49" s="19"/>
      <c r="C49" s="19"/>
      <c r="D49" s="19"/>
      <c r="E49" s="19"/>
      <c r="F49" s="19"/>
      <c r="G49" s="19"/>
      <c r="H49" s="19"/>
      <c r="I49" s="19"/>
      <c r="J49" s="19"/>
      <c r="K49" s="19"/>
      <c r="L49" s="19"/>
      <c r="M49" s="24"/>
    </row>
    <row r="50" spans="1:13">
      <c r="A50" s="51" t="s">
        <v>90</v>
      </c>
      <c r="B50" s="52"/>
      <c r="C50" s="52"/>
      <c r="D50" s="52"/>
      <c r="E50" s="52"/>
      <c r="F50" s="52"/>
      <c r="G50" s="52"/>
      <c r="H50" s="52"/>
      <c r="I50" s="52"/>
      <c r="J50" s="52"/>
      <c r="K50" s="52"/>
      <c r="L50" s="52"/>
      <c r="M50" s="53"/>
    </row>
    <row r="51" spans="1:13" ht="15.75" thickBot="1">
      <c r="A51" s="30"/>
      <c r="B51" s="19"/>
      <c r="C51" s="19"/>
      <c r="D51" s="19"/>
      <c r="E51" s="19"/>
      <c r="F51" s="19"/>
      <c r="G51" s="19"/>
      <c r="H51" s="19"/>
      <c r="I51" s="19"/>
      <c r="J51" s="19"/>
      <c r="K51" s="19"/>
      <c r="L51" s="19"/>
      <c r="M51" s="24"/>
    </row>
    <row r="52" spans="1:13">
      <c r="A52" s="408" t="s">
        <v>91</v>
      </c>
      <c r="B52" s="431"/>
      <c r="C52" s="431"/>
      <c r="D52" s="431"/>
      <c r="E52" s="431"/>
      <c r="F52" s="431"/>
      <c r="G52" s="431"/>
      <c r="H52" s="221" t="s">
        <v>92</v>
      </c>
      <c r="I52" s="218" t="s">
        <v>93</v>
      </c>
      <c r="J52" s="60" t="s">
        <v>94</v>
      </c>
      <c r="K52" s="421" t="s">
        <v>95</v>
      </c>
      <c r="L52" s="424"/>
      <c r="M52" s="44" t="s">
        <v>85</v>
      </c>
    </row>
    <row r="53" spans="1:13">
      <c r="A53" s="425"/>
      <c r="B53" s="426"/>
      <c r="C53" s="426"/>
      <c r="D53" s="426"/>
      <c r="E53" s="426"/>
      <c r="F53" s="426"/>
      <c r="G53" s="426"/>
      <c r="H53" s="61"/>
      <c r="I53" s="55"/>
      <c r="J53" s="61"/>
      <c r="K53" s="428"/>
      <c r="L53" s="429"/>
    </row>
    <row r="54" spans="1:13" ht="15.75" thickBot="1">
      <c r="A54" s="410"/>
      <c r="B54" s="411"/>
      <c r="C54" s="411"/>
      <c r="D54" s="411"/>
      <c r="E54" s="411"/>
      <c r="F54" s="411"/>
      <c r="G54" s="411"/>
      <c r="H54" s="47"/>
      <c r="I54" s="15"/>
      <c r="J54" s="47"/>
      <c r="K54" s="414"/>
      <c r="L54" s="415"/>
      <c r="M54" s="62"/>
    </row>
    <row r="55" spans="1:13" ht="15.75" thickBot="1">
      <c r="A55" s="416" t="s">
        <v>87</v>
      </c>
      <c r="B55" s="417"/>
      <c r="C55" s="417"/>
      <c r="D55" s="417"/>
      <c r="E55" s="417"/>
      <c r="F55" s="417"/>
      <c r="G55" s="417"/>
      <c r="H55" s="417"/>
      <c r="I55" s="417"/>
      <c r="J55" s="417"/>
      <c r="K55" s="417"/>
      <c r="L55" s="418"/>
      <c r="M55" s="63">
        <f>SUM(M54:M54)</f>
        <v>0</v>
      </c>
    </row>
    <row r="56" spans="1:13">
      <c r="A56" s="30"/>
      <c r="B56" s="19"/>
      <c r="C56" s="19"/>
      <c r="D56" s="19"/>
      <c r="E56" s="19"/>
      <c r="F56" s="19"/>
      <c r="G56" s="19"/>
      <c r="H56" s="19"/>
      <c r="I56" s="19"/>
      <c r="J56" s="19"/>
      <c r="K56" s="19"/>
      <c r="L56" s="19"/>
      <c r="M56" s="24"/>
    </row>
    <row r="57" spans="1:13">
      <c r="A57" s="51" t="s">
        <v>96</v>
      </c>
      <c r="B57" s="52"/>
      <c r="C57" s="52"/>
      <c r="D57" s="52"/>
      <c r="E57" s="52"/>
      <c r="F57" s="52"/>
      <c r="G57" s="52"/>
      <c r="H57" s="52"/>
      <c r="I57" s="52"/>
      <c r="J57" s="52"/>
      <c r="K57" s="52"/>
      <c r="L57" s="52"/>
      <c r="M57" s="53"/>
    </row>
    <row r="58" spans="1:13" ht="15.75" thickBot="1">
      <c r="A58" s="30"/>
      <c r="B58" s="19"/>
      <c r="C58" s="19"/>
      <c r="D58" s="19"/>
      <c r="E58" s="19"/>
      <c r="F58" s="19"/>
      <c r="G58" s="19"/>
      <c r="H58" s="19"/>
      <c r="I58" s="19"/>
      <c r="J58" s="19"/>
      <c r="K58" s="19"/>
      <c r="L58" s="19"/>
      <c r="M58" s="24"/>
    </row>
    <row r="59" spans="1:13" ht="26.25">
      <c r="A59" s="453" t="s">
        <v>97</v>
      </c>
      <c r="B59" s="454"/>
      <c r="C59" s="454"/>
      <c r="D59" s="454"/>
      <c r="E59" s="454"/>
      <c r="F59" s="454"/>
      <c r="G59" s="454"/>
      <c r="H59" s="221" t="s">
        <v>98</v>
      </c>
      <c r="I59" s="222" t="s">
        <v>99</v>
      </c>
      <c r="J59" s="222" t="s">
        <v>100</v>
      </c>
      <c r="K59" s="455" t="s">
        <v>84</v>
      </c>
      <c r="L59" s="455"/>
      <c r="M59" s="65" t="s">
        <v>85</v>
      </c>
    </row>
    <row r="60" spans="1:13">
      <c r="A60" s="471" t="s">
        <v>273</v>
      </c>
      <c r="B60" s="472"/>
      <c r="C60" s="472"/>
      <c r="D60" s="472"/>
      <c r="E60" s="472"/>
      <c r="F60" s="472"/>
      <c r="G60" s="472"/>
      <c r="H60" s="1">
        <v>144138.45454545453</v>
      </c>
      <c r="I60" s="2">
        <v>2.2000000000000002</v>
      </c>
      <c r="J60" s="66">
        <f>(I60*H60)</f>
        <v>317104.59999999998</v>
      </c>
      <c r="K60" s="473">
        <v>13.405144863066317</v>
      </c>
      <c r="L60" s="473"/>
      <c r="M60" s="56">
        <f>J60/K60</f>
        <v>23655.440000031816</v>
      </c>
    </row>
    <row r="61" spans="1:13">
      <c r="A61" s="471"/>
      <c r="B61" s="472"/>
      <c r="C61" s="472"/>
      <c r="D61" s="472"/>
      <c r="E61" s="472"/>
      <c r="F61" s="472"/>
      <c r="G61" s="472"/>
      <c r="H61" s="1"/>
      <c r="I61" s="2"/>
      <c r="J61" s="66"/>
      <c r="K61" s="473"/>
      <c r="L61" s="473"/>
      <c r="M61" s="56"/>
    </row>
    <row r="62" spans="1:13" ht="15.75" thickBot="1">
      <c r="A62" s="432"/>
      <c r="B62" s="433"/>
      <c r="C62" s="433"/>
      <c r="D62" s="433"/>
      <c r="E62" s="433"/>
      <c r="F62" s="433"/>
      <c r="G62" s="433"/>
      <c r="H62" s="3"/>
      <c r="I62" s="4"/>
      <c r="J62" s="67"/>
      <c r="K62" s="434"/>
      <c r="L62" s="434"/>
      <c r="M62" s="68"/>
    </row>
    <row r="63" spans="1:13" ht="15.75" thickBot="1">
      <c r="A63" s="435" t="s">
        <v>87</v>
      </c>
      <c r="B63" s="436"/>
      <c r="C63" s="436"/>
      <c r="D63" s="436"/>
      <c r="E63" s="436"/>
      <c r="F63" s="436"/>
      <c r="G63" s="436"/>
      <c r="H63" s="436"/>
      <c r="I63" s="436"/>
      <c r="J63" s="436"/>
      <c r="K63" s="436"/>
      <c r="L63" s="437"/>
      <c r="M63" s="69">
        <f>SUM(M60:M62)</f>
        <v>23655.440000031816</v>
      </c>
    </row>
    <row r="64" spans="1:13" ht="15.75" thickBot="1">
      <c r="A64" s="30"/>
      <c r="B64" s="19"/>
      <c r="C64" s="19"/>
      <c r="D64" s="19"/>
      <c r="E64" s="19"/>
      <c r="F64" s="19"/>
      <c r="G64" s="19"/>
      <c r="H64" s="19"/>
      <c r="I64" s="19"/>
      <c r="J64" s="19"/>
      <c r="K64" s="19"/>
      <c r="L64" s="19"/>
      <c r="M64" s="24"/>
    </row>
    <row r="65" spans="1:14" ht="15.75" thickBot="1">
      <c r="A65" s="416" t="s">
        <v>101</v>
      </c>
      <c r="B65" s="417"/>
      <c r="C65" s="417"/>
      <c r="D65" s="417"/>
      <c r="E65" s="417"/>
      <c r="F65" s="417"/>
      <c r="G65" s="417"/>
      <c r="H65" s="417"/>
      <c r="I65" s="417"/>
      <c r="J65" s="417"/>
      <c r="K65" s="417"/>
      <c r="L65" s="418"/>
      <c r="M65" s="70">
        <f>ROUND(M63+M55+M48+M34,0)</f>
        <v>38744</v>
      </c>
      <c r="N65" s="155"/>
    </row>
    <row r="66" spans="1:14">
      <c r="A66" s="30"/>
      <c r="B66" s="19"/>
      <c r="C66" s="19"/>
      <c r="D66" s="19"/>
      <c r="E66" s="19"/>
      <c r="F66" s="19"/>
      <c r="G66" s="19"/>
      <c r="H66" s="19"/>
      <c r="I66" s="19"/>
      <c r="J66" s="19"/>
      <c r="K66" s="19"/>
      <c r="L66" s="19"/>
      <c r="M66" s="24"/>
    </row>
    <row r="67" spans="1:14">
      <c r="A67" s="51" t="s">
        <v>102</v>
      </c>
      <c r="B67" s="52"/>
      <c r="C67" s="52"/>
      <c r="D67" s="52"/>
      <c r="E67" s="52"/>
      <c r="F67" s="52"/>
      <c r="G67" s="52"/>
      <c r="H67" s="52"/>
      <c r="I67" s="52"/>
      <c r="J67" s="52"/>
      <c r="K67" s="52"/>
      <c r="L67" s="52"/>
      <c r="M67" s="53"/>
    </row>
    <row r="68" spans="1:14" ht="15.75" thickBot="1">
      <c r="A68" s="30"/>
      <c r="B68" s="19"/>
      <c r="C68" s="19"/>
      <c r="D68" s="19"/>
      <c r="E68" s="19"/>
      <c r="F68" s="19"/>
      <c r="G68" s="19"/>
      <c r="H68" s="19"/>
      <c r="I68" s="19"/>
      <c r="J68" s="19"/>
      <c r="K68" s="19"/>
      <c r="L68" s="19"/>
      <c r="M68" s="24"/>
    </row>
    <row r="69" spans="1:14" ht="15.75" thickBot="1">
      <c r="A69" s="438" t="s">
        <v>103</v>
      </c>
      <c r="B69" s="439"/>
      <c r="C69" s="439"/>
      <c r="D69" s="439"/>
      <c r="E69" s="439"/>
      <c r="F69" s="439"/>
      <c r="G69" s="439"/>
      <c r="H69" s="219"/>
      <c r="I69" s="220"/>
      <c r="J69" s="81" t="s">
        <v>104</v>
      </c>
      <c r="K69" s="440" t="s">
        <v>105</v>
      </c>
      <c r="L69" s="441"/>
      <c r="M69" s="82"/>
    </row>
    <row r="70" spans="1:14">
      <c r="A70" s="442" t="s">
        <v>106</v>
      </c>
      <c r="B70" s="443"/>
      <c r="C70" s="443"/>
      <c r="D70" s="443"/>
      <c r="E70" s="443"/>
      <c r="F70" s="443"/>
      <c r="G70" s="443"/>
      <c r="H70" s="83"/>
      <c r="I70" s="84"/>
      <c r="J70" s="85">
        <v>0.19</v>
      </c>
      <c r="K70" s="444">
        <f>M65*J70</f>
        <v>7361.36</v>
      </c>
      <c r="L70" s="444"/>
      <c r="M70" s="86"/>
    </row>
    <row r="71" spans="1:14">
      <c r="A71" s="447" t="s">
        <v>107</v>
      </c>
      <c r="B71" s="448"/>
      <c r="C71" s="448"/>
      <c r="D71" s="448"/>
      <c r="E71" s="448"/>
      <c r="F71" s="448"/>
      <c r="G71" s="449"/>
      <c r="H71" s="77"/>
      <c r="I71" s="78"/>
      <c r="J71" s="5">
        <v>0.01</v>
      </c>
      <c r="K71" s="445">
        <f>M65*J71</f>
        <v>387.44</v>
      </c>
      <c r="L71" s="445"/>
      <c r="M71" s="6"/>
    </row>
    <row r="72" spans="1:14">
      <c r="A72" s="447" t="s">
        <v>108</v>
      </c>
      <c r="B72" s="448"/>
      <c r="C72" s="448"/>
      <c r="D72" s="448"/>
      <c r="E72" s="448"/>
      <c r="F72" s="448"/>
      <c r="G72" s="449"/>
      <c r="H72" s="77"/>
      <c r="I72" s="78"/>
      <c r="J72" s="5">
        <v>0.05</v>
      </c>
      <c r="K72" s="445">
        <f>M65*J72</f>
        <v>1937.2</v>
      </c>
      <c r="L72" s="445"/>
      <c r="M72" s="6"/>
    </row>
    <row r="73" spans="1:14" ht="15.75" thickBot="1">
      <c r="A73" s="450" t="s">
        <v>117</v>
      </c>
      <c r="B73" s="451"/>
      <c r="C73" s="451"/>
      <c r="D73" s="451"/>
      <c r="E73" s="451"/>
      <c r="F73" s="451"/>
      <c r="G73" s="452"/>
      <c r="H73" s="87"/>
      <c r="I73" s="88"/>
      <c r="J73" s="89">
        <v>0.19</v>
      </c>
      <c r="K73" s="446">
        <f>K72*J73</f>
        <v>368.06800000000004</v>
      </c>
      <c r="L73" s="446"/>
      <c r="M73" s="90"/>
    </row>
    <row r="74" spans="1:14" ht="15.75" thickBot="1">
      <c r="A74" s="435" t="s">
        <v>87</v>
      </c>
      <c r="B74" s="436"/>
      <c r="C74" s="436"/>
      <c r="D74" s="436"/>
      <c r="E74" s="436"/>
      <c r="F74" s="436"/>
      <c r="G74" s="436"/>
      <c r="H74" s="436"/>
      <c r="I74" s="436"/>
      <c r="J74" s="436"/>
      <c r="K74" s="436"/>
      <c r="L74" s="437"/>
      <c r="M74" s="76">
        <f>SUM(K70:L73)</f>
        <v>10054.067999999999</v>
      </c>
    </row>
    <row r="75" spans="1:14" ht="15.75" thickBot="1">
      <c r="A75" s="30"/>
      <c r="B75" s="19"/>
      <c r="C75" s="19"/>
      <c r="D75" s="19"/>
      <c r="E75" s="19"/>
      <c r="F75" s="19"/>
      <c r="G75" s="19"/>
      <c r="H75" s="19"/>
      <c r="I75" s="19"/>
      <c r="J75" s="19"/>
      <c r="K75" s="19"/>
      <c r="L75" s="19"/>
      <c r="M75" s="24"/>
    </row>
    <row r="76" spans="1:14" ht="15.75" thickBot="1">
      <c r="A76" s="416" t="s">
        <v>109</v>
      </c>
      <c r="B76" s="417"/>
      <c r="C76" s="417"/>
      <c r="D76" s="417"/>
      <c r="E76" s="417"/>
      <c r="F76" s="417"/>
      <c r="G76" s="417"/>
      <c r="H76" s="417"/>
      <c r="I76" s="417"/>
      <c r="J76" s="417"/>
      <c r="K76" s="417"/>
      <c r="L76" s="418"/>
      <c r="M76" s="71">
        <f>ROUND(M65+M74,0)</f>
        <v>48798</v>
      </c>
    </row>
  </sheetData>
  <mergeCells count="8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41:H41"/>
    <mergeCell ref="K41:L41"/>
    <mergeCell ref="A42:H42"/>
    <mergeCell ref="K42:L42"/>
    <mergeCell ref="A43:H43"/>
    <mergeCell ref="K43:L43"/>
    <mergeCell ref="A53:G53"/>
    <mergeCell ref="K53:L53"/>
    <mergeCell ref="A44:H44"/>
    <mergeCell ref="K44:L44"/>
    <mergeCell ref="A45:H45"/>
    <mergeCell ref="K45:L45"/>
    <mergeCell ref="A46:H46"/>
    <mergeCell ref="K46:L46"/>
    <mergeCell ref="A47:H47"/>
    <mergeCell ref="K47:L47"/>
    <mergeCell ref="A48:L48"/>
    <mergeCell ref="A52:G52"/>
    <mergeCell ref="K52:L52"/>
    <mergeCell ref="A65:L65"/>
    <mergeCell ref="A54:G54"/>
    <mergeCell ref="K54:L54"/>
    <mergeCell ref="A55:L55"/>
    <mergeCell ref="A59:G59"/>
    <mergeCell ref="K59:L59"/>
    <mergeCell ref="A60:G60"/>
    <mergeCell ref="K60:L60"/>
    <mergeCell ref="A61:G61"/>
    <mergeCell ref="K61:L61"/>
    <mergeCell ref="A62:G62"/>
    <mergeCell ref="K62:L62"/>
    <mergeCell ref="A63:L63"/>
    <mergeCell ref="A76:L76"/>
    <mergeCell ref="A69:G69"/>
    <mergeCell ref="K69:L69"/>
    <mergeCell ref="A70:G70"/>
    <mergeCell ref="K70:L70"/>
    <mergeCell ref="A71:G71"/>
    <mergeCell ref="K71:L71"/>
    <mergeCell ref="A72:G72"/>
    <mergeCell ref="K72:L72"/>
    <mergeCell ref="A73:G73"/>
    <mergeCell ref="K73:L73"/>
    <mergeCell ref="A74:L74"/>
  </mergeCells>
  <pageMargins left="0.7" right="0.7" top="0.75" bottom="0.75" header="0.3" footer="0.3"/>
  <pageSetup scale="5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topLeftCell="A40" zoomScale="80" zoomScaleNormal="100" zoomScaleSheetLayoutView="80" workbookViewId="0">
      <selection activeCell="M58" sqref="M58"/>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08"/>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09" t="s">
        <v>71</v>
      </c>
      <c r="H12" s="394"/>
      <c r="I12" s="394"/>
      <c r="J12" s="23"/>
      <c r="K12" s="23"/>
      <c r="L12" s="23"/>
      <c r="M12" s="24"/>
    </row>
    <row r="13" spans="1:13">
      <c r="A13" s="25" t="s">
        <v>72</v>
      </c>
      <c r="B13" s="26"/>
      <c r="C13" s="395" t="s">
        <v>136</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09"/>
      <c r="D17" s="109"/>
      <c r="E17" s="109"/>
      <c r="F17" s="109"/>
      <c r="G17" s="109"/>
      <c r="H17" s="109"/>
      <c r="I17" s="109"/>
      <c r="J17" s="109"/>
      <c r="K17" s="109"/>
      <c r="L17" s="109"/>
      <c r="M17" s="13"/>
    </row>
    <row r="18" spans="1:13">
      <c r="A18" s="25" t="s">
        <v>74</v>
      </c>
      <c r="B18" s="26"/>
      <c r="C18" s="379"/>
      <c r="D18" s="379"/>
      <c r="E18" s="379"/>
      <c r="F18" s="379"/>
      <c r="G18" s="379"/>
      <c r="H18" s="379"/>
      <c r="I18" s="379"/>
      <c r="J18" s="379"/>
      <c r="K18" s="379"/>
      <c r="L18" s="379"/>
      <c r="M18" s="380"/>
    </row>
    <row r="19" spans="1:13">
      <c r="A19" s="25"/>
      <c r="B19" s="26"/>
      <c r="C19" s="109"/>
      <c r="D19" s="109"/>
      <c r="E19" s="109"/>
      <c r="F19" s="109"/>
      <c r="G19" s="109"/>
      <c r="H19" s="109"/>
      <c r="I19" s="109"/>
      <c r="J19" s="109"/>
      <c r="K19" s="109"/>
      <c r="L19" s="109"/>
      <c r="M19" s="13"/>
    </row>
    <row r="20" spans="1:13" ht="31.5" customHeight="1">
      <c r="A20" s="464" t="s">
        <v>113</v>
      </c>
      <c r="B20" s="465"/>
      <c r="C20" s="379"/>
      <c r="D20" s="379"/>
      <c r="E20" s="379"/>
      <c r="F20" s="379"/>
      <c r="G20" s="379"/>
      <c r="H20" s="379"/>
      <c r="I20" s="379"/>
      <c r="J20" s="379"/>
      <c r="K20" s="379"/>
      <c r="L20" s="379"/>
      <c r="M20" s="380"/>
    </row>
    <row r="21" spans="1:13">
      <c r="A21" s="400"/>
      <c r="B21" s="401"/>
      <c r="C21" s="109"/>
      <c r="D21" s="109"/>
      <c r="E21" s="109"/>
      <c r="F21" s="109"/>
      <c r="G21" s="109"/>
      <c r="H21" s="109"/>
      <c r="I21" s="109"/>
      <c r="J21" s="109"/>
      <c r="K21" s="109"/>
      <c r="L21" s="109"/>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03" t="s">
        <v>78</v>
      </c>
      <c r="K25" s="408" t="s">
        <v>79</v>
      </c>
      <c r="L25" s="409"/>
      <c r="M25" s="31" t="s">
        <v>80</v>
      </c>
    </row>
    <row r="26" spans="1:13" ht="15.75" thickBot="1">
      <c r="A26" s="33"/>
      <c r="B26" s="391" t="s">
        <v>141</v>
      </c>
      <c r="C26" s="392"/>
      <c r="D26" s="392"/>
      <c r="E26" s="392"/>
      <c r="F26" s="392"/>
      <c r="G26" s="392"/>
      <c r="H26" s="392"/>
      <c r="I26" s="393"/>
      <c r="J26" s="100">
        <v>1</v>
      </c>
      <c r="K26" s="391" t="s">
        <v>115</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10" t="s">
        <v>83</v>
      </c>
      <c r="K30" s="421" t="s">
        <v>84</v>
      </c>
      <c r="L30" s="424"/>
      <c r="M30" s="44" t="s">
        <v>85</v>
      </c>
    </row>
    <row r="31" spans="1:13">
      <c r="A31" s="425" t="s">
        <v>134</v>
      </c>
      <c r="B31" s="426"/>
      <c r="C31" s="426"/>
      <c r="D31" s="426"/>
      <c r="E31" s="427"/>
      <c r="F31" s="428" t="s">
        <v>123</v>
      </c>
      <c r="G31" s="429"/>
      <c r="H31" s="430" t="s">
        <v>86</v>
      </c>
      <c r="I31" s="427"/>
      <c r="J31" s="72">
        <v>70067</v>
      </c>
      <c r="K31" s="468">
        <v>10.264196797697597</v>
      </c>
      <c r="L31" s="469"/>
      <c r="M31" s="46">
        <f>J31/K31</f>
        <v>6826.3500185145522</v>
      </c>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6826.3500185145522</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05" t="s">
        <v>79</v>
      </c>
      <c r="J37" s="110" t="s">
        <v>80</v>
      </c>
      <c r="K37" s="421" t="s">
        <v>89</v>
      </c>
      <c r="L37" s="424"/>
      <c r="M37" s="44" t="s">
        <v>85</v>
      </c>
    </row>
    <row r="38" spans="1:13">
      <c r="A38" s="425"/>
      <c r="B38" s="426"/>
      <c r="C38" s="426"/>
      <c r="D38" s="426"/>
      <c r="E38" s="426"/>
      <c r="F38" s="426"/>
      <c r="G38" s="426"/>
      <c r="H38" s="427"/>
      <c r="I38" s="73"/>
      <c r="J38" s="45"/>
      <c r="K38" s="456"/>
      <c r="L38" s="457"/>
      <c r="M38" s="56"/>
    </row>
    <row r="39" spans="1:13">
      <c r="A39" s="425"/>
      <c r="B39" s="426"/>
      <c r="C39" s="426"/>
      <c r="D39" s="426"/>
      <c r="E39" s="426"/>
      <c r="F39" s="426"/>
      <c r="G39" s="426"/>
      <c r="H39" s="427"/>
      <c r="I39" s="73"/>
      <c r="J39" s="45"/>
      <c r="K39" s="456"/>
      <c r="L39" s="457"/>
      <c r="M39" s="56"/>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ht="15.75" thickBot="1">
      <c r="A42" s="410"/>
      <c r="B42" s="411"/>
      <c r="C42" s="411"/>
      <c r="D42" s="411"/>
      <c r="E42" s="411"/>
      <c r="F42" s="411"/>
      <c r="G42" s="411"/>
      <c r="H42" s="412"/>
      <c r="I42" s="74"/>
      <c r="J42" s="57"/>
      <c r="K42" s="466"/>
      <c r="L42" s="467"/>
      <c r="M42" s="75"/>
    </row>
    <row r="43" spans="1:13" ht="15.75" thickBot="1">
      <c r="A43" s="416" t="s">
        <v>87</v>
      </c>
      <c r="B43" s="417"/>
      <c r="C43" s="417"/>
      <c r="D43" s="417"/>
      <c r="E43" s="417"/>
      <c r="F43" s="417"/>
      <c r="G43" s="417"/>
      <c r="H43" s="417"/>
      <c r="I43" s="417"/>
      <c r="J43" s="417"/>
      <c r="K43" s="417"/>
      <c r="L43" s="418"/>
      <c r="M43" s="58">
        <f>SUM(M38:M42)</f>
        <v>0</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110" t="s">
        <v>92</v>
      </c>
      <c r="I47" s="104" t="s">
        <v>93</v>
      </c>
      <c r="J47" s="60" t="s">
        <v>94</v>
      </c>
      <c r="K47" s="421" t="s">
        <v>95</v>
      </c>
      <c r="L47" s="424"/>
      <c r="M47" s="44" t="s">
        <v>85</v>
      </c>
    </row>
    <row r="48" spans="1:13">
      <c r="A48" s="425"/>
      <c r="B48" s="426"/>
      <c r="C48" s="426"/>
      <c r="D48" s="426"/>
      <c r="E48" s="426"/>
      <c r="F48" s="426"/>
      <c r="G48" s="426"/>
      <c r="H48" s="61"/>
      <c r="I48" s="55"/>
      <c r="J48" s="61"/>
      <c r="K48" s="428"/>
      <c r="L48" s="429"/>
      <c r="M48" s="62"/>
    </row>
    <row r="49" spans="1:15" ht="15.75" thickBot="1">
      <c r="A49" s="410"/>
      <c r="B49" s="411"/>
      <c r="C49" s="411"/>
      <c r="D49" s="411"/>
      <c r="E49" s="411"/>
      <c r="F49" s="411"/>
      <c r="G49" s="411"/>
      <c r="H49" s="47"/>
      <c r="I49" s="15"/>
      <c r="J49" s="47"/>
      <c r="K49" s="414"/>
      <c r="L49" s="415"/>
      <c r="M49" s="48"/>
    </row>
    <row r="50" spans="1:15" ht="15.75" thickBot="1">
      <c r="A50" s="416" t="s">
        <v>87</v>
      </c>
      <c r="B50" s="417"/>
      <c r="C50" s="417"/>
      <c r="D50" s="417"/>
      <c r="E50" s="417"/>
      <c r="F50" s="417"/>
      <c r="G50" s="417"/>
      <c r="H50" s="417"/>
      <c r="I50" s="417"/>
      <c r="J50" s="417"/>
      <c r="K50" s="417"/>
      <c r="L50" s="418"/>
      <c r="M50" s="63">
        <f>SUM(M48:M49)</f>
        <v>0</v>
      </c>
    </row>
    <row r="51" spans="1:15">
      <c r="A51" s="30"/>
      <c r="B51" s="19"/>
      <c r="C51" s="19"/>
      <c r="D51" s="19"/>
      <c r="E51" s="19"/>
      <c r="F51" s="19"/>
      <c r="G51" s="19"/>
      <c r="H51" s="19"/>
      <c r="I51" s="19"/>
      <c r="J51" s="19"/>
      <c r="K51" s="19"/>
      <c r="L51" s="19"/>
      <c r="M51" s="24"/>
    </row>
    <row r="52" spans="1:15">
      <c r="A52" s="51" t="s">
        <v>96</v>
      </c>
      <c r="B52" s="52"/>
      <c r="C52" s="52"/>
      <c r="D52" s="52"/>
      <c r="E52" s="52"/>
      <c r="F52" s="52"/>
      <c r="G52" s="52"/>
      <c r="H52" s="52"/>
      <c r="I52" s="52"/>
      <c r="J52" s="52"/>
      <c r="K52" s="52"/>
      <c r="L52" s="52"/>
      <c r="M52" s="53"/>
    </row>
    <row r="53" spans="1:15" ht="15.75" thickBot="1">
      <c r="A53" s="30"/>
      <c r="B53" s="19"/>
      <c r="C53" s="19"/>
      <c r="D53" s="19"/>
      <c r="E53" s="19"/>
      <c r="F53" s="19"/>
      <c r="G53" s="19"/>
      <c r="H53" s="19"/>
      <c r="I53" s="19"/>
      <c r="J53" s="19"/>
      <c r="K53" s="19"/>
      <c r="L53" s="19"/>
      <c r="M53" s="24"/>
    </row>
    <row r="54" spans="1:15" ht="26.25">
      <c r="A54" s="453" t="s">
        <v>97</v>
      </c>
      <c r="B54" s="454"/>
      <c r="C54" s="454"/>
      <c r="D54" s="454"/>
      <c r="E54" s="454"/>
      <c r="F54" s="454"/>
      <c r="G54" s="454"/>
      <c r="H54" s="110" t="s">
        <v>98</v>
      </c>
      <c r="I54" s="111" t="s">
        <v>99</v>
      </c>
      <c r="J54" s="111" t="s">
        <v>100</v>
      </c>
      <c r="K54" s="455" t="s">
        <v>84</v>
      </c>
      <c r="L54" s="455"/>
      <c r="M54" s="65" t="s">
        <v>85</v>
      </c>
    </row>
    <row r="55" spans="1:15" ht="15.75" thickBot="1">
      <c r="A55" s="432" t="s">
        <v>122</v>
      </c>
      <c r="B55" s="433"/>
      <c r="C55" s="433"/>
      <c r="D55" s="433"/>
      <c r="E55" s="433"/>
      <c r="F55" s="433"/>
      <c r="G55" s="433"/>
      <c r="H55" s="3">
        <v>85839.318181818162</v>
      </c>
      <c r="I55" s="4">
        <v>2.2000000000000002</v>
      </c>
      <c r="J55" s="67">
        <f>(I55*H55)</f>
        <v>188846.49999999997</v>
      </c>
      <c r="K55" s="434">
        <v>10</v>
      </c>
      <c r="L55" s="434"/>
      <c r="M55" s="68">
        <f>J55/K55</f>
        <v>18884.649999999998</v>
      </c>
    </row>
    <row r="56" spans="1:15" ht="15.75" thickBot="1">
      <c r="A56" s="435" t="s">
        <v>87</v>
      </c>
      <c r="B56" s="436"/>
      <c r="C56" s="436"/>
      <c r="D56" s="436"/>
      <c r="E56" s="436"/>
      <c r="F56" s="436"/>
      <c r="G56" s="436"/>
      <c r="H56" s="436"/>
      <c r="I56" s="436"/>
      <c r="J56" s="436"/>
      <c r="K56" s="436"/>
      <c r="L56" s="437"/>
      <c r="M56" s="69">
        <f>SUM(M55:M55)</f>
        <v>18884.649999999998</v>
      </c>
      <c r="O56" s="155"/>
    </row>
    <row r="57" spans="1:15" ht="15.75" thickBot="1">
      <c r="A57" s="30"/>
      <c r="B57" s="19"/>
      <c r="C57" s="19"/>
      <c r="D57" s="19"/>
      <c r="E57" s="19"/>
      <c r="F57" s="19"/>
      <c r="G57" s="19"/>
      <c r="H57" s="19"/>
      <c r="I57" s="19"/>
      <c r="J57" s="19"/>
      <c r="K57" s="19"/>
      <c r="L57" s="19"/>
      <c r="M57" s="24"/>
    </row>
    <row r="58" spans="1:15" ht="15.75" thickBot="1">
      <c r="A58" s="416" t="s">
        <v>101</v>
      </c>
      <c r="B58" s="417"/>
      <c r="C58" s="417"/>
      <c r="D58" s="417"/>
      <c r="E58" s="417"/>
      <c r="F58" s="417"/>
      <c r="G58" s="417"/>
      <c r="H58" s="417"/>
      <c r="I58" s="417"/>
      <c r="J58" s="417"/>
      <c r="K58" s="417"/>
      <c r="L58" s="418"/>
      <c r="M58" s="70">
        <f>ROUND(M56+M50+M43+M33,0)</f>
        <v>25711</v>
      </c>
      <c r="N58" s="155"/>
    </row>
    <row r="59" spans="1:15">
      <c r="A59" s="30"/>
      <c r="B59" s="19"/>
      <c r="C59" s="19"/>
      <c r="D59" s="19"/>
      <c r="E59" s="19"/>
      <c r="F59" s="19"/>
      <c r="G59" s="19"/>
      <c r="H59" s="19"/>
      <c r="I59" s="19"/>
      <c r="J59" s="19"/>
      <c r="K59" s="19"/>
      <c r="L59" s="19"/>
      <c r="M59" s="24"/>
    </row>
    <row r="60" spans="1:15">
      <c r="A60" s="51" t="s">
        <v>102</v>
      </c>
      <c r="B60" s="52"/>
      <c r="C60" s="52"/>
      <c r="D60" s="52"/>
      <c r="E60" s="52"/>
      <c r="F60" s="52"/>
      <c r="G60" s="52"/>
      <c r="H60" s="52"/>
      <c r="I60" s="52"/>
      <c r="J60" s="52"/>
      <c r="K60" s="52"/>
      <c r="L60" s="52"/>
      <c r="M60" s="53"/>
    </row>
    <row r="61" spans="1:15" ht="15.75" thickBot="1">
      <c r="A61" s="30"/>
      <c r="B61" s="19"/>
      <c r="C61" s="19"/>
      <c r="D61" s="19"/>
      <c r="E61" s="19"/>
      <c r="F61" s="19"/>
      <c r="G61" s="19"/>
      <c r="H61" s="19"/>
      <c r="I61" s="19"/>
      <c r="J61" s="19"/>
      <c r="K61" s="19"/>
      <c r="L61" s="19"/>
      <c r="M61" s="24"/>
    </row>
    <row r="62" spans="1:15" ht="15.75" thickBot="1">
      <c r="A62" s="438" t="s">
        <v>103</v>
      </c>
      <c r="B62" s="439"/>
      <c r="C62" s="439"/>
      <c r="D62" s="439"/>
      <c r="E62" s="439"/>
      <c r="F62" s="439"/>
      <c r="G62" s="439"/>
      <c r="H62" s="106"/>
      <c r="I62" s="107"/>
      <c r="J62" s="81" t="s">
        <v>104</v>
      </c>
      <c r="K62" s="440" t="s">
        <v>105</v>
      </c>
      <c r="L62" s="441"/>
      <c r="M62" s="82"/>
    </row>
    <row r="63" spans="1:15">
      <c r="A63" s="442" t="s">
        <v>106</v>
      </c>
      <c r="B63" s="443"/>
      <c r="C63" s="443"/>
      <c r="D63" s="443"/>
      <c r="E63" s="443"/>
      <c r="F63" s="443"/>
      <c r="G63" s="443"/>
      <c r="H63" s="83"/>
      <c r="I63" s="84"/>
      <c r="J63" s="85">
        <v>0.19</v>
      </c>
      <c r="K63" s="444">
        <f>M58*J63</f>
        <v>4885.09</v>
      </c>
      <c r="L63" s="444"/>
      <c r="M63" s="86"/>
    </row>
    <row r="64" spans="1:15">
      <c r="A64" s="447" t="s">
        <v>107</v>
      </c>
      <c r="B64" s="448"/>
      <c r="C64" s="448"/>
      <c r="D64" s="448"/>
      <c r="E64" s="448"/>
      <c r="F64" s="448"/>
      <c r="G64" s="449"/>
      <c r="H64" s="77"/>
      <c r="I64" s="78"/>
      <c r="J64" s="5">
        <v>0.01</v>
      </c>
      <c r="K64" s="445">
        <f>M58*J64</f>
        <v>257.11</v>
      </c>
      <c r="L64" s="445"/>
      <c r="M64" s="6"/>
    </row>
    <row r="65" spans="1:13">
      <c r="A65" s="447" t="s">
        <v>108</v>
      </c>
      <c r="B65" s="448"/>
      <c r="C65" s="448"/>
      <c r="D65" s="448"/>
      <c r="E65" s="448"/>
      <c r="F65" s="448"/>
      <c r="G65" s="449"/>
      <c r="H65" s="77"/>
      <c r="I65" s="78"/>
      <c r="J65" s="5">
        <v>0.05</v>
      </c>
      <c r="K65" s="445">
        <f>M58*J65</f>
        <v>1285.5500000000002</v>
      </c>
      <c r="L65" s="445"/>
      <c r="M65" s="6"/>
    </row>
    <row r="66" spans="1:13" ht="15.75" thickBot="1">
      <c r="A66" s="450" t="s">
        <v>117</v>
      </c>
      <c r="B66" s="451"/>
      <c r="C66" s="451"/>
      <c r="D66" s="451"/>
      <c r="E66" s="451"/>
      <c r="F66" s="451"/>
      <c r="G66" s="452"/>
      <c r="H66" s="87"/>
      <c r="I66" s="88"/>
      <c r="J66" s="89">
        <v>0.19</v>
      </c>
      <c r="K66" s="446">
        <f>K65*J66</f>
        <v>244.25450000000004</v>
      </c>
      <c r="L66" s="446"/>
      <c r="M66" s="90"/>
    </row>
    <row r="67" spans="1:13" ht="15.75" thickBot="1">
      <c r="A67" s="435" t="s">
        <v>87</v>
      </c>
      <c r="B67" s="436"/>
      <c r="C67" s="436"/>
      <c r="D67" s="436"/>
      <c r="E67" s="436"/>
      <c r="F67" s="436"/>
      <c r="G67" s="436"/>
      <c r="H67" s="436"/>
      <c r="I67" s="436"/>
      <c r="J67" s="436"/>
      <c r="K67" s="436"/>
      <c r="L67" s="437"/>
      <c r="M67" s="76">
        <f>SUM(K63:L66)</f>
        <v>6672.0045</v>
      </c>
    </row>
    <row r="68" spans="1:13" ht="15.75" thickBot="1">
      <c r="A68" s="30"/>
      <c r="B68" s="19"/>
      <c r="C68" s="19"/>
      <c r="D68" s="19"/>
      <c r="E68" s="19"/>
      <c r="F68" s="19"/>
      <c r="G68" s="19"/>
      <c r="H68" s="19"/>
      <c r="I68" s="19"/>
      <c r="J68" s="19"/>
      <c r="K68" s="19"/>
      <c r="L68" s="19"/>
      <c r="M68" s="24"/>
    </row>
    <row r="69" spans="1:13" ht="15.75" thickBot="1">
      <c r="A69" s="416" t="s">
        <v>109</v>
      </c>
      <c r="B69" s="417"/>
      <c r="C69" s="417"/>
      <c r="D69" s="417"/>
      <c r="E69" s="417"/>
      <c r="F69" s="417"/>
      <c r="G69" s="417"/>
      <c r="H69" s="417"/>
      <c r="I69" s="417"/>
      <c r="J69" s="417"/>
      <c r="K69" s="417"/>
      <c r="L69" s="418"/>
      <c r="M69" s="71">
        <f>ROUND(M58+M67,0)</f>
        <v>32383</v>
      </c>
    </row>
  </sheetData>
  <mergeCells count="71">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L56"/>
    <mergeCell ref="A58:L58"/>
    <mergeCell ref="A62:G62"/>
    <mergeCell ref="K62:L62"/>
    <mergeCell ref="A66:G66"/>
    <mergeCell ref="K66:L66"/>
    <mergeCell ref="A67:L67"/>
    <mergeCell ref="A69:L69"/>
    <mergeCell ref="A63:G63"/>
    <mergeCell ref="K63:L63"/>
    <mergeCell ref="A64:G64"/>
    <mergeCell ref="K64:L64"/>
    <mergeCell ref="A65:G65"/>
    <mergeCell ref="K65:L65"/>
  </mergeCells>
  <pageMargins left="0.7" right="0.7" top="0.75" bottom="0.75" header="0.3" footer="0.3"/>
  <pageSetup scale="57"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view="pageBreakPreview" topLeftCell="A55" zoomScale="80" zoomScaleNormal="100" zoomScaleSheetLayoutView="80" workbookViewId="0">
      <selection activeCell="M66" sqref="M66"/>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9">
      <c r="A17" s="25"/>
      <c r="B17" s="26"/>
      <c r="C17" s="224"/>
      <c r="D17" s="224"/>
      <c r="E17" s="224"/>
      <c r="F17" s="224"/>
      <c r="G17" s="224"/>
      <c r="H17" s="224"/>
      <c r="I17" s="224"/>
      <c r="J17" s="224"/>
      <c r="K17" s="224"/>
      <c r="L17" s="224"/>
      <c r="M17" s="13"/>
    </row>
    <row r="18" spans="1:19">
      <c r="A18" s="25" t="s">
        <v>74</v>
      </c>
      <c r="B18" s="26"/>
      <c r="C18" s="379"/>
      <c r="D18" s="379"/>
      <c r="E18" s="379"/>
      <c r="F18" s="379"/>
      <c r="G18" s="379"/>
      <c r="H18" s="379"/>
      <c r="I18" s="379"/>
      <c r="J18" s="379"/>
      <c r="K18" s="379"/>
      <c r="L18" s="379"/>
      <c r="M18" s="380"/>
    </row>
    <row r="19" spans="1:19">
      <c r="A19" s="25"/>
      <c r="B19" s="26"/>
      <c r="C19" s="224"/>
      <c r="D19" s="224"/>
      <c r="E19" s="224"/>
      <c r="F19" s="224"/>
      <c r="G19" s="224"/>
      <c r="H19" s="224"/>
      <c r="I19" s="224"/>
      <c r="J19" s="224"/>
      <c r="K19" s="224"/>
      <c r="L19" s="224"/>
      <c r="M19" s="13"/>
    </row>
    <row r="20" spans="1:19" ht="31.5" customHeight="1">
      <c r="A20" s="464" t="s">
        <v>113</v>
      </c>
      <c r="B20" s="465"/>
      <c r="C20" s="379"/>
      <c r="D20" s="379"/>
      <c r="E20" s="379"/>
      <c r="F20" s="379"/>
      <c r="G20" s="379"/>
      <c r="H20" s="379"/>
      <c r="I20" s="379"/>
      <c r="J20" s="379"/>
      <c r="K20" s="379"/>
      <c r="L20" s="379"/>
      <c r="M20" s="380"/>
    </row>
    <row r="21" spans="1:19">
      <c r="A21" s="400"/>
      <c r="B21" s="401"/>
      <c r="C21" s="224"/>
      <c r="D21" s="224"/>
      <c r="E21" s="224"/>
      <c r="F21" s="224"/>
      <c r="G21" s="224"/>
      <c r="H21" s="224"/>
      <c r="I21" s="224"/>
      <c r="J21" s="224"/>
      <c r="K21" s="224"/>
      <c r="L21" s="22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216" t="s">
        <v>78</v>
      </c>
      <c r="K25" s="408" t="s">
        <v>79</v>
      </c>
      <c r="L25" s="409"/>
      <c r="M25" s="31" t="s">
        <v>80</v>
      </c>
    </row>
    <row r="26" spans="1:19" ht="47.25" customHeight="1" thickBot="1">
      <c r="A26" s="227"/>
      <c r="B26" s="505" t="s">
        <v>363</v>
      </c>
      <c r="C26" s="528"/>
      <c r="D26" s="528"/>
      <c r="E26" s="528"/>
      <c r="F26" s="528"/>
      <c r="G26" s="528"/>
      <c r="H26" s="528"/>
      <c r="I26" s="529"/>
      <c r="J26" s="226">
        <v>1</v>
      </c>
      <c r="K26" s="508" t="s">
        <v>8</v>
      </c>
      <c r="L26" s="507"/>
      <c r="M26" s="228"/>
      <c r="N26" s="230"/>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221" t="s">
        <v>83</v>
      </c>
      <c r="K30" s="421" t="s">
        <v>84</v>
      </c>
      <c r="L30" s="424"/>
      <c r="M30" s="44" t="s">
        <v>85</v>
      </c>
    </row>
    <row r="31" spans="1:19" ht="15.75" thickBot="1">
      <c r="A31" s="425"/>
      <c r="B31" s="426"/>
      <c r="C31" s="426"/>
      <c r="D31" s="426"/>
      <c r="E31" s="427"/>
      <c r="F31" s="428"/>
      <c r="G31" s="429"/>
      <c r="H31" s="430"/>
      <c r="I31" s="427"/>
      <c r="J31" s="72"/>
      <c r="K31" s="428"/>
      <c r="L31" s="429"/>
      <c r="M31" s="231">
        <f>J31*K31</f>
        <v>0</v>
      </c>
      <c r="N31" s="489"/>
      <c r="O31" s="490"/>
      <c r="P31" s="95"/>
      <c r="Q31" s="96"/>
      <c r="R31" s="97"/>
      <c r="S31" s="98"/>
    </row>
    <row r="32" spans="1:19">
      <c r="A32" s="425"/>
      <c r="B32" s="426"/>
      <c r="C32" s="426"/>
      <c r="D32" s="426"/>
      <c r="E32" s="427"/>
      <c r="F32" s="428"/>
      <c r="G32" s="429"/>
      <c r="H32" s="430"/>
      <c r="I32" s="427"/>
      <c r="J32" s="72"/>
      <c r="K32" s="428"/>
      <c r="L32" s="429"/>
      <c r="M32" s="209">
        <f>J32*K32</f>
        <v>0</v>
      </c>
    </row>
    <row r="33" spans="1:16" ht="15.75" thickBot="1">
      <c r="A33" s="410"/>
      <c r="B33" s="411"/>
      <c r="C33" s="411"/>
      <c r="D33" s="411"/>
      <c r="E33" s="412"/>
      <c r="F33" s="414"/>
      <c r="G33" s="415"/>
      <c r="H33" s="413"/>
      <c r="I33" s="412"/>
      <c r="J33" s="91"/>
      <c r="K33" s="414"/>
      <c r="L33" s="415"/>
      <c r="M33" s="46"/>
    </row>
    <row r="34" spans="1:16" ht="15.75" thickBot="1">
      <c r="A34" s="416" t="s">
        <v>87</v>
      </c>
      <c r="B34" s="417"/>
      <c r="C34" s="417"/>
      <c r="D34" s="417"/>
      <c r="E34" s="417"/>
      <c r="F34" s="417"/>
      <c r="G34" s="417"/>
      <c r="H34" s="417"/>
      <c r="I34" s="417"/>
      <c r="J34" s="417"/>
      <c r="K34" s="417"/>
      <c r="L34" s="418"/>
      <c r="M34" s="232">
        <f>SUM(M31:M33)</f>
        <v>0</v>
      </c>
    </row>
    <row r="35" spans="1:16">
      <c r="A35" s="50"/>
      <c r="B35" s="19"/>
      <c r="C35" s="19"/>
      <c r="D35" s="19"/>
      <c r="E35" s="19"/>
      <c r="F35" s="19"/>
      <c r="G35" s="19"/>
      <c r="H35" s="19"/>
      <c r="I35" s="19"/>
      <c r="J35" s="19"/>
      <c r="K35" s="19"/>
      <c r="L35" s="19"/>
      <c r="M35" s="24"/>
    </row>
    <row r="36" spans="1:16">
      <c r="A36" s="51" t="s">
        <v>88</v>
      </c>
      <c r="B36" s="52"/>
      <c r="C36" s="52"/>
      <c r="D36" s="52"/>
      <c r="E36" s="52"/>
      <c r="F36" s="52"/>
      <c r="G36" s="52"/>
      <c r="H36" s="52"/>
      <c r="I36" s="52"/>
      <c r="J36" s="52"/>
      <c r="K36" s="52"/>
      <c r="L36" s="52"/>
      <c r="M36" s="53"/>
    </row>
    <row r="37" spans="1:16" ht="15.75" thickBot="1">
      <c r="A37" s="14"/>
      <c r="B37" s="15"/>
      <c r="C37" s="15"/>
      <c r="D37" s="15"/>
      <c r="E37" s="15"/>
      <c r="F37" s="15"/>
      <c r="G37" s="15"/>
      <c r="H37" s="15"/>
      <c r="I37" s="19"/>
      <c r="J37" s="19"/>
      <c r="K37" s="19"/>
      <c r="L37" s="19"/>
      <c r="M37" s="24"/>
    </row>
    <row r="38" spans="1:16">
      <c r="A38" s="408" t="s">
        <v>77</v>
      </c>
      <c r="B38" s="431"/>
      <c r="C38" s="431"/>
      <c r="D38" s="431"/>
      <c r="E38" s="431"/>
      <c r="F38" s="431"/>
      <c r="G38" s="431"/>
      <c r="H38" s="424"/>
      <c r="I38" s="217" t="s">
        <v>79</v>
      </c>
      <c r="J38" s="221" t="s">
        <v>80</v>
      </c>
      <c r="K38" s="421" t="s">
        <v>89</v>
      </c>
      <c r="L38" s="424"/>
      <c r="M38" s="44" t="s">
        <v>85</v>
      </c>
    </row>
    <row r="39" spans="1:16" ht="15" customHeight="1">
      <c r="A39" s="484" t="s">
        <v>286</v>
      </c>
      <c r="B39" s="485"/>
      <c r="C39" s="485"/>
      <c r="D39" s="485"/>
      <c r="E39" s="485"/>
      <c r="F39" s="485"/>
      <c r="G39" s="485"/>
      <c r="H39" s="486"/>
      <c r="I39" s="73" t="s">
        <v>11</v>
      </c>
      <c r="J39" s="92">
        <v>0.5</v>
      </c>
      <c r="K39" s="487">
        <v>216</v>
      </c>
      <c r="L39" s="488"/>
      <c r="M39" s="56">
        <f>K39*J39</f>
        <v>108</v>
      </c>
      <c r="O39" s="94"/>
    </row>
    <row r="40" spans="1:16" ht="15" customHeight="1">
      <c r="A40" s="484" t="s">
        <v>287</v>
      </c>
      <c r="B40" s="485"/>
      <c r="C40" s="485"/>
      <c r="D40" s="485"/>
      <c r="E40" s="485"/>
      <c r="F40" s="485"/>
      <c r="G40" s="485"/>
      <c r="H40" s="486"/>
      <c r="I40" s="73" t="s">
        <v>8</v>
      </c>
      <c r="J40" s="93">
        <v>1.05</v>
      </c>
      <c r="K40" s="487">
        <v>2527</v>
      </c>
      <c r="L40" s="488"/>
      <c r="M40" s="56">
        <f t="shared" ref="M40:M43" si="0">K40*J40</f>
        <v>2653.35</v>
      </c>
      <c r="P40" s="94"/>
    </row>
    <row r="41" spans="1:16" ht="15" customHeight="1">
      <c r="A41" s="484" t="s">
        <v>239</v>
      </c>
      <c r="B41" s="485"/>
      <c r="C41" s="485"/>
      <c r="D41" s="485"/>
      <c r="E41" s="485"/>
      <c r="F41" s="485"/>
      <c r="G41" s="485"/>
      <c r="H41" s="486"/>
      <c r="I41" s="73" t="s">
        <v>11</v>
      </c>
      <c r="J41" s="242">
        <v>2E-3</v>
      </c>
      <c r="K41" s="487">
        <v>68896</v>
      </c>
      <c r="L41" s="488"/>
      <c r="M41" s="56">
        <f t="shared" si="0"/>
        <v>137.792</v>
      </c>
    </row>
    <row r="42" spans="1:16">
      <c r="A42" s="425" t="s">
        <v>240</v>
      </c>
      <c r="B42" s="426"/>
      <c r="C42" s="426"/>
      <c r="D42" s="426"/>
      <c r="E42" s="426"/>
      <c r="F42" s="426"/>
      <c r="G42" s="426"/>
      <c r="H42" s="427"/>
      <c r="I42" s="73" t="s">
        <v>11</v>
      </c>
      <c r="J42" s="212">
        <v>2E-3</v>
      </c>
      <c r="K42" s="456">
        <v>32938</v>
      </c>
      <c r="L42" s="457"/>
      <c r="M42" s="56">
        <f t="shared" si="0"/>
        <v>65.876000000000005</v>
      </c>
    </row>
    <row r="43" spans="1:16">
      <c r="A43" s="425"/>
      <c r="B43" s="426"/>
      <c r="C43" s="426"/>
      <c r="D43" s="426"/>
      <c r="E43" s="426"/>
      <c r="F43" s="426"/>
      <c r="G43" s="426"/>
      <c r="H43" s="427"/>
      <c r="I43" s="73"/>
      <c r="J43" s="225"/>
      <c r="K43" s="456"/>
      <c r="L43" s="457"/>
      <c r="M43" s="56">
        <f t="shared" si="0"/>
        <v>0</v>
      </c>
    </row>
    <row r="44" spans="1:16">
      <c r="A44" s="425"/>
      <c r="B44" s="426"/>
      <c r="C44" s="426"/>
      <c r="D44" s="426"/>
      <c r="E44" s="426"/>
      <c r="F44" s="426"/>
      <c r="G44" s="426"/>
      <c r="H44" s="427"/>
      <c r="I44" s="73"/>
      <c r="J44" s="225"/>
      <c r="K44" s="456"/>
      <c r="L44" s="457"/>
      <c r="M44" s="56"/>
    </row>
    <row r="45" spans="1:16">
      <c r="A45" s="425"/>
      <c r="B45" s="426"/>
      <c r="C45" s="426"/>
      <c r="D45" s="426"/>
      <c r="E45" s="426"/>
      <c r="F45" s="426"/>
      <c r="G45" s="426"/>
      <c r="H45" s="427"/>
      <c r="I45" s="73"/>
      <c r="J45" s="225"/>
      <c r="K45" s="456"/>
      <c r="L45" s="457"/>
      <c r="M45" s="56"/>
    </row>
    <row r="46" spans="1:16">
      <c r="A46" s="425"/>
      <c r="B46" s="426"/>
      <c r="C46" s="426"/>
      <c r="D46" s="426"/>
      <c r="E46" s="426"/>
      <c r="F46" s="426"/>
      <c r="G46" s="426"/>
      <c r="H46" s="427"/>
      <c r="I46" s="73"/>
      <c r="J46" s="225"/>
      <c r="K46" s="456"/>
      <c r="L46" s="457"/>
      <c r="M46" s="56"/>
    </row>
    <row r="47" spans="1:16" ht="15.75" thickBot="1">
      <c r="A47" s="410"/>
      <c r="B47" s="411"/>
      <c r="C47" s="411"/>
      <c r="D47" s="411"/>
      <c r="E47" s="411"/>
      <c r="F47" s="411"/>
      <c r="G47" s="411"/>
      <c r="H47" s="412"/>
      <c r="I47" s="74"/>
      <c r="J47" s="211"/>
      <c r="K47" s="466"/>
      <c r="L47" s="467"/>
      <c r="M47" s="75"/>
    </row>
    <row r="48" spans="1:16" ht="15.75" thickBot="1">
      <c r="A48" s="416" t="s">
        <v>87</v>
      </c>
      <c r="B48" s="417"/>
      <c r="C48" s="417"/>
      <c r="D48" s="417"/>
      <c r="E48" s="417"/>
      <c r="F48" s="417"/>
      <c r="G48" s="417"/>
      <c r="H48" s="417"/>
      <c r="I48" s="417"/>
      <c r="J48" s="417"/>
      <c r="K48" s="417"/>
      <c r="L48" s="418"/>
      <c r="M48" s="58">
        <f>SUM(M39:M47)</f>
        <v>2965.018</v>
      </c>
    </row>
    <row r="49" spans="1:13">
      <c r="A49" s="30"/>
      <c r="B49" s="19"/>
      <c r="C49" s="19"/>
      <c r="D49" s="19"/>
      <c r="E49" s="19"/>
      <c r="F49" s="19"/>
      <c r="G49" s="19"/>
      <c r="H49" s="19"/>
      <c r="I49" s="19"/>
      <c r="J49" s="19"/>
      <c r="K49" s="19"/>
      <c r="L49" s="19"/>
      <c r="M49" s="24"/>
    </row>
    <row r="50" spans="1:13">
      <c r="A50" s="51" t="s">
        <v>90</v>
      </c>
      <c r="B50" s="52"/>
      <c r="C50" s="52"/>
      <c r="D50" s="52"/>
      <c r="E50" s="52"/>
      <c r="F50" s="52"/>
      <c r="G50" s="52"/>
      <c r="H50" s="52"/>
      <c r="I50" s="52"/>
      <c r="J50" s="52"/>
      <c r="K50" s="52"/>
      <c r="L50" s="52"/>
      <c r="M50" s="53"/>
    </row>
    <row r="51" spans="1:13" ht="15.75" thickBot="1">
      <c r="A51" s="30"/>
      <c r="B51" s="19"/>
      <c r="C51" s="19"/>
      <c r="D51" s="19"/>
      <c r="E51" s="19"/>
      <c r="F51" s="19"/>
      <c r="G51" s="19"/>
      <c r="H51" s="19"/>
      <c r="I51" s="19"/>
      <c r="J51" s="19"/>
      <c r="K51" s="19"/>
      <c r="L51" s="19"/>
      <c r="M51" s="24"/>
    </row>
    <row r="52" spans="1:13">
      <c r="A52" s="408" t="s">
        <v>91</v>
      </c>
      <c r="B52" s="431"/>
      <c r="C52" s="431"/>
      <c r="D52" s="431"/>
      <c r="E52" s="431"/>
      <c r="F52" s="431"/>
      <c r="G52" s="431"/>
      <c r="H52" s="221" t="s">
        <v>92</v>
      </c>
      <c r="I52" s="218" t="s">
        <v>93</v>
      </c>
      <c r="J52" s="60" t="s">
        <v>94</v>
      </c>
      <c r="K52" s="421" t="s">
        <v>95</v>
      </c>
      <c r="L52" s="424"/>
      <c r="M52" s="44" t="s">
        <v>85</v>
      </c>
    </row>
    <row r="53" spans="1:13">
      <c r="A53" s="425"/>
      <c r="B53" s="426"/>
      <c r="C53" s="426"/>
      <c r="D53" s="426"/>
      <c r="E53" s="426"/>
      <c r="F53" s="426"/>
      <c r="G53" s="426"/>
      <c r="H53" s="61"/>
      <c r="I53" s="55"/>
      <c r="J53" s="61"/>
      <c r="K53" s="428"/>
      <c r="L53" s="429"/>
    </row>
    <row r="54" spans="1:13" ht="15.75" thickBot="1">
      <c r="A54" s="410"/>
      <c r="B54" s="411"/>
      <c r="C54" s="411"/>
      <c r="D54" s="411"/>
      <c r="E54" s="411"/>
      <c r="F54" s="411"/>
      <c r="G54" s="411"/>
      <c r="H54" s="47"/>
      <c r="I54" s="15"/>
      <c r="J54" s="47"/>
      <c r="K54" s="414"/>
      <c r="L54" s="415"/>
      <c r="M54" s="62"/>
    </row>
    <row r="55" spans="1:13" ht="15.75" thickBot="1">
      <c r="A55" s="416" t="s">
        <v>87</v>
      </c>
      <c r="B55" s="417"/>
      <c r="C55" s="417"/>
      <c r="D55" s="417"/>
      <c r="E55" s="417"/>
      <c r="F55" s="417"/>
      <c r="G55" s="417"/>
      <c r="H55" s="417"/>
      <c r="I55" s="417"/>
      <c r="J55" s="417"/>
      <c r="K55" s="417"/>
      <c r="L55" s="418"/>
      <c r="M55" s="63">
        <f>SUM(M54:M54)</f>
        <v>0</v>
      </c>
    </row>
    <row r="56" spans="1:13">
      <c r="A56" s="30"/>
      <c r="B56" s="19"/>
      <c r="C56" s="19"/>
      <c r="D56" s="19"/>
      <c r="E56" s="19"/>
      <c r="F56" s="19"/>
      <c r="G56" s="19"/>
      <c r="H56" s="19"/>
      <c r="I56" s="19"/>
      <c r="J56" s="19"/>
      <c r="K56" s="19"/>
      <c r="L56" s="19"/>
      <c r="M56" s="24"/>
    </row>
    <row r="57" spans="1:13">
      <c r="A57" s="51" t="s">
        <v>96</v>
      </c>
      <c r="B57" s="52"/>
      <c r="C57" s="52"/>
      <c r="D57" s="52"/>
      <c r="E57" s="52"/>
      <c r="F57" s="52"/>
      <c r="G57" s="52"/>
      <c r="H57" s="52"/>
      <c r="I57" s="52"/>
      <c r="J57" s="52"/>
      <c r="K57" s="52"/>
      <c r="L57" s="52"/>
      <c r="M57" s="53"/>
    </row>
    <row r="58" spans="1:13" ht="15.75" thickBot="1">
      <c r="A58" s="30"/>
      <c r="B58" s="19"/>
      <c r="C58" s="19"/>
      <c r="D58" s="19"/>
      <c r="E58" s="19"/>
      <c r="F58" s="19"/>
      <c r="G58" s="19"/>
      <c r="H58" s="19"/>
      <c r="I58" s="19"/>
      <c r="J58" s="19"/>
      <c r="K58" s="19"/>
      <c r="L58" s="19"/>
      <c r="M58" s="24"/>
    </row>
    <row r="59" spans="1:13" ht="26.25">
      <c r="A59" s="453" t="s">
        <v>97</v>
      </c>
      <c r="B59" s="454"/>
      <c r="C59" s="454"/>
      <c r="D59" s="454"/>
      <c r="E59" s="454"/>
      <c r="F59" s="454"/>
      <c r="G59" s="454"/>
      <c r="H59" s="221" t="s">
        <v>98</v>
      </c>
      <c r="I59" s="222" t="s">
        <v>99</v>
      </c>
      <c r="J59" s="222" t="s">
        <v>100</v>
      </c>
      <c r="K59" s="455" t="s">
        <v>84</v>
      </c>
      <c r="L59" s="455"/>
      <c r="M59" s="65" t="s">
        <v>85</v>
      </c>
    </row>
    <row r="60" spans="1:13">
      <c r="A60" s="471" t="s">
        <v>243</v>
      </c>
      <c r="B60" s="472"/>
      <c r="C60" s="472"/>
      <c r="D60" s="472"/>
      <c r="E60" s="472"/>
      <c r="F60" s="472"/>
      <c r="G60" s="472"/>
      <c r="H60" s="1">
        <v>109738.14166566246</v>
      </c>
      <c r="I60" s="2">
        <v>2.2000000000000002</v>
      </c>
      <c r="J60" s="66">
        <f>(I60*H60)</f>
        <v>241423.91166445744</v>
      </c>
      <c r="K60" s="473">
        <v>208.66691484222991</v>
      </c>
      <c r="L60" s="473"/>
      <c r="M60" s="56">
        <f>J60/K60</f>
        <v>1156.9822261808713</v>
      </c>
    </row>
    <row r="61" spans="1:13">
      <c r="A61" s="471"/>
      <c r="B61" s="472"/>
      <c r="C61" s="472"/>
      <c r="D61" s="472"/>
      <c r="E61" s="472"/>
      <c r="F61" s="472"/>
      <c r="G61" s="472"/>
      <c r="H61" s="1"/>
      <c r="I61" s="2"/>
      <c r="J61" s="66"/>
      <c r="K61" s="473"/>
      <c r="L61" s="473"/>
      <c r="M61" s="56"/>
    </row>
    <row r="62" spans="1:13" ht="15.75" thickBot="1">
      <c r="A62" s="432"/>
      <c r="B62" s="433"/>
      <c r="C62" s="433"/>
      <c r="D62" s="433"/>
      <c r="E62" s="433"/>
      <c r="F62" s="433"/>
      <c r="G62" s="433"/>
      <c r="H62" s="3"/>
      <c r="I62" s="4"/>
      <c r="J62" s="67"/>
      <c r="K62" s="434"/>
      <c r="L62" s="434"/>
      <c r="M62" s="68"/>
    </row>
    <row r="63" spans="1:13" ht="15.75" thickBot="1">
      <c r="A63" s="435" t="s">
        <v>87</v>
      </c>
      <c r="B63" s="436"/>
      <c r="C63" s="436"/>
      <c r="D63" s="436"/>
      <c r="E63" s="436"/>
      <c r="F63" s="436"/>
      <c r="G63" s="436"/>
      <c r="H63" s="436"/>
      <c r="I63" s="436"/>
      <c r="J63" s="436"/>
      <c r="K63" s="436"/>
      <c r="L63" s="437"/>
      <c r="M63" s="69">
        <f>SUM(M60:M62)</f>
        <v>1156.9822261808713</v>
      </c>
    </row>
    <row r="64" spans="1:13" ht="15.75" thickBot="1">
      <c r="A64" s="30"/>
      <c r="B64" s="19"/>
      <c r="C64" s="19"/>
      <c r="D64" s="19"/>
      <c r="E64" s="19"/>
      <c r="F64" s="19"/>
      <c r="G64" s="19"/>
      <c r="H64" s="19"/>
      <c r="I64" s="19"/>
      <c r="J64" s="19"/>
      <c r="K64" s="19"/>
      <c r="L64" s="19"/>
      <c r="M64" s="24"/>
    </row>
    <row r="65" spans="1:14" ht="15.75" thickBot="1">
      <c r="A65" s="416" t="s">
        <v>101</v>
      </c>
      <c r="B65" s="417"/>
      <c r="C65" s="417"/>
      <c r="D65" s="417"/>
      <c r="E65" s="417"/>
      <c r="F65" s="417"/>
      <c r="G65" s="417"/>
      <c r="H65" s="417"/>
      <c r="I65" s="417"/>
      <c r="J65" s="417"/>
      <c r="K65" s="417"/>
      <c r="L65" s="418"/>
      <c r="M65" s="70">
        <f>ROUND(M63+M55+M48+M34,0)</f>
        <v>4122</v>
      </c>
      <c r="N65" s="155"/>
    </row>
    <row r="66" spans="1:14">
      <c r="A66" s="30"/>
      <c r="B66" s="19"/>
      <c r="C66" s="19"/>
      <c r="D66" s="19"/>
      <c r="E66" s="19"/>
      <c r="F66" s="19"/>
      <c r="G66" s="19"/>
      <c r="H66" s="19"/>
      <c r="I66" s="19"/>
      <c r="J66" s="19"/>
      <c r="K66" s="19"/>
      <c r="L66" s="19"/>
      <c r="M66" s="24"/>
    </row>
    <row r="67" spans="1:14">
      <c r="A67" s="51" t="s">
        <v>102</v>
      </c>
      <c r="B67" s="52"/>
      <c r="C67" s="52"/>
      <c r="D67" s="52"/>
      <c r="E67" s="52"/>
      <c r="F67" s="52"/>
      <c r="G67" s="52"/>
      <c r="H67" s="52"/>
      <c r="I67" s="52"/>
      <c r="J67" s="52"/>
      <c r="K67" s="52"/>
      <c r="L67" s="52"/>
      <c r="M67" s="53"/>
    </row>
    <row r="68" spans="1:14" ht="15.75" thickBot="1">
      <c r="A68" s="30"/>
      <c r="B68" s="19"/>
      <c r="C68" s="19"/>
      <c r="D68" s="19"/>
      <c r="E68" s="19"/>
      <c r="F68" s="19"/>
      <c r="G68" s="19"/>
      <c r="H68" s="19"/>
      <c r="I68" s="19"/>
      <c r="J68" s="19"/>
      <c r="K68" s="19"/>
      <c r="L68" s="19"/>
      <c r="M68" s="24"/>
    </row>
    <row r="69" spans="1:14" ht="15.75" thickBot="1">
      <c r="A69" s="438" t="s">
        <v>103</v>
      </c>
      <c r="B69" s="439"/>
      <c r="C69" s="439"/>
      <c r="D69" s="439"/>
      <c r="E69" s="439"/>
      <c r="F69" s="439"/>
      <c r="G69" s="439"/>
      <c r="H69" s="219"/>
      <c r="I69" s="220"/>
      <c r="J69" s="81" t="s">
        <v>104</v>
      </c>
      <c r="K69" s="440" t="s">
        <v>105</v>
      </c>
      <c r="L69" s="441"/>
      <c r="M69" s="82"/>
    </row>
    <row r="70" spans="1:14">
      <c r="A70" s="442" t="s">
        <v>106</v>
      </c>
      <c r="B70" s="443"/>
      <c r="C70" s="443"/>
      <c r="D70" s="443"/>
      <c r="E70" s="443"/>
      <c r="F70" s="443"/>
      <c r="G70" s="443"/>
      <c r="H70" s="83"/>
      <c r="I70" s="84"/>
      <c r="J70" s="85">
        <v>0.19</v>
      </c>
      <c r="K70" s="444">
        <f>M65*J70</f>
        <v>783.18000000000006</v>
      </c>
      <c r="L70" s="444"/>
      <c r="M70" s="86"/>
    </row>
    <row r="71" spans="1:14">
      <c r="A71" s="447" t="s">
        <v>107</v>
      </c>
      <c r="B71" s="448"/>
      <c r="C71" s="448"/>
      <c r="D71" s="448"/>
      <c r="E71" s="448"/>
      <c r="F71" s="448"/>
      <c r="G71" s="449"/>
      <c r="H71" s="77"/>
      <c r="I71" s="78"/>
      <c r="J71" s="5">
        <v>0.01</v>
      </c>
      <c r="K71" s="445">
        <f>M65*J71</f>
        <v>41.22</v>
      </c>
      <c r="L71" s="445"/>
      <c r="M71" s="6"/>
    </row>
    <row r="72" spans="1:14">
      <c r="A72" s="447" t="s">
        <v>108</v>
      </c>
      <c r="B72" s="448"/>
      <c r="C72" s="448"/>
      <c r="D72" s="448"/>
      <c r="E72" s="448"/>
      <c r="F72" s="448"/>
      <c r="G72" s="449"/>
      <c r="H72" s="77"/>
      <c r="I72" s="78"/>
      <c r="J72" s="5">
        <v>0.05</v>
      </c>
      <c r="K72" s="445">
        <f>M65*J72</f>
        <v>206.10000000000002</v>
      </c>
      <c r="L72" s="445"/>
      <c r="M72" s="6"/>
    </row>
    <row r="73" spans="1:14" ht="15.75" thickBot="1">
      <c r="A73" s="450" t="s">
        <v>117</v>
      </c>
      <c r="B73" s="451"/>
      <c r="C73" s="451"/>
      <c r="D73" s="451"/>
      <c r="E73" s="451"/>
      <c r="F73" s="451"/>
      <c r="G73" s="452"/>
      <c r="H73" s="87"/>
      <c r="I73" s="88"/>
      <c r="J73" s="89">
        <v>0.19</v>
      </c>
      <c r="K73" s="446">
        <f>K72*J73</f>
        <v>39.159000000000006</v>
      </c>
      <c r="L73" s="446"/>
      <c r="M73" s="90"/>
    </row>
    <row r="74" spans="1:14" ht="15.75" thickBot="1">
      <c r="A74" s="435" t="s">
        <v>87</v>
      </c>
      <c r="B74" s="436"/>
      <c r="C74" s="436"/>
      <c r="D74" s="436"/>
      <c r="E74" s="436"/>
      <c r="F74" s="436"/>
      <c r="G74" s="436"/>
      <c r="H74" s="436"/>
      <c r="I74" s="436"/>
      <c r="J74" s="436"/>
      <c r="K74" s="436"/>
      <c r="L74" s="437"/>
      <c r="M74" s="76">
        <f>SUM(K70:L73)</f>
        <v>1069.6590000000001</v>
      </c>
    </row>
    <row r="75" spans="1:14" ht="15.75" thickBot="1">
      <c r="A75" s="30"/>
      <c r="B75" s="19"/>
      <c r="C75" s="19"/>
      <c r="D75" s="19"/>
      <c r="E75" s="19"/>
      <c r="F75" s="19"/>
      <c r="G75" s="19"/>
      <c r="H75" s="19"/>
      <c r="I75" s="19"/>
      <c r="J75" s="19"/>
      <c r="K75" s="19"/>
      <c r="L75" s="19"/>
      <c r="M75" s="24"/>
    </row>
    <row r="76" spans="1:14" ht="15.75" thickBot="1">
      <c r="A76" s="416" t="s">
        <v>109</v>
      </c>
      <c r="B76" s="417"/>
      <c r="C76" s="417"/>
      <c r="D76" s="417"/>
      <c r="E76" s="417"/>
      <c r="F76" s="417"/>
      <c r="G76" s="417"/>
      <c r="H76" s="417"/>
      <c r="I76" s="417"/>
      <c r="J76" s="417"/>
      <c r="K76" s="417"/>
      <c r="L76" s="418"/>
      <c r="M76" s="71">
        <f>ROUND(M65+M74,0)</f>
        <v>5192</v>
      </c>
    </row>
  </sheetData>
  <mergeCells count="8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41:H41"/>
    <mergeCell ref="K41:L41"/>
    <mergeCell ref="A42:H42"/>
    <mergeCell ref="K42:L42"/>
    <mergeCell ref="A43:H43"/>
    <mergeCell ref="K43:L43"/>
    <mergeCell ref="A53:G53"/>
    <mergeCell ref="K53:L53"/>
    <mergeCell ref="A44:H44"/>
    <mergeCell ref="K44:L44"/>
    <mergeCell ref="A45:H45"/>
    <mergeCell ref="K45:L45"/>
    <mergeCell ref="A46:H46"/>
    <mergeCell ref="K46:L46"/>
    <mergeCell ref="A47:H47"/>
    <mergeCell ref="K47:L47"/>
    <mergeCell ref="A48:L48"/>
    <mergeCell ref="A52:G52"/>
    <mergeCell ref="K52:L52"/>
    <mergeCell ref="A65:L65"/>
    <mergeCell ref="A54:G54"/>
    <mergeCell ref="K54:L54"/>
    <mergeCell ref="A55:L55"/>
    <mergeCell ref="A59:G59"/>
    <mergeCell ref="K59:L59"/>
    <mergeCell ref="A60:G60"/>
    <mergeCell ref="K60:L60"/>
    <mergeCell ref="A61:G61"/>
    <mergeCell ref="K61:L61"/>
    <mergeCell ref="A62:G62"/>
    <mergeCell ref="K62:L62"/>
    <mergeCell ref="A63:L63"/>
    <mergeCell ref="A76:L76"/>
    <mergeCell ref="A69:G69"/>
    <mergeCell ref="K69:L69"/>
    <mergeCell ref="A70:G70"/>
    <mergeCell ref="K70:L70"/>
    <mergeCell ref="A71:G71"/>
    <mergeCell ref="K71:L71"/>
    <mergeCell ref="A72:G72"/>
    <mergeCell ref="K72:L72"/>
    <mergeCell ref="A73:G73"/>
    <mergeCell ref="K73:L73"/>
    <mergeCell ref="A74:L74"/>
  </mergeCells>
  <pageMargins left="0.7" right="0.7" top="0.75" bottom="0.75" header="0.3" footer="0.3"/>
  <pageSetup scale="56"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view="pageBreakPreview" topLeftCell="A43" zoomScale="80" zoomScaleNormal="100" zoomScaleSheetLayoutView="80" workbookViewId="0">
      <selection activeCell="M65" sqref="M65"/>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9">
      <c r="A17" s="25"/>
      <c r="B17" s="26"/>
      <c r="C17" s="224"/>
      <c r="D17" s="224"/>
      <c r="E17" s="224"/>
      <c r="F17" s="224"/>
      <c r="G17" s="224"/>
      <c r="H17" s="224"/>
      <c r="I17" s="224"/>
      <c r="J17" s="224"/>
      <c r="K17" s="224"/>
      <c r="L17" s="224"/>
      <c r="M17" s="13"/>
    </row>
    <row r="18" spans="1:19">
      <c r="A18" s="25" t="s">
        <v>74</v>
      </c>
      <c r="B18" s="26"/>
      <c r="C18" s="379"/>
      <c r="D18" s="379"/>
      <c r="E18" s="379"/>
      <c r="F18" s="379"/>
      <c r="G18" s="379"/>
      <c r="H18" s="379"/>
      <c r="I18" s="379"/>
      <c r="J18" s="379"/>
      <c r="K18" s="379"/>
      <c r="L18" s="379"/>
      <c r="M18" s="380"/>
    </row>
    <row r="19" spans="1:19">
      <c r="A19" s="25"/>
      <c r="B19" s="26"/>
      <c r="C19" s="224"/>
      <c r="D19" s="224"/>
      <c r="E19" s="224"/>
      <c r="F19" s="224"/>
      <c r="G19" s="224"/>
      <c r="H19" s="224"/>
      <c r="I19" s="224"/>
      <c r="J19" s="224"/>
      <c r="K19" s="224"/>
      <c r="L19" s="224"/>
      <c r="M19" s="13"/>
    </row>
    <row r="20" spans="1:19" ht="31.5" customHeight="1">
      <c r="A20" s="464" t="s">
        <v>113</v>
      </c>
      <c r="B20" s="465"/>
      <c r="C20" s="379"/>
      <c r="D20" s="379"/>
      <c r="E20" s="379"/>
      <c r="F20" s="379"/>
      <c r="G20" s="379"/>
      <c r="H20" s="379"/>
      <c r="I20" s="379"/>
      <c r="J20" s="379"/>
      <c r="K20" s="379"/>
      <c r="L20" s="379"/>
      <c r="M20" s="380"/>
    </row>
    <row r="21" spans="1:19">
      <c r="A21" s="400"/>
      <c r="B21" s="401"/>
      <c r="C21" s="224"/>
      <c r="D21" s="224"/>
      <c r="E21" s="224"/>
      <c r="F21" s="224"/>
      <c r="G21" s="224"/>
      <c r="H21" s="224"/>
      <c r="I21" s="224"/>
      <c r="J21" s="224"/>
      <c r="K21" s="224"/>
      <c r="L21" s="22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216" t="s">
        <v>78</v>
      </c>
      <c r="K25" s="408" t="s">
        <v>79</v>
      </c>
      <c r="L25" s="409"/>
      <c r="M25" s="31" t="s">
        <v>80</v>
      </c>
    </row>
    <row r="26" spans="1:19" ht="47.25" customHeight="1" thickBot="1">
      <c r="A26" s="227"/>
      <c r="B26" s="505" t="s">
        <v>365</v>
      </c>
      <c r="C26" s="528"/>
      <c r="D26" s="528"/>
      <c r="E26" s="528"/>
      <c r="F26" s="528"/>
      <c r="G26" s="528"/>
      <c r="H26" s="528"/>
      <c r="I26" s="529"/>
      <c r="J26" s="226">
        <v>1</v>
      </c>
      <c r="K26" s="508" t="s">
        <v>115</v>
      </c>
      <c r="L26" s="507"/>
      <c r="M26" s="228"/>
      <c r="N26" s="230"/>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221" t="s">
        <v>83</v>
      </c>
      <c r="K30" s="421" t="s">
        <v>84</v>
      </c>
      <c r="L30" s="424"/>
      <c r="M30" s="44" t="s">
        <v>85</v>
      </c>
    </row>
    <row r="31" spans="1:19" ht="15.75" thickBot="1">
      <c r="A31" s="425"/>
      <c r="B31" s="426"/>
      <c r="C31" s="426"/>
      <c r="D31" s="426"/>
      <c r="E31" s="427"/>
      <c r="F31" s="428"/>
      <c r="G31" s="429"/>
      <c r="H31" s="430"/>
      <c r="I31" s="427"/>
      <c r="J31" s="72"/>
      <c r="K31" s="428"/>
      <c r="L31" s="429"/>
      <c r="M31" s="231">
        <f>J31*K31</f>
        <v>0</v>
      </c>
      <c r="N31" s="489"/>
      <c r="O31" s="490"/>
      <c r="P31" s="95"/>
      <c r="Q31" s="96"/>
      <c r="R31" s="97"/>
      <c r="S31" s="98"/>
    </row>
    <row r="32" spans="1:19">
      <c r="A32" s="425"/>
      <c r="B32" s="426"/>
      <c r="C32" s="426"/>
      <c r="D32" s="426"/>
      <c r="E32" s="427"/>
      <c r="F32" s="428"/>
      <c r="G32" s="429"/>
      <c r="H32" s="430"/>
      <c r="I32" s="427"/>
      <c r="J32" s="72"/>
      <c r="K32" s="428"/>
      <c r="L32" s="429"/>
      <c r="M32" s="209">
        <f>J32*K32</f>
        <v>0</v>
      </c>
    </row>
    <row r="33" spans="1:16" ht="15.75" thickBot="1">
      <c r="A33" s="410"/>
      <c r="B33" s="411"/>
      <c r="C33" s="411"/>
      <c r="D33" s="411"/>
      <c r="E33" s="412"/>
      <c r="F33" s="414"/>
      <c r="G33" s="415"/>
      <c r="H33" s="413"/>
      <c r="I33" s="412"/>
      <c r="J33" s="91"/>
      <c r="K33" s="414"/>
      <c r="L33" s="415"/>
      <c r="M33" s="46"/>
    </row>
    <row r="34" spans="1:16" ht="15.75" thickBot="1">
      <c r="A34" s="416" t="s">
        <v>87</v>
      </c>
      <c r="B34" s="417"/>
      <c r="C34" s="417"/>
      <c r="D34" s="417"/>
      <c r="E34" s="417"/>
      <c r="F34" s="417"/>
      <c r="G34" s="417"/>
      <c r="H34" s="417"/>
      <c r="I34" s="417"/>
      <c r="J34" s="417"/>
      <c r="K34" s="417"/>
      <c r="L34" s="418"/>
      <c r="M34" s="232">
        <f>SUM(M31:M33)</f>
        <v>0</v>
      </c>
    </row>
    <row r="35" spans="1:16">
      <c r="A35" s="50"/>
      <c r="B35" s="19"/>
      <c r="C35" s="19"/>
      <c r="D35" s="19"/>
      <c r="E35" s="19"/>
      <c r="F35" s="19"/>
      <c r="G35" s="19"/>
      <c r="H35" s="19"/>
      <c r="I35" s="19"/>
      <c r="J35" s="19"/>
      <c r="K35" s="19"/>
      <c r="L35" s="19"/>
      <c r="M35" s="24"/>
    </row>
    <row r="36" spans="1:16">
      <c r="A36" s="51" t="s">
        <v>88</v>
      </c>
      <c r="B36" s="52"/>
      <c r="C36" s="52"/>
      <c r="D36" s="52"/>
      <c r="E36" s="52"/>
      <c r="F36" s="52"/>
      <c r="G36" s="52"/>
      <c r="H36" s="52"/>
      <c r="I36" s="52"/>
      <c r="J36" s="52"/>
      <c r="K36" s="52"/>
      <c r="L36" s="52"/>
      <c r="M36" s="53"/>
    </row>
    <row r="37" spans="1:16" ht="15.75" thickBot="1">
      <c r="A37" s="14"/>
      <c r="B37" s="15"/>
      <c r="C37" s="15"/>
      <c r="D37" s="15"/>
      <c r="E37" s="15"/>
      <c r="F37" s="15"/>
      <c r="G37" s="15"/>
      <c r="H37" s="15"/>
      <c r="I37" s="19"/>
      <c r="J37" s="19"/>
      <c r="K37" s="19"/>
      <c r="L37" s="19"/>
      <c r="M37" s="24"/>
    </row>
    <row r="38" spans="1:16" ht="15.75" thickBot="1">
      <c r="A38" s="408" t="s">
        <v>77</v>
      </c>
      <c r="B38" s="431"/>
      <c r="C38" s="431"/>
      <c r="D38" s="431"/>
      <c r="E38" s="431"/>
      <c r="F38" s="431"/>
      <c r="G38" s="431"/>
      <c r="H38" s="424"/>
      <c r="I38" s="217" t="s">
        <v>79</v>
      </c>
      <c r="J38" s="221" t="s">
        <v>80</v>
      </c>
      <c r="K38" s="421" t="s">
        <v>89</v>
      </c>
      <c r="L38" s="424"/>
      <c r="M38" s="44" t="s">
        <v>85</v>
      </c>
    </row>
    <row r="39" spans="1:16" ht="15" customHeight="1">
      <c r="A39" s="484" t="s">
        <v>288</v>
      </c>
      <c r="B39" s="485"/>
      <c r="C39" s="485"/>
      <c r="D39" s="485"/>
      <c r="E39" s="485"/>
      <c r="F39" s="485"/>
      <c r="G39" s="485"/>
      <c r="H39" s="486"/>
      <c r="I39" s="73" t="s">
        <v>11</v>
      </c>
      <c r="J39" s="92">
        <v>2</v>
      </c>
      <c r="K39" s="487">
        <v>190</v>
      </c>
      <c r="L39" s="488"/>
      <c r="M39" s="56">
        <f>K39*J39</f>
        <v>380</v>
      </c>
      <c r="N39" s="244"/>
      <c r="O39" s="94"/>
    </row>
    <row r="40" spans="1:16" ht="15" customHeight="1">
      <c r="A40" s="484" t="s">
        <v>289</v>
      </c>
      <c r="B40" s="485"/>
      <c r="C40" s="485"/>
      <c r="D40" s="485"/>
      <c r="E40" s="485"/>
      <c r="F40" s="485"/>
      <c r="G40" s="485"/>
      <c r="H40" s="486"/>
      <c r="I40" s="73" t="s">
        <v>8</v>
      </c>
      <c r="J40" s="93">
        <v>3.5</v>
      </c>
      <c r="K40" s="487">
        <v>2461</v>
      </c>
      <c r="L40" s="488"/>
      <c r="M40" s="56">
        <f t="shared" ref="M40:M47" si="0">K40*J40</f>
        <v>8613.5</v>
      </c>
      <c r="N40" s="245"/>
      <c r="P40" s="94"/>
    </row>
    <row r="41" spans="1:16" ht="15" customHeight="1">
      <c r="A41" s="484" t="s">
        <v>289</v>
      </c>
      <c r="B41" s="485"/>
      <c r="C41" s="485"/>
      <c r="D41" s="485"/>
      <c r="E41" s="485"/>
      <c r="F41" s="485"/>
      <c r="G41" s="485"/>
      <c r="H41" s="486"/>
      <c r="I41" s="73" t="s">
        <v>8</v>
      </c>
      <c r="J41" s="242">
        <v>3.5</v>
      </c>
      <c r="K41" s="487">
        <v>2461</v>
      </c>
      <c r="L41" s="488"/>
      <c r="M41" s="56">
        <f t="shared" si="0"/>
        <v>8613.5</v>
      </c>
      <c r="N41" s="245"/>
    </row>
    <row r="42" spans="1:16">
      <c r="A42" s="425" t="s">
        <v>290</v>
      </c>
      <c r="B42" s="426"/>
      <c r="C42" s="426"/>
      <c r="D42" s="426"/>
      <c r="E42" s="426"/>
      <c r="F42" s="426"/>
      <c r="G42" s="426"/>
      <c r="H42" s="427"/>
      <c r="I42" s="73" t="s">
        <v>8</v>
      </c>
      <c r="J42" s="212">
        <v>3.5</v>
      </c>
      <c r="K42" s="456">
        <v>2461</v>
      </c>
      <c r="L42" s="457"/>
      <c r="M42" s="56">
        <f t="shared" si="0"/>
        <v>8613.5</v>
      </c>
      <c r="N42" s="245"/>
    </row>
    <row r="43" spans="1:16">
      <c r="A43" s="425" t="s">
        <v>292</v>
      </c>
      <c r="B43" s="426"/>
      <c r="C43" s="426"/>
      <c r="D43" s="426"/>
      <c r="E43" s="426"/>
      <c r="F43" s="426"/>
      <c r="G43" s="426"/>
      <c r="H43" s="427"/>
      <c r="I43" s="73" t="s">
        <v>11</v>
      </c>
      <c r="J43" s="225">
        <v>1</v>
      </c>
      <c r="K43" s="456">
        <v>1898</v>
      </c>
      <c r="L43" s="457"/>
      <c r="M43" s="56">
        <f t="shared" si="0"/>
        <v>1898</v>
      </c>
      <c r="N43" s="245"/>
    </row>
    <row r="44" spans="1:16">
      <c r="A44" s="425" t="s">
        <v>364</v>
      </c>
      <c r="B44" s="426"/>
      <c r="C44" s="426"/>
      <c r="D44" s="426"/>
      <c r="E44" s="426"/>
      <c r="F44" s="426"/>
      <c r="G44" s="426"/>
      <c r="H44" s="427"/>
      <c r="I44" s="73" t="s">
        <v>11</v>
      </c>
      <c r="J44" s="225">
        <v>1</v>
      </c>
      <c r="K44" s="456">
        <v>125400</v>
      </c>
      <c r="L44" s="457"/>
      <c r="M44" s="56">
        <f t="shared" si="0"/>
        <v>125400</v>
      </c>
      <c r="N44" s="245"/>
    </row>
    <row r="45" spans="1:16">
      <c r="A45" s="425" t="s">
        <v>293</v>
      </c>
      <c r="B45" s="426"/>
      <c r="C45" s="426"/>
      <c r="D45" s="426"/>
      <c r="E45" s="426"/>
      <c r="F45" s="426"/>
      <c r="G45" s="426"/>
      <c r="H45" s="427"/>
      <c r="I45" s="73" t="s">
        <v>8</v>
      </c>
      <c r="J45" s="225">
        <v>6</v>
      </c>
      <c r="K45" s="487">
        <v>2527</v>
      </c>
      <c r="L45" s="488"/>
      <c r="M45" s="56">
        <f t="shared" si="0"/>
        <v>15162</v>
      </c>
      <c r="N45" s="245"/>
    </row>
    <row r="46" spans="1:16">
      <c r="A46" s="425" t="s">
        <v>294</v>
      </c>
      <c r="B46" s="426"/>
      <c r="C46" s="426"/>
      <c r="D46" s="426"/>
      <c r="E46" s="426"/>
      <c r="F46" s="426"/>
      <c r="G46" s="426"/>
      <c r="H46" s="427"/>
      <c r="I46" s="73" t="s">
        <v>11</v>
      </c>
      <c r="J46" s="225">
        <v>0.01</v>
      </c>
      <c r="K46" s="487">
        <v>68896</v>
      </c>
      <c r="L46" s="488"/>
      <c r="M46" s="56">
        <f t="shared" si="0"/>
        <v>688.96</v>
      </c>
      <c r="N46" s="245"/>
    </row>
    <row r="47" spans="1:16" ht="15.75" thickBot="1">
      <c r="A47" s="410" t="s">
        <v>295</v>
      </c>
      <c r="B47" s="411"/>
      <c r="C47" s="411"/>
      <c r="D47" s="411"/>
      <c r="E47" s="411"/>
      <c r="F47" s="411"/>
      <c r="G47" s="411"/>
      <c r="H47" s="412"/>
      <c r="I47" s="74" t="s">
        <v>11</v>
      </c>
      <c r="J47" s="211">
        <v>0.01</v>
      </c>
      <c r="K47" s="456">
        <v>32938</v>
      </c>
      <c r="L47" s="457"/>
      <c r="M47" s="56">
        <f t="shared" si="0"/>
        <v>329.38</v>
      </c>
      <c r="N47" s="245"/>
    </row>
    <row r="48" spans="1:16" ht="15.75" thickBot="1">
      <c r="A48" s="416" t="s">
        <v>87</v>
      </c>
      <c r="B48" s="417"/>
      <c r="C48" s="417"/>
      <c r="D48" s="417"/>
      <c r="E48" s="417"/>
      <c r="F48" s="417"/>
      <c r="G48" s="417"/>
      <c r="H48" s="417"/>
      <c r="I48" s="417"/>
      <c r="J48" s="417"/>
      <c r="K48" s="417"/>
      <c r="L48" s="418"/>
      <c r="M48" s="58">
        <f>SUM(M39:M47)</f>
        <v>169698.84</v>
      </c>
      <c r="N48" s="246"/>
    </row>
    <row r="49" spans="1:13">
      <c r="A49" s="30"/>
      <c r="B49" s="19"/>
      <c r="C49" s="19"/>
      <c r="D49" s="19"/>
      <c r="E49" s="19"/>
      <c r="F49" s="19"/>
      <c r="G49" s="19"/>
      <c r="H49" s="19"/>
      <c r="I49" s="19"/>
      <c r="J49" s="19"/>
      <c r="K49" s="19"/>
      <c r="L49" s="19"/>
      <c r="M49" s="24"/>
    </row>
    <row r="50" spans="1:13">
      <c r="A50" s="51" t="s">
        <v>90</v>
      </c>
      <c r="B50" s="52"/>
      <c r="C50" s="52"/>
      <c r="D50" s="52"/>
      <c r="E50" s="52"/>
      <c r="F50" s="52"/>
      <c r="G50" s="52"/>
      <c r="H50" s="52"/>
      <c r="I50" s="52"/>
      <c r="J50" s="52"/>
      <c r="K50" s="52"/>
      <c r="L50" s="52"/>
      <c r="M50" s="53"/>
    </row>
    <row r="51" spans="1:13" ht="15.75" thickBot="1">
      <c r="A51" s="30"/>
      <c r="B51" s="19"/>
      <c r="C51" s="19"/>
      <c r="D51" s="19"/>
      <c r="E51" s="19"/>
      <c r="F51" s="19"/>
      <c r="G51" s="19"/>
      <c r="H51" s="19"/>
      <c r="I51" s="19"/>
      <c r="J51" s="19"/>
      <c r="K51" s="19"/>
      <c r="L51" s="19"/>
      <c r="M51" s="24"/>
    </row>
    <row r="52" spans="1:13">
      <c r="A52" s="408" t="s">
        <v>91</v>
      </c>
      <c r="B52" s="431"/>
      <c r="C52" s="431"/>
      <c r="D52" s="431"/>
      <c r="E52" s="431"/>
      <c r="F52" s="431"/>
      <c r="G52" s="431"/>
      <c r="H52" s="221" t="s">
        <v>92</v>
      </c>
      <c r="I52" s="218" t="s">
        <v>93</v>
      </c>
      <c r="J52" s="60" t="s">
        <v>94</v>
      </c>
      <c r="K52" s="421" t="s">
        <v>95</v>
      </c>
      <c r="L52" s="424"/>
      <c r="M52" s="44" t="s">
        <v>85</v>
      </c>
    </row>
    <row r="53" spans="1:13">
      <c r="A53" s="425"/>
      <c r="B53" s="426"/>
      <c r="C53" s="426"/>
      <c r="D53" s="426"/>
      <c r="E53" s="426"/>
      <c r="F53" s="426"/>
      <c r="G53" s="426"/>
      <c r="H53" s="61"/>
      <c r="I53" s="55"/>
      <c r="J53" s="61"/>
      <c r="K53" s="428"/>
      <c r="L53" s="429"/>
    </row>
    <row r="54" spans="1:13" ht="15.75" thickBot="1">
      <c r="A54" s="410"/>
      <c r="B54" s="411"/>
      <c r="C54" s="411"/>
      <c r="D54" s="411"/>
      <c r="E54" s="411"/>
      <c r="F54" s="411"/>
      <c r="G54" s="411"/>
      <c r="H54" s="47"/>
      <c r="I54" s="15"/>
      <c r="J54" s="47"/>
      <c r="K54" s="414"/>
      <c r="L54" s="415"/>
      <c r="M54" s="62"/>
    </row>
    <row r="55" spans="1:13" ht="15.75" thickBot="1">
      <c r="A55" s="416" t="s">
        <v>87</v>
      </c>
      <c r="B55" s="417"/>
      <c r="C55" s="417"/>
      <c r="D55" s="417"/>
      <c r="E55" s="417"/>
      <c r="F55" s="417"/>
      <c r="G55" s="417"/>
      <c r="H55" s="417"/>
      <c r="I55" s="417"/>
      <c r="J55" s="417"/>
      <c r="K55" s="417"/>
      <c r="L55" s="418"/>
      <c r="M55" s="63">
        <f>SUM(M54:M54)</f>
        <v>0</v>
      </c>
    </row>
    <row r="56" spans="1:13">
      <c r="A56" s="30"/>
      <c r="B56" s="19"/>
      <c r="C56" s="19"/>
      <c r="D56" s="19"/>
      <c r="E56" s="19"/>
      <c r="F56" s="19"/>
      <c r="G56" s="19"/>
      <c r="H56" s="19"/>
      <c r="I56" s="19"/>
      <c r="J56" s="19"/>
      <c r="K56" s="19"/>
      <c r="L56" s="19"/>
      <c r="M56" s="24"/>
    </row>
    <row r="57" spans="1:13">
      <c r="A57" s="51" t="s">
        <v>96</v>
      </c>
      <c r="B57" s="52"/>
      <c r="C57" s="52"/>
      <c r="D57" s="52"/>
      <c r="E57" s="52"/>
      <c r="F57" s="52"/>
      <c r="G57" s="52"/>
      <c r="H57" s="52"/>
      <c r="I57" s="52"/>
      <c r="J57" s="52"/>
      <c r="K57" s="52"/>
      <c r="L57" s="52"/>
      <c r="M57" s="53"/>
    </row>
    <row r="58" spans="1:13" ht="15.75" thickBot="1">
      <c r="A58" s="30"/>
      <c r="B58" s="19"/>
      <c r="C58" s="19"/>
      <c r="D58" s="19"/>
      <c r="E58" s="19"/>
      <c r="F58" s="19"/>
      <c r="G58" s="19"/>
      <c r="H58" s="19"/>
      <c r="I58" s="19"/>
      <c r="J58" s="19"/>
      <c r="K58" s="19"/>
      <c r="L58" s="19"/>
      <c r="M58" s="24"/>
    </row>
    <row r="59" spans="1:13" ht="26.25">
      <c r="A59" s="453" t="s">
        <v>97</v>
      </c>
      <c r="B59" s="454"/>
      <c r="C59" s="454"/>
      <c r="D59" s="454"/>
      <c r="E59" s="454"/>
      <c r="F59" s="454"/>
      <c r="G59" s="454"/>
      <c r="H59" s="221" t="s">
        <v>98</v>
      </c>
      <c r="I59" s="222" t="s">
        <v>99</v>
      </c>
      <c r="J59" s="222" t="s">
        <v>100</v>
      </c>
      <c r="K59" s="455" t="s">
        <v>84</v>
      </c>
      <c r="L59" s="455"/>
      <c r="M59" s="65" t="s">
        <v>85</v>
      </c>
    </row>
    <row r="60" spans="1:13">
      <c r="A60" s="471" t="s">
        <v>243</v>
      </c>
      <c r="B60" s="472"/>
      <c r="C60" s="472"/>
      <c r="D60" s="472"/>
      <c r="E60" s="472"/>
      <c r="F60" s="472"/>
      <c r="G60" s="472"/>
      <c r="H60" s="1">
        <v>109738.14166566246</v>
      </c>
      <c r="I60" s="2">
        <v>2.2000000000000002</v>
      </c>
      <c r="J60" s="66">
        <f>(I60*H60)</f>
        <v>241423.91166445744</v>
      </c>
      <c r="K60" s="473">
        <v>12</v>
      </c>
      <c r="L60" s="473"/>
      <c r="M60" s="56">
        <f>J60/K60</f>
        <v>20118.659305371453</v>
      </c>
    </row>
    <row r="61" spans="1:13">
      <c r="A61" s="471"/>
      <c r="B61" s="472"/>
      <c r="C61" s="472"/>
      <c r="D61" s="472"/>
      <c r="E61" s="472"/>
      <c r="F61" s="472"/>
      <c r="G61" s="472"/>
      <c r="H61" s="1"/>
      <c r="I61" s="2"/>
      <c r="J61" s="66"/>
      <c r="K61" s="473"/>
      <c r="L61" s="473"/>
      <c r="M61" s="56"/>
    </row>
    <row r="62" spans="1:13" ht="15.75" thickBot="1">
      <c r="A62" s="432"/>
      <c r="B62" s="433"/>
      <c r="C62" s="433"/>
      <c r="D62" s="433"/>
      <c r="E62" s="433"/>
      <c r="F62" s="433"/>
      <c r="G62" s="433"/>
      <c r="H62" s="3"/>
      <c r="I62" s="4"/>
      <c r="J62" s="67"/>
      <c r="K62" s="434"/>
      <c r="L62" s="434"/>
      <c r="M62" s="68"/>
    </row>
    <row r="63" spans="1:13" ht="15.75" thickBot="1">
      <c r="A63" s="435" t="s">
        <v>87</v>
      </c>
      <c r="B63" s="436"/>
      <c r="C63" s="436"/>
      <c r="D63" s="436"/>
      <c r="E63" s="436"/>
      <c r="F63" s="436"/>
      <c r="G63" s="436"/>
      <c r="H63" s="436"/>
      <c r="I63" s="436"/>
      <c r="J63" s="436"/>
      <c r="K63" s="436"/>
      <c r="L63" s="437"/>
      <c r="M63" s="69">
        <f>SUM(M60:M62)</f>
        <v>20118.659305371453</v>
      </c>
    </row>
    <row r="64" spans="1:13" ht="15.75" thickBot="1">
      <c r="A64" s="30"/>
      <c r="B64" s="19"/>
      <c r="C64" s="19"/>
      <c r="D64" s="19"/>
      <c r="E64" s="19"/>
      <c r="F64" s="19"/>
      <c r="G64" s="19"/>
      <c r="H64" s="19"/>
      <c r="I64" s="19"/>
      <c r="J64" s="19"/>
      <c r="K64" s="19"/>
      <c r="L64" s="19"/>
      <c r="M64" s="24"/>
    </row>
    <row r="65" spans="1:14" ht="15.75" thickBot="1">
      <c r="A65" s="416" t="s">
        <v>101</v>
      </c>
      <c r="B65" s="417"/>
      <c r="C65" s="417"/>
      <c r="D65" s="417"/>
      <c r="E65" s="417"/>
      <c r="F65" s="417"/>
      <c r="G65" s="417"/>
      <c r="H65" s="417"/>
      <c r="I65" s="417"/>
      <c r="J65" s="417"/>
      <c r="K65" s="417"/>
      <c r="L65" s="418"/>
      <c r="M65" s="70">
        <f>ROUND(M63+M55+M48+M34,0)</f>
        <v>189817</v>
      </c>
      <c r="N65" s="155"/>
    </row>
    <row r="66" spans="1:14">
      <c r="A66" s="30"/>
      <c r="B66" s="19"/>
      <c r="C66" s="19"/>
      <c r="D66" s="19"/>
      <c r="E66" s="19"/>
      <c r="F66" s="19"/>
      <c r="G66" s="19"/>
      <c r="H66" s="19"/>
      <c r="I66" s="19"/>
      <c r="J66" s="19"/>
      <c r="K66" s="19"/>
      <c r="L66" s="19"/>
      <c r="M66" s="24"/>
    </row>
    <row r="67" spans="1:14">
      <c r="A67" s="51" t="s">
        <v>102</v>
      </c>
      <c r="B67" s="52"/>
      <c r="C67" s="52"/>
      <c r="D67" s="52"/>
      <c r="E67" s="52"/>
      <c r="F67" s="52"/>
      <c r="G67" s="52"/>
      <c r="H67" s="52"/>
      <c r="I67" s="52"/>
      <c r="J67" s="52"/>
      <c r="K67" s="52"/>
      <c r="L67" s="52"/>
      <c r="M67" s="53"/>
    </row>
    <row r="68" spans="1:14" ht="15.75" thickBot="1">
      <c r="A68" s="30"/>
      <c r="B68" s="19"/>
      <c r="C68" s="19"/>
      <c r="D68" s="19"/>
      <c r="E68" s="19"/>
      <c r="F68" s="19"/>
      <c r="G68" s="19"/>
      <c r="H68" s="19"/>
      <c r="I68" s="19"/>
      <c r="J68" s="19"/>
      <c r="K68" s="19"/>
      <c r="L68" s="19"/>
      <c r="M68" s="24"/>
    </row>
    <row r="69" spans="1:14" ht="15.75" thickBot="1">
      <c r="A69" s="438" t="s">
        <v>103</v>
      </c>
      <c r="B69" s="439"/>
      <c r="C69" s="439"/>
      <c r="D69" s="439"/>
      <c r="E69" s="439"/>
      <c r="F69" s="439"/>
      <c r="G69" s="439"/>
      <c r="H69" s="219"/>
      <c r="I69" s="220"/>
      <c r="J69" s="81" t="s">
        <v>104</v>
      </c>
      <c r="K69" s="440" t="s">
        <v>105</v>
      </c>
      <c r="L69" s="441"/>
      <c r="M69" s="82"/>
    </row>
    <row r="70" spans="1:14">
      <c r="A70" s="442" t="s">
        <v>106</v>
      </c>
      <c r="B70" s="443"/>
      <c r="C70" s="443"/>
      <c r="D70" s="443"/>
      <c r="E70" s="443"/>
      <c r="F70" s="443"/>
      <c r="G70" s="443"/>
      <c r="H70" s="83"/>
      <c r="I70" s="84"/>
      <c r="J70" s="85">
        <v>0.19</v>
      </c>
      <c r="K70" s="444">
        <f>M65*J70</f>
        <v>36065.230000000003</v>
      </c>
      <c r="L70" s="444"/>
      <c r="M70" s="86"/>
    </row>
    <row r="71" spans="1:14">
      <c r="A71" s="447" t="s">
        <v>107</v>
      </c>
      <c r="B71" s="448"/>
      <c r="C71" s="448"/>
      <c r="D71" s="448"/>
      <c r="E71" s="448"/>
      <c r="F71" s="448"/>
      <c r="G71" s="449"/>
      <c r="H71" s="77"/>
      <c r="I71" s="78"/>
      <c r="J71" s="5">
        <v>0.01</v>
      </c>
      <c r="K71" s="445">
        <f>M65*J71</f>
        <v>1898.17</v>
      </c>
      <c r="L71" s="445"/>
      <c r="M71" s="6"/>
    </row>
    <row r="72" spans="1:14">
      <c r="A72" s="447" t="s">
        <v>108</v>
      </c>
      <c r="B72" s="448"/>
      <c r="C72" s="448"/>
      <c r="D72" s="448"/>
      <c r="E72" s="448"/>
      <c r="F72" s="448"/>
      <c r="G72" s="449"/>
      <c r="H72" s="77"/>
      <c r="I72" s="78"/>
      <c r="J72" s="5">
        <v>0.05</v>
      </c>
      <c r="K72" s="445">
        <f>M65*J72</f>
        <v>9490.85</v>
      </c>
      <c r="L72" s="445"/>
      <c r="M72" s="6"/>
    </row>
    <row r="73" spans="1:14" ht="15.75" thickBot="1">
      <c r="A73" s="450" t="s">
        <v>117</v>
      </c>
      <c r="B73" s="451"/>
      <c r="C73" s="451"/>
      <c r="D73" s="451"/>
      <c r="E73" s="451"/>
      <c r="F73" s="451"/>
      <c r="G73" s="452"/>
      <c r="H73" s="87"/>
      <c r="I73" s="88"/>
      <c r="J73" s="89">
        <v>0.19</v>
      </c>
      <c r="K73" s="446">
        <f>K72*J73</f>
        <v>1803.2615000000001</v>
      </c>
      <c r="L73" s="446"/>
      <c r="M73" s="90"/>
    </row>
    <row r="74" spans="1:14" ht="15.75" thickBot="1">
      <c r="A74" s="435" t="s">
        <v>87</v>
      </c>
      <c r="B74" s="436"/>
      <c r="C74" s="436"/>
      <c r="D74" s="436"/>
      <c r="E74" s="436"/>
      <c r="F74" s="436"/>
      <c r="G74" s="436"/>
      <c r="H74" s="436"/>
      <c r="I74" s="436"/>
      <c r="J74" s="436"/>
      <c r="K74" s="436"/>
      <c r="L74" s="437"/>
      <c r="M74" s="76">
        <f>SUM(K70:L73)</f>
        <v>49257.511500000001</v>
      </c>
    </row>
    <row r="75" spans="1:14" ht="15.75" thickBot="1">
      <c r="A75" s="30"/>
      <c r="B75" s="19"/>
      <c r="C75" s="19"/>
      <c r="D75" s="19"/>
      <c r="E75" s="19"/>
      <c r="F75" s="19"/>
      <c r="G75" s="19"/>
      <c r="H75" s="19"/>
      <c r="I75" s="19"/>
      <c r="J75" s="19"/>
      <c r="K75" s="19"/>
      <c r="L75" s="19"/>
      <c r="M75" s="24"/>
    </row>
    <row r="76" spans="1:14" ht="15.75" thickBot="1">
      <c r="A76" s="416" t="s">
        <v>109</v>
      </c>
      <c r="B76" s="417"/>
      <c r="C76" s="417"/>
      <c r="D76" s="417"/>
      <c r="E76" s="417"/>
      <c r="F76" s="417"/>
      <c r="G76" s="417"/>
      <c r="H76" s="417"/>
      <c r="I76" s="417"/>
      <c r="J76" s="417"/>
      <c r="K76" s="417"/>
      <c r="L76" s="418"/>
      <c r="M76" s="71">
        <f>ROUND(M65+M74,0)</f>
        <v>239075</v>
      </c>
    </row>
  </sheetData>
  <mergeCells count="8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41:H41"/>
    <mergeCell ref="K41:L41"/>
    <mergeCell ref="A42:H42"/>
    <mergeCell ref="K42:L42"/>
    <mergeCell ref="A43:H43"/>
    <mergeCell ref="K43:L43"/>
    <mergeCell ref="A53:G53"/>
    <mergeCell ref="K53:L53"/>
    <mergeCell ref="A44:H44"/>
    <mergeCell ref="K44:L44"/>
    <mergeCell ref="A45:H45"/>
    <mergeCell ref="K45:L45"/>
    <mergeCell ref="A46:H46"/>
    <mergeCell ref="K46:L46"/>
    <mergeCell ref="A47:H47"/>
    <mergeCell ref="K47:L47"/>
    <mergeCell ref="A48:L48"/>
    <mergeCell ref="A52:G52"/>
    <mergeCell ref="K52:L52"/>
    <mergeCell ref="A65:L65"/>
    <mergeCell ref="A54:G54"/>
    <mergeCell ref="K54:L54"/>
    <mergeCell ref="A55:L55"/>
    <mergeCell ref="A59:G59"/>
    <mergeCell ref="K59:L59"/>
    <mergeCell ref="A60:G60"/>
    <mergeCell ref="K60:L60"/>
    <mergeCell ref="A61:G61"/>
    <mergeCell ref="K61:L61"/>
    <mergeCell ref="A62:G62"/>
    <mergeCell ref="K62:L62"/>
    <mergeCell ref="A63:L63"/>
    <mergeCell ref="A76:L76"/>
    <mergeCell ref="A69:G69"/>
    <mergeCell ref="K69:L69"/>
    <mergeCell ref="A70:G70"/>
    <mergeCell ref="K70:L70"/>
    <mergeCell ref="A71:G71"/>
    <mergeCell ref="K71:L71"/>
    <mergeCell ref="A72:G72"/>
    <mergeCell ref="K72:L72"/>
    <mergeCell ref="A73:G73"/>
    <mergeCell ref="K73:L73"/>
    <mergeCell ref="A74:L74"/>
  </mergeCells>
  <pageMargins left="0.7" right="0.7" top="0.75" bottom="0.75" header="0.3" footer="0.3"/>
  <pageSetup scale="56"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view="pageBreakPreview" topLeftCell="A54" zoomScale="80" zoomScaleNormal="100" zoomScaleSheetLayoutView="80" workbookViewId="0">
      <selection activeCell="M66" sqref="M66"/>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9">
      <c r="A17" s="25"/>
      <c r="B17" s="26"/>
      <c r="C17" s="224"/>
      <c r="D17" s="224"/>
      <c r="E17" s="224"/>
      <c r="F17" s="224"/>
      <c r="G17" s="224"/>
      <c r="H17" s="224"/>
      <c r="I17" s="224"/>
      <c r="J17" s="224"/>
      <c r="K17" s="224"/>
      <c r="L17" s="224"/>
      <c r="M17" s="13"/>
    </row>
    <row r="18" spans="1:19">
      <c r="A18" s="25" t="s">
        <v>74</v>
      </c>
      <c r="B18" s="26"/>
      <c r="C18" s="379"/>
      <c r="D18" s="379"/>
      <c r="E18" s="379"/>
      <c r="F18" s="379"/>
      <c r="G18" s="379"/>
      <c r="H18" s="379"/>
      <c r="I18" s="379"/>
      <c r="J18" s="379"/>
      <c r="K18" s="379"/>
      <c r="L18" s="379"/>
      <c r="M18" s="380"/>
    </row>
    <row r="19" spans="1:19">
      <c r="A19" s="25"/>
      <c r="B19" s="26"/>
      <c r="C19" s="224"/>
      <c r="D19" s="224"/>
      <c r="E19" s="224"/>
      <c r="F19" s="224"/>
      <c r="G19" s="224"/>
      <c r="H19" s="224"/>
      <c r="I19" s="224"/>
      <c r="J19" s="224"/>
      <c r="K19" s="224"/>
      <c r="L19" s="224"/>
      <c r="M19" s="13"/>
    </row>
    <row r="20" spans="1:19" ht="31.5" customHeight="1">
      <c r="A20" s="464" t="s">
        <v>113</v>
      </c>
      <c r="B20" s="465"/>
      <c r="C20" s="379"/>
      <c r="D20" s="379"/>
      <c r="E20" s="379"/>
      <c r="F20" s="379"/>
      <c r="G20" s="379"/>
      <c r="H20" s="379"/>
      <c r="I20" s="379"/>
      <c r="J20" s="379"/>
      <c r="K20" s="379"/>
      <c r="L20" s="379"/>
      <c r="M20" s="380"/>
    </row>
    <row r="21" spans="1:19">
      <c r="A21" s="400"/>
      <c r="B21" s="401"/>
      <c r="C21" s="224"/>
      <c r="D21" s="224"/>
      <c r="E21" s="224"/>
      <c r="F21" s="224"/>
      <c r="G21" s="224"/>
      <c r="H21" s="224"/>
      <c r="I21" s="224"/>
      <c r="J21" s="224"/>
      <c r="K21" s="224"/>
      <c r="L21" s="22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216" t="s">
        <v>78</v>
      </c>
      <c r="K25" s="408" t="s">
        <v>79</v>
      </c>
      <c r="L25" s="409"/>
      <c r="M25" s="31" t="s">
        <v>80</v>
      </c>
    </row>
    <row r="26" spans="1:19" ht="47.25" customHeight="1" thickBot="1">
      <c r="A26" s="227"/>
      <c r="B26" s="505" t="s">
        <v>296</v>
      </c>
      <c r="C26" s="528"/>
      <c r="D26" s="528"/>
      <c r="E26" s="528"/>
      <c r="F26" s="528"/>
      <c r="G26" s="528"/>
      <c r="H26" s="528"/>
      <c r="I26" s="529"/>
      <c r="J26" s="226">
        <v>1</v>
      </c>
      <c r="K26" s="508" t="s">
        <v>115</v>
      </c>
      <c r="L26" s="507"/>
      <c r="M26" s="228"/>
      <c r="N26" s="230"/>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221" t="s">
        <v>83</v>
      </c>
      <c r="K30" s="421" t="s">
        <v>84</v>
      </c>
      <c r="L30" s="424"/>
      <c r="M30" s="44" t="s">
        <v>85</v>
      </c>
    </row>
    <row r="31" spans="1:19" ht="15.75" thickBot="1">
      <c r="A31" s="425"/>
      <c r="B31" s="426"/>
      <c r="C31" s="426"/>
      <c r="D31" s="426"/>
      <c r="E31" s="427"/>
      <c r="F31" s="428"/>
      <c r="G31" s="429"/>
      <c r="H31" s="430"/>
      <c r="I31" s="427"/>
      <c r="J31" s="72"/>
      <c r="K31" s="428"/>
      <c r="L31" s="429"/>
      <c r="M31" s="231">
        <f>J31*K31</f>
        <v>0</v>
      </c>
      <c r="N31" s="489"/>
      <c r="O31" s="490"/>
      <c r="P31" s="95"/>
      <c r="Q31" s="96"/>
      <c r="R31" s="97"/>
      <c r="S31" s="98"/>
    </row>
    <row r="32" spans="1:19">
      <c r="A32" s="425"/>
      <c r="B32" s="426"/>
      <c r="C32" s="426"/>
      <c r="D32" s="426"/>
      <c r="E32" s="427"/>
      <c r="F32" s="428"/>
      <c r="G32" s="429"/>
      <c r="H32" s="430"/>
      <c r="I32" s="427"/>
      <c r="J32" s="72"/>
      <c r="K32" s="428"/>
      <c r="L32" s="429"/>
      <c r="M32" s="209">
        <f>J32*K32</f>
        <v>0</v>
      </c>
    </row>
    <row r="33" spans="1:16" ht="15.75" thickBot="1">
      <c r="A33" s="410"/>
      <c r="B33" s="411"/>
      <c r="C33" s="411"/>
      <c r="D33" s="411"/>
      <c r="E33" s="412"/>
      <c r="F33" s="414"/>
      <c r="G33" s="415"/>
      <c r="H33" s="413"/>
      <c r="I33" s="412"/>
      <c r="J33" s="91"/>
      <c r="K33" s="414"/>
      <c r="L33" s="415"/>
      <c r="M33" s="46"/>
    </row>
    <row r="34" spans="1:16" ht="15.75" thickBot="1">
      <c r="A34" s="416" t="s">
        <v>87</v>
      </c>
      <c r="B34" s="417"/>
      <c r="C34" s="417"/>
      <c r="D34" s="417"/>
      <c r="E34" s="417"/>
      <c r="F34" s="417"/>
      <c r="G34" s="417"/>
      <c r="H34" s="417"/>
      <c r="I34" s="417"/>
      <c r="J34" s="417"/>
      <c r="K34" s="417"/>
      <c r="L34" s="418"/>
      <c r="M34" s="232">
        <f>SUM(M31:M33)</f>
        <v>0</v>
      </c>
    </row>
    <row r="35" spans="1:16">
      <c r="A35" s="50"/>
      <c r="B35" s="19"/>
      <c r="C35" s="19"/>
      <c r="D35" s="19"/>
      <c r="E35" s="19"/>
      <c r="F35" s="19"/>
      <c r="G35" s="19"/>
      <c r="H35" s="19"/>
      <c r="I35" s="19"/>
      <c r="J35" s="19"/>
      <c r="K35" s="19"/>
      <c r="L35" s="19"/>
      <c r="M35" s="24"/>
    </row>
    <row r="36" spans="1:16">
      <c r="A36" s="51" t="s">
        <v>88</v>
      </c>
      <c r="B36" s="52"/>
      <c r="C36" s="52"/>
      <c r="D36" s="52"/>
      <c r="E36" s="52"/>
      <c r="F36" s="52"/>
      <c r="G36" s="52"/>
      <c r="H36" s="52"/>
      <c r="I36" s="52"/>
      <c r="J36" s="52"/>
      <c r="K36" s="52"/>
      <c r="L36" s="52"/>
      <c r="M36" s="53"/>
    </row>
    <row r="37" spans="1:16" ht="15.75" thickBot="1">
      <c r="A37" s="14"/>
      <c r="B37" s="15"/>
      <c r="C37" s="15"/>
      <c r="D37" s="15"/>
      <c r="E37" s="15"/>
      <c r="F37" s="15"/>
      <c r="G37" s="15"/>
      <c r="H37" s="15"/>
      <c r="I37" s="19"/>
      <c r="J37" s="19"/>
      <c r="K37" s="19"/>
      <c r="L37" s="19"/>
      <c r="M37" s="24"/>
    </row>
    <row r="38" spans="1:16" ht="15.75" thickBot="1">
      <c r="A38" s="408" t="s">
        <v>77</v>
      </c>
      <c r="B38" s="431"/>
      <c r="C38" s="431"/>
      <c r="D38" s="431"/>
      <c r="E38" s="431"/>
      <c r="F38" s="431"/>
      <c r="G38" s="431"/>
      <c r="H38" s="424"/>
      <c r="I38" s="217" t="s">
        <v>79</v>
      </c>
      <c r="J38" s="221" t="s">
        <v>80</v>
      </c>
      <c r="K38" s="421" t="s">
        <v>89</v>
      </c>
      <c r="L38" s="424"/>
      <c r="M38" s="44" t="s">
        <v>85</v>
      </c>
    </row>
    <row r="39" spans="1:16" ht="15" customHeight="1">
      <c r="A39" s="484" t="s">
        <v>286</v>
      </c>
      <c r="B39" s="485"/>
      <c r="C39" s="485"/>
      <c r="D39" s="485"/>
      <c r="E39" s="485"/>
      <c r="F39" s="485"/>
      <c r="G39" s="485"/>
      <c r="H39" s="486"/>
      <c r="I39" s="73" t="s">
        <v>11</v>
      </c>
      <c r="J39" s="92">
        <v>2.61</v>
      </c>
      <c r="K39" s="487">
        <v>216</v>
      </c>
      <c r="L39" s="488"/>
      <c r="M39" s="56">
        <f>K39*J39</f>
        <v>563.76</v>
      </c>
      <c r="N39" s="244"/>
      <c r="O39" s="94"/>
    </row>
    <row r="40" spans="1:16" ht="15" customHeight="1">
      <c r="A40" s="484" t="s">
        <v>297</v>
      </c>
      <c r="B40" s="485"/>
      <c r="C40" s="485"/>
      <c r="D40" s="485"/>
      <c r="E40" s="485"/>
      <c r="F40" s="485"/>
      <c r="G40" s="485"/>
      <c r="H40" s="486"/>
      <c r="I40" s="73" t="s">
        <v>8</v>
      </c>
      <c r="J40" s="93">
        <v>5.6</v>
      </c>
      <c r="K40" s="487">
        <v>2798</v>
      </c>
      <c r="L40" s="488"/>
      <c r="M40" s="56">
        <f t="shared" ref="M40:M47" si="0">K40*J40</f>
        <v>15668.8</v>
      </c>
      <c r="N40" s="245"/>
      <c r="P40" s="94"/>
    </row>
    <row r="41" spans="1:16" ht="15" customHeight="1">
      <c r="A41" s="484" t="s">
        <v>298</v>
      </c>
      <c r="B41" s="485"/>
      <c r="C41" s="485"/>
      <c r="D41" s="485"/>
      <c r="E41" s="485"/>
      <c r="F41" s="485"/>
      <c r="G41" s="485"/>
      <c r="H41" s="486"/>
      <c r="I41" s="73" t="s">
        <v>8</v>
      </c>
      <c r="J41" s="242">
        <v>2.79</v>
      </c>
      <c r="K41" s="487">
        <v>1959</v>
      </c>
      <c r="L41" s="488"/>
      <c r="M41" s="56">
        <f t="shared" si="0"/>
        <v>5465.61</v>
      </c>
      <c r="N41" s="245"/>
    </row>
    <row r="42" spans="1:16">
      <c r="A42" s="425" t="s">
        <v>291</v>
      </c>
      <c r="B42" s="426"/>
      <c r="C42" s="426"/>
      <c r="D42" s="426"/>
      <c r="E42" s="426"/>
      <c r="F42" s="426"/>
      <c r="G42" s="426"/>
      <c r="H42" s="427"/>
      <c r="I42" s="73" t="s">
        <v>11</v>
      </c>
      <c r="J42" s="212">
        <v>1</v>
      </c>
      <c r="K42" s="456">
        <v>3020</v>
      </c>
      <c r="L42" s="457"/>
      <c r="M42" s="56">
        <f t="shared" si="0"/>
        <v>3020</v>
      </c>
      <c r="N42" s="245"/>
    </row>
    <row r="43" spans="1:16">
      <c r="A43" s="425" t="s">
        <v>299</v>
      </c>
      <c r="B43" s="426"/>
      <c r="C43" s="426"/>
      <c r="D43" s="426"/>
      <c r="E43" s="426"/>
      <c r="F43" s="426"/>
      <c r="G43" s="426"/>
      <c r="H43" s="427"/>
      <c r="I43" s="73" t="s">
        <v>11</v>
      </c>
      <c r="J43" s="225">
        <v>1</v>
      </c>
      <c r="K43" s="456">
        <v>2157</v>
      </c>
      <c r="L43" s="457"/>
      <c r="M43" s="56">
        <f t="shared" si="0"/>
        <v>2157</v>
      </c>
      <c r="N43" s="245"/>
    </row>
    <row r="44" spans="1:16">
      <c r="A44" s="425" t="s">
        <v>300</v>
      </c>
      <c r="B44" s="426"/>
      <c r="C44" s="426"/>
      <c r="D44" s="426"/>
      <c r="E44" s="426"/>
      <c r="F44" s="426"/>
      <c r="G44" s="426"/>
      <c r="H44" s="427"/>
      <c r="I44" s="73" t="s">
        <v>11</v>
      </c>
      <c r="J44" s="225">
        <v>1</v>
      </c>
      <c r="K44" s="456">
        <v>12801</v>
      </c>
      <c r="L44" s="457"/>
      <c r="M44" s="56">
        <f t="shared" si="0"/>
        <v>12801</v>
      </c>
      <c r="N44" s="245"/>
    </row>
    <row r="45" spans="1:16">
      <c r="A45" s="425" t="s">
        <v>287</v>
      </c>
      <c r="B45" s="426"/>
      <c r="C45" s="426"/>
      <c r="D45" s="426"/>
      <c r="E45" s="426"/>
      <c r="F45" s="426"/>
      <c r="G45" s="426"/>
      <c r="H45" s="427"/>
      <c r="I45" s="73" t="s">
        <v>8</v>
      </c>
      <c r="J45" s="225">
        <v>3.38</v>
      </c>
      <c r="K45" s="487">
        <v>2527</v>
      </c>
      <c r="L45" s="488"/>
      <c r="M45" s="56">
        <f t="shared" si="0"/>
        <v>8541.26</v>
      </c>
      <c r="N45" s="245"/>
    </row>
    <row r="46" spans="1:16">
      <c r="A46" s="425" t="s">
        <v>239</v>
      </c>
      <c r="B46" s="426"/>
      <c r="C46" s="426"/>
      <c r="D46" s="426"/>
      <c r="E46" s="426"/>
      <c r="F46" s="426"/>
      <c r="G46" s="426"/>
      <c r="H46" s="427"/>
      <c r="I46" s="73" t="s">
        <v>11</v>
      </c>
      <c r="J46" s="225">
        <v>0.01</v>
      </c>
      <c r="K46" s="487">
        <v>68896</v>
      </c>
      <c r="L46" s="488"/>
      <c r="M46" s="56">
        <f t="shared" si="0"/>
        <v>688.96</v>
      </c>
      <c r="N46" s="245"/>
    </row>
    <row r="47" spans="1:16" ht="15.75" thickBot="1">
      <c r="A47" s="410" t="s">
        <v>240</v>
      </c>
      <c r="B47" s="411"/>
      <c r="C47" s="411"/>
      <c r="D47" s="411"/>
      <c r="E47" s="411"/>
      <c r="F47" s="411"/>
      <c r="G47" s="411"/>
      <c r="H47" s="412"/>
      <c r="I47" s="73" t="s">
        <v>11</v>
      </c>
      <c r="J47" s="211">
        <v>0.01</v>
      </c>
      <c r="K47" s="456">
        <v>32938</v>
      </c>
      <c r="L47" s="457"/>
      <c r="M47" s="56">
        <f t="shared" si="0"/>
        <v>329.38</v>
      </c>
      <c r="N47" s="245"/>
    </row>
    <row r="48" spans="1:16" ht="15.75" thickBot="1">
      <c r="A48" s="416" t="s">
        <v>87</v>
      </c>
      <c r="B48" s="417"/>
      <c r="C48" s="417"/>
      <c r="D48" s="417"/>
      <c r="E48" s="417"/>
      <c r="F48" s="417"/>
      <c r="G48" s="417"/>
      <c r="H48" s="417"/>
      <c r="I48" s="417"/>
      <c r="J48" s="417"/>
      <c r="K48" s="417"/>
      <c r="L48" s="418"/>
      <c r="M48" s="58">
        <f>SUM(M39:M47)</f>
        <v>49235.77</v>
      </c>
      <c r="N48" s="246"/>
    </row>
    <row r="49" spans="1:13">
      <c r="A49" s="30"/>
      <c r="B49" s="19"/>
      <c r="C49" s="19"/>
      <c r="D49" s="19"/>
      <c r="E49" s="19"/>
      <c r="F49" s="19"/>
      <c r="G49" s="19"/>
      <c r="H49" s="19"/>
      <c r="I49" s="19"/>
      <c r="J49" s="19"/>
      <c r="K49" s="19"/>
      <c r="L49" s="19"/>
      <c r="M49" s="24"/>
    </row>
    <row r="50" spans="1:13">
      <c r="A50" s="51" t="s">
        <v>90</v>
      </c>
      <c r="B50" s="52"/>
      <c r="C50" s="52"/>
      <c r="D50" s="52"/>
      <c r="E50" s="52"/>
      <c r="F50" s="52"/>
      <c r="G50" s="52"/>
      <c r="H50" s="52"/>
      <c r="I50" s="52"/>
      <c r="J50" s="52"/>
      <c r="K50" s="52"/>
      <c r="L50" s="52"/>
      <c r="M50" s="53"/>
    </row>
    <row r="51" spans="1:13" ht="15.75" thickBot="1">
      <c r="A51" s="30"/>
      <c r="B51" s="19"/>
      <c r="C51" s="19"/>
      <c r="D51" s="19"/>
      <c r="E51" s="19"/>
      <c r="F51" s="19"/>
      <c r="G51" s="19"/>
      <c r="H51" s="19"/>
      <c r="I51" s="19"/>
      <c r="J51" s="19"/>
      <c r="K51" s="19"/>
      <c r="L51" s="19"/>
      <c r="M51" s="24"/>
    </row>
    <row r="52" spans="1:13">
      <c r="A52" s="408" t="s">
        <v>91</v>
      </c>
      <c r="B52" s="431"/>
      <c r="C52" s="431"/>
      <c r="D52" s="431"/>
      <c r="E52" s="431"/>
      <c r="F52" s="431"/>
      <c r="G52" s="431"/>
      <c r="H52" s="221" t="s">
        <v>92</v>
      </c>
      <c r="I52" s="218" t="s">
        <v>93</v>
      </c>
      <c r="J52" s="60" t="s">
        <v>94</v>
      </c>
      <c r="K52" s="421" t="s">
        <v>95</v>
      </c>
      <c r="L52" s="424"/>
      <c r="M52" s="44" t="s">
        <v>85</v>
      </c>
    </row>
    <row r="53" spans="1:13">
      <c r="A53" s="425"/>
      <c r="B53" s="426"/>
      <c r="C53" s="426"/>
      <c r="D53" s="426"/>
      <c r="E53" s="426"/>
      <c r="F53" s="426"/>
      <c r="G53" s="426"/>
      <c r="H53" s="61"/>
      <c r="I53" s="55"/>
      <c r="J53" s="61"/>
      <c r="K53" s="428"/>
      <c r="L53" s="429"/>
    </row>
    <row r="54" spans="1:13" ht="15.75" thickBot="1">
      <c r="A54" s="410"/>
      <c r="B54" s="411"/>
      <c r="C54" s="411"/>
      <c r="D54" s="411"/>
      <c r="E54" s="411"/>
      <c r="F54" s="411"/>
      <c r="G54" s="411"/>
      <c r="H54" s="47"/>
      <c r="I54" s="15"/>
      <c r="J54" s="47"/>
      <c r="K54" s="414"/>
      <c r="L54" s="415"/>
      <c r="M54" s="62"/>
    </row>
    <row r="55" spans="1:13" ht="15.75" thickBot="1">
      <c r="A55" s="416" t="s">
        <v>87</v>
      </c>
      <c r="B55" s="417"/>
      <c r="C55" s="417"/>
      <c r="D55" s="417"/>
      <c r="E55" s="417"/>
      <c r="F55" s="417"/>
      <c r="G55" s="417"/>
      <c r="H55" s="417"/>
      <c r="I55" s="417"/>
      <c r="J55" s="417"/>
      <c r="K55" s="417"/>
      <c r="L55" s="418"/>
      <c r="M55" s="63">
        <f>SUM(M54:M54)</f>
        <v>0</v>
      </c>
    </row>
    <row r="56" spans="1:13">
      <c r="A56" s="30"/>
      <c r="B56" s="19"/>
      <c r="C56" s="19"/>
      <c r="D56" s="19"/>
      <c r="E56" s="19"/>
      <c r="F56" s="19"/>
      <c r="G56" s="19"/>
      <c r="H56" s="19"/>
      <c r="I56" s="19"/>
      <c r="J56" s="19"/>
      <c r="K56" s="19"/>
      <c r="L56" s="19"/>
      <c r="M56" s="24"/>
    </row>
    <row r="57" spans="1:13">
      <c r="A57" s="51" t="s">
        <v>96</v>
      </c>
      <c r="B57" s="52"/>
      <c r="C57" s="52"/>
      <c r="D57" s="52"/>
      <c r="E57" s="52"/>
      <c r="F57" s="52"/>
      <c r="G57" s="52"/>
      <c r="H57" s="52"/>
      <c r="I57" s="52"/>
      <c r="J57" s="52"/>
      <c r="K57" s="52"/>
      <c r="L57" s="52"/>
      <c r="M57" s="53"/>
    </row>
    <row r="58" spans="1:13" ht="15.75" thickBot="1">
      <c r="A58" s="30"/>
      <c r="B58" s="19"/>
      <c r="C58" s="19"/>
      <c r="D58" s="19"/>
      <c r="E58" s="19"/>
      <c r="F58" s="19"/>
      <c r="G58" s="19"/>
      <c r="H58" s="19"/>
      <c r="I58" s="19"/>
      <c r="J58" s="19"/>
      <c r="K58" s="19"/>
      <c r="L58" s="19"/>
      <c r="M58" s="24"/>
    </row>
    <row r="59" spans="1:13" ht="26.25">
      <c r="A59" s="453" t="s">
        <v>97</v>
      </c>
      <c r="B59" s="454"/>
      <c r="C59" s="454"/>
      <c r="D59" s="454"/>
      <c r="E59" s="454"/>
      <c r="F59" s="454"/>
      <c r="G59" s="454"/>
      <c r="H59" s="221" t="s">
        <v>98</v>
      </c>
      <c r="I59" s="222" t="s">
        <v>99</v>
      </c>
      <c r="J59" s="222" t="s">
        <v>100</v>
      </c>
      <c r="K59" s="455" t="s">
        <v>84</v>
      </c>
      <c r="L59" s="455"/>
      <c r="M59" s="65" t="s">
        <v>85</v>
      </c>
    </row>
    <row r="60" spans="1:13">
      <c r="A60" s="471" t="s">
        <v>243</v>
      </c>
      <c r="B60" s="472"/>
      <c r="C60" s="472"/>
      <c r="D60" s="472"/>
      <c r="E60" s="472"/>
      <c r="F60" s="472"/>
      <c r="G60" s="472"/>
      <c r="H60" s="1">
        <v>109738.14166566246</v>
      </c>
      <c r="I60" s="2">
        <v>2.2000000000000002</v>
      </c>
      <c r="J60" s="66">
        <f>(I60*H60)</f>
        <v>241423.91166445744</v>
      </c>
      <c r="K60" s="473">
        <v>15.938485892894919</v>
      </c>
      <c r="L60" s="473"/>
      <c r="M60" s="56">
        <f>J60/K60</f>
        <v>15147.229999562238</v>
      </c>
    </row>
    <row r="61" spans="1:13">
      <c r="A61" s="471"/>
      <c r="B61" s="472"/>
      <c r="C61" s="472"/>
      <c r="D61" s="472"/>
      <c r="E61" s="472"/>
      <c r="F61" s="472"/>
      <c r="G61" s="472"/>
      <c r="H61" s="1"/>
      <c r="I61" s="2"/>
      <c r="J61" s="66"/>
      <c r="K61" s="473"/>
      <c r="L61" s="473"/>
      <c r="M61" s="56"/>
    </row>
    <row r="62" spans="1:13" ht="15.75" thickBot="1">
      <c r="A62" s="432"/>
      <c r="B62" s="433"/>
      <c r="C62" s="433"/>
      <c r="D62" s="433"/>
      <c r="E62" s="433"/>
      <c r="F62" s="433"/>
      <c r="G62" s="433"/>
      <c r="H62" s="3"/>
      <c r="I62" s="4"/>
      <c r="J62" s="67"/>
      <c r="K62" s="434"/>
      <c r="L62" s="434"/>
      <c r="M62" s="68"/>
    </row>
    <row r="63" spans="1:13" ht="15.75" thickBot="1">
      <c r="A63" s="435" t="s">
        <v>87</v>
      </c>
      <c r="B63" s="436"/>
      <c r="C63" s="436"/>
      <c r="D63" s="436"/>
      <c r="E63" s="436"/>
      <c r="F63" s="436"/>
      <c r="G63" s="436"/>
      <c r="H63" s="436"/>
      <c r="I63" s="436"/>
      <c r="J63" s="436"/>
      <c r="K63" s="436"/>
      <c r="L63" s="437"/>
      <c r="M63" s="69">
        <f>SUM(M60:M62)</f>
        <v>15147.229999562238</v>
      </c>
    </row>
    <row r="64" spans="1:13" ht="15.75" thickBot="1">
      <c r="A64" s="30"/>
      <c r="B64" s="19"/>
      <c r="C64" s="19"/>
      <c r="D64" s="19"/>
      <c r="E64" s="19"/>
      <c r="F64" s="19"/>
      <c r="G64" s="19"/>
      <c r="H64" s="19"/>
      <c r="I64" s="19"/>
      <c r="J64" s="19"/>
      <c r="K64" s="19"/>
      <c r="L64" s="19"/>
      <c r="M64" s="24"/>
    </row>
    <row r="65" spans="1:14" ht="15.75" thickBot="1">
      <c r="A65" s="416" t="s">
        <v>101</v>
      </c>
      <c r="B65" s="417"/>
      <c r="C65" s="417"/>
      <c r="D65" s="417"/>
      <c r="E65" s="417"/>
      <c r="F65" s="417"/>
      <c r="G65" s="417"/>
      <c r="H65" s="417"/>
      <c r="I65" s="417"/>
      <c r="J65" s="417"/>
      <c r="K65" s="417"/>
      <c r="L65" s="418"/>
      <c r="M65" s="70">
        <f>ROUND(M63+M55+M48+M34,0)</f>
        <v>64383</v>
      </c>
      <c r="N65" s="155"/>
    </row>
    <row r="66" spans="1:14">
      <c r="A66" s="30"/>
      <c r="B66" s="19"/>
      <c r="C66" s="19"/>
      <c r="D66" s="19"/>
      <c r="E66" s="19"/>
      <c r="F66" s="19"/>
      <c r="G66" s="19"/>
      <c r="H66" s="19"/>
      <c r="I66" s="19"/>
      <c r="J66" s="19"/>
      <c r="K66" s="19"/>
      <c r="L66" s="19"/>
      <c r="M66" s="24"/>
    </row>
    <row r="67" spans="1:14">
      <c r="A67" s="51" t="s">
        <v>102</v>
      </c>
      <c r="B67" s="52"/>
      <c r="C67" s="52"/>
      <c r="D67" s="52"/>
      <c r="E67" s="52"/>
      <c r="F67" s="52"/>
      <c r="G67" s="52"/>
      <c r="H67" s="52"/>
      <c r="I67" s="52"/>
      <c r="J67" s="52"/>
      <c r="K67" s="52"/>
      <c r="L67" s="52"/>
      <c r="M67" s="53"/>
    </row>
    <row r="68" spans="1:14" ht="15.75" thickBot="1">
      <c r="A68" s="30"/>
      <c r="B68" s="19"/>
      <c r="C68" s="19"/>
      <c r="D68" s="19"/>
      <c r="E68" s="19"/>
      <c r="F68" s="19"/>
      <c r="G68" s="19"/>
      <c r="H68" s="19"/>
      <c r="I68" s="19"/>
      <c r="J68" s="19"/>
      <c r="K68" s="19"/>
      <c r="L68" s="19"/>
      <c r="M68" s="24"/>
    </row>
    <row r="69" spans="1:14" ht="15.75" thickBot="1">
      <c r="A69" s="438" t="s">
        <v>103</v>
      </c>
      <c r="B69" s="439"/>
      <c r="C69" s="439"/>
      <c r="D69" s="439"/>
      <c r="E69" s="439"/>
      <c r="F69" s="439"/>
      <c r="G69" s="439"/>
      <c r="H69" s="219"/>
      <c r="I69" s="220"/>
      <c r="J69" s="81" t="s">
        <v>104</v>
      </c>
      <c r="K69" s="440" t="s">
        <v>105</v>
      </c>
      <c r="L69" s="441"/>
      <c r="M69" s="82"/>
    </row>
    <row r="70" spans="1:14">
      <c r="A70" s="442" t="s">
        <v>106</v>
      </c>
      <c r="B70" s="443"/>
      <c r="C70" s="443"/>
      <c r="D70" s="443"/>
      <c r="E70" s="443"/>
      <c r="F70" s="443"/>
      <c r="G70" s="443"/>
      <c r="H70" s="83"/>
      <c r="I70" s="84"/>
      <c r="J70" s="85">
        <v>0.19</v>
      </c>
      <c r="K70" s="444">
        <f>M65*J70</f>
        <v>12232.77</v>
      </c>
      <c r="L70" s="444"/>
      <c r="M70" s="86"/>
    </row>
    <row r="71" spans="1:14">
      <c r="A71" s="447" t="s">
        <v>107</v>
      </c>
      <c r="B71" s="448"/>
      <c r="C71" s="448"/>
      <c r="D71" s="448"/>
      <c r="E71" s="448"/>
      <c r="F71" s="448"/>
      <c r="G71" s="449"/>
      <c r="H71" s="77"/>
      <c r="I71" s="78"/>
      <c r="J71" s="5">
        <v>0.01</v>
      </c>
      <c r="K71" s="445">
        <f>M65*J71</f>
        <v>643.83000000000004</v>
      </c>
      <c r="L71" s="445"/>
      <c r="M71" s="6"/>
    </row>
    <row r="72" spans="1:14">
      <c r="A72" s="447" t="s">
        <v>108</v>
      </c>
      <c r="B72" s="448"/>
      <c r="C72" s="448"/>
      <c r="D72" s="448"/>
      <c r="E72" s="448"/>
      <c r="F72" s="448"/>
      <c r="G72" s="449"/>
      <c r="H72" s="77"/>
      <c r="I72" s="78"/>
      <c r="J72" s="5">
        <v>0.05</v>
      </c>
      <c r="K72" s="445">
        <f>M65*J72</f>
        <v>3219.15</v>
      </c>
      <c r="L72" s="445"/>
      <c r="M72" s="6"/>
    </row>
    <row r="73" spans="1:14" ht="15.75" thickBot="1">
      <c r="A73" s="450" t="s">
        <v>117</v>
      </c>
      <c r="B73" s="451"/>
      <c r="C73" s="451"/>
      <c r="D73" s="451"/>
      <c r="E73" s="451"/>
      <c r="F73" s="451"/>
      <c r="G73" s="452"/>
      <c r="H73" s="87"/>
      <c r="I73" s="88"/>
      <c r="J73" s="89">
        <v>0.19</v>
      </c>
      <c r="K73" s="446">
        <f>K72*J73</f>
        <v>611.63850000000002</v>
      </c>
      <c r="L73" s="446"/>
      <c r="M73" s="90"/>
    </row>
    <row r="74" spans="1:14" ht="15.75" thickBot="1">
      <c r="A74" s="435" t="s">
        <v>87</v>
      </c>
      <c r="B74" s="436"/>
      <c r="C74" s="436"/>
      <c r="D74" s="436"/>
      <c r="E74" s="436"/>
      <c r="F74" s="436"/>
      <c r="G74" s="436"/>
      <c r="H74" s="436"/>
      <c r="I74" s="436"/>
      <c r="J74" s="436"/>
      <c r="K74" s="436"/>
      <c r="L74" s="437"/>
      <c r="M74" s="76">
        <f>SUM(K70:L73)</f>
        <v>16707.388500000001</v>
      </c>
    </row>
    <row r="75" spans="1:14" ht="15.75" thickBot="1">
      <c r="A75" s="30"/>
      <c r="B75" s="19"/>
      <c r="C75" s="19"/>
      <c r="D75" s="19"/>
      <c r="E75" s="19"/>
      <c r="F75" s="19"/>
      <c r="G75" s="19"/>
      <c r="H75" s="19"/>
      <c r="I75" s="19"/>
      <c r="J75" s="19"/>
      <c r="K75" s="19"/>
      <c r="L75" s="19"/>
      <c r="M75" s="24"/>
    </row>
    <row r="76" spans="1:14" ht="15.75" thickBot="1">
      <c r="A76" s="416" t="s">
        <v>109</v>
      </c>
      <c r="B76" s="417"/>
      <c r="C76" s="417"/>
      <c r="D76" s="417"/>
      <c r="E76" s="417"/>
      <c r="F76" s="417"/>
      <c r="G76" s="417"/>
      <c r="H76" s="417"/>
      <c r="I76" s="417"/>
      <c r="J76" s="417"/>
      <c r="K76" s="417"/>
      <c r="L76" s="418"/>
      <c r="M76" s="71">
        <f>ROUND(M65+M74,0)</f>
        <v>81090</v>
      </c>
    </row>
  </sheetData>
  <mergeCells count="8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41:H41"/>
    <mergeCell ref="K41:L41"/>
    <mergeCell ref="A42:H42"/>
    <mergeCell ref="K42:L42"/>
    <mergeCell ref="A43:H43"/>
    <mergeCell ref="K43:L43"/>
    <mergeCell ref="A53:G53"/>
    <mergeCell ref="K53:L53"/>
    <mergeCell ref="A44:H44"/>
    <mergeCell ref="K44:L44"/>
    <mergeCell ref="A45:H45"/>
    <mergeCell ref="K45:L45"/>
    <mergeCell ref="A46:H46"/>
    <mergeCell ref="K46:L46"/>
    <mergeCell ref="A47:H47"/>
    <mergeCell ref="K47:L47"/>
    <mergeCell ref="A48:L48"/>
    <mergeCell ref="A52:G52"/>
    <mergeCell ref="K52:L52"/>
    <mergeCell ref="A65:L65"/>
    <mergeCell ref="A54:G54"/>
    <mergeCell ref="K54:L54"/>
    <mergeCell ref="A55:L55"/>
    <mergeCell ref="A59:G59"/>
    <mergeCell ref="K59:L59"/>
    <mergeCell ref="A60:G60"/>
    <mergeCell ref="K60:L60"/>
    <mergeCell ref="A61:G61"/>
    <mergeCell ref="K61:L61"/>
    <mergeCell ref="A62:G62"/>
    <mergeCell ref="K62:L62"/>
    <mergeCell ref="A63:L63"/>
    <mergeCell ref="A76:L76"/>
    <mergeCell ref="A69:G69"/>
    <mergeCell ref="K69:L69"/>
    <mergeCell ref="A70:G70"/>
    <mergeCell ref="K70:L70"/>
    <mergeCell ref="A71:G71"/>
    <mergeCell ref="K71:L71"/>
    <mergeCell ref="A72:G72"/>
    <mergeCell ref="K72:L72"/>
    <mergeCell ref="A73:G73"/>
    <mergeCell ref="K73:L73"/>
    <mergeCell ref="A74:L74"/>
  </mergeCells>
  <pageMargins left="0.7" right="0.7" top="0.75" bottom="0.75" header="0.3" footer="0.3"/>
  <pageSetup scale="56"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view="pageBreakPreview" topLeftCell="A40" zoomScale="80" zoomScaleNormal="100" zoomScaleSheetLayoutView="80" workbookViewId="0">
      <selection activeCell="M66" sqref="M66"/>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9">
      <c r="A17" s="25"/>
      <c r="B17" s="26"/>
      <c r="C17" s="224"/>
      <c r="D17" s="224"/>
      <c r="E17" s="224"/>
      <c r="F17" s="224"/>
      <c r="G17" s="224"/>
      <c r="H17" s="224"/>
      <c r="I17" s="224"/>
      <c r="J17" s="224"/>
      <c r="K17" s="224"/>
      <c r="L17" s="224"/>
      <c r="M17" s="13"/>
    </row>
    <row r="18" spans="1:19">
      <c r="A18" s="25" t="s">
        <v>74</v>
      </c>
      <c r="B18" s="26"/>
      <c r="C18" s="379"/>
      <c r="D18" s="379"/>
      <c r="E18" s="379"/>
      <c r="F18" s="379"/>
      <c r="G18" s="379"/>
      <c r="H18" s="379"/>
      <c r="I18" s="379"/>
      <c r="J18" s="379"/>
      <c r="K18" s="379"/>
      <c r="L18" s="379"/>
      <c r="M18" s="380"/>
    </row>
    <row r="19" spans="1:19">
      <c r="A19" s="25"/>
      <c r="B19" s="26"/>
      <c r="C19" s="224"/>
      <c r="D19" s="224"/>
      <c r="E19" s="224"/>
      <c r="F19" s="224"/>
      <c r="G19" s="224"/>
      <c r="H19" s="224"/>
      <c r="I19" s="224"/>
      <c r="J19" s="224"/>
      <c r="K19" s="224"/>
      <c r="L19" s="224"/>
      <c r="M19" s="13"/>
    </row>
    <row r="20" spans="1:19" ht="31.5" customHeight="1">
      <c r="A20" s="464" t="s">
        <v>113</v>
      </c>
      <c r="B20" s="465"/>
      <c r="C20" s="379"/>
      <c r="D20" s="379"/>
      <c r="E20" s="379"/>
      <c r="F20" s="379"/>
      <c r="G20" s="379"/>
      <c r="H20" s="379"/>
      <c r="I20" s="379"/>
      <c r="J20" s="379"/>
      <c r="K20" s="379"/>
      <c r="L20" s="379"/>
      <c r="M20" s="380"/>
    </row>
    <row r="21" spans="1:19">
      <c r="A21" s="400"/>
      <c r="B21" s="401"/>
      <c r="C21" s="224"/>
      <c r="D21" s="224"/>
      <c r="E21" s="224"/>
      <c r="F21" s="224"/>
      <c r="G21" s="224"/>
      <c r="H21" s="224"/>
      <c r="I21" s="224"/>
      <c r="J21" s="224"/>
      <c r="K21" s="224"/>
      <c r="L21" s="22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216" t="s">
        <v>78</v>
      </c>
      <c r="K25" s="408" t="s">
        <v>79</v>
      </c>
      <c r="L25" s="409"/>
      <c r="M25" s="31" t="s">
        <v>80</v>
      </c>
    </row>
    <row r="26" spans="1:19" ht="47.25" customHeight="1" thickBot="1">
      <c r="A26" s="227"/>
      <c r="B26" s="505" t="s">
        <v>301</v>
      </c>
      <c r="C26" s="528"/>
      <c r="D26" s="528"/>
      <c r="E26" s="528"/>
      <c r="F26" s="528"/>
      <c r="G26" s="528"/>
      <c r="H26" s="528"/>
      <c r="I26" s="529"/>
      <c r="J26" s="226">
        <v>1</v>
      </c>
      <c r="K26" s="508" t="s">
        <v>115</v>
      </c>
      <c r="L26" s="507"/>
      <c r="M26" s="228"/>
      <c r="N26" s="230"/>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221" t="s">
        <v>83</v>
      </c>
      <c r="K30" s="421" t="s">
        <v>84</v>
      </c>
      <c r="L30" s="424"/>
      <c r="M30" s="44" t="s">
        <v>85</v>
      </c>
    </row>
    <row r="31" spans="1:19" ht="15.75" thickBot="1">
      <c r="A31" s="425"/>
      <c r="B31" s="426"/>
      <c r="C31" s="426"/>
      <c r="D31" s="426"/>
      <c r="E31" s="427"/>
      <c r="F31" s="428"/>
      <c r="G31" s="429"/>
      <c r="H31" s="430"/>
      <c r="I31" s="427"/>
      <c r="J31" s="72"/>
      <c r="K31" s="428"/>
      <c r="L31" s="429"/>
      <c r="M31" s="231">
        <f>J31*K31</f>
        <v>0</v>
      </c>
      <c r="N31" s="489"/>
      <c r="O31" s="490"/>
      <c r="P31" s="95"/>
      <c r="Q31" s="96"/>
      <c r="R31" s="97"/>
      <c r="S31" s="98"/>
    </row>
    <row r="32" spans="1:19">
      <c r="A32" s="425"/>
      <c r="B32" s="426"/>
      <c r="C32" s="426"/>
      <c r="D32" s="426"/>
      <c r="E32" s="427"/>
      <c r="F32" s="428"/>
      <c r="G32" s="429"/>
      <c r="H32" s="430"/>
      <c r="I32" s="427"/>
      <c r="J32" s="72"/>
      <c r="K32" s="428"/>
      <c r="L32" s="429"/>
      <c r="M32" s="209">
        <f>J32*K32</f>
        <v>0</v>
      </c>
    </row>
    <row r="33" spans="1:26" ht="15.75" thickBot="1">
      <c r="A33" s="410"/>
      <c r="B33" s="411"/>
      <c r="C33" s="411"/>
      <c r="D33" s="411"/>
      <c r="E33" s="412"/>
      <c r="F33" s="414"/>
      <c r="G33" s="415"/>
      <c r="H33" s="413"/>
      <c r="I33" s="412"/>
      <c r="J33" s="91"/>
      <c r="K33" s="414"/>
      <c r="L33" s="415"/>
      <c r="M33" s="46"/>
    </row>
    <row r="34" spans="1:26" ht="15.75" thickBot="1">
      <c r="A34" s="416" t="s">
        <v>87</v>
      </c>
      <c r="B34" s="417"/>
      <c r="C34" s="417"/>
      <c r="D34" s="417"/>
      <c r="E34" s="417"/>
      <c r="F34" s="417"/>
      <c r="G34" s="417"/>
      <c r="H34" s="417"/>
      <c r="I34" s="417"/>
      <c r="J34" s="417"/>
      <c r="K34" s="417"/>
      <c r="L34" s="418"/>
      <c r="M34" s="232">
        <f>SUM(M31:M33)</f>
        <v>0</v>
      </c>
    </row>
    <row r="35" spans="1:26">
      <c r="A35" s="50"/>
      <c r="B35" s="19"/>
      <c r="C35" s="19"/>
      <c r="D35" s="19"/>
      <c r="E35" s="19"/>
      <c r="F35" s="19"/>
      <c r="G35" s="19"/>
      <c r="H35" s="19"/>
      <c r="I35" s="19"/>
      <c r="J35" s="19"/>
      <c r="K35" s="19"/>
      <c r="L35" s="19"/>
      <c r="M35" s="24"/>
    </row>
    <row r="36" spans="1:26">
      <c r="A36" s="51" t="s">
        <v>88</v>
      </c>
      <c r="B36" s="52"/>
      <c r="C36" s="52"/>
      <c r="D36" s="52"/>
      <c r="E36" s="52"/>
      <c r="F36" s="52"/>
      <c r="G36" s="52"/>
      <c r="H36" s="52"/>
      <c r="I36" s="52"/>
      <c r="J36" s="52"/>
      <c r="K36" s="52"/>
      <c r="L36" s="52"/>
      <c r="M36" s="53"/>
    </row>
    <row r="37" spans="1:26" ht="15.75" thickBot="1">
      <c r="A37" s="14"/>
      <c r="B37" s="15"/>
      <c r="C37" s="15"/>
      <c r="D37" s="15"/>
      <c r="E37" s="15"/>
      <c r="F37" s="15"/>
      <c r="G37" s="15"/>
      <c r="H37" s="15"/>
      <c r="I37" s="19"/>
      <c r="J37" s="19"/>
      <c r="K37" s="19"/>
      <c r="L37" s="19"/>
      <c r="M37" s="24"/>
    </row>
    <row r="38" spans="1:26" ht="15.75" thickBot="1">
      <c r="A38" s="408" t="s">
        <v>77</v>
      </c>
      <c r="B38" s="431"/>
      <c r="C38" s="431"/>
      <c r="D38" s="431"/>
      <c r="E38" s="431"/>
      <c r="F38" s="431"/>
      <c r="G38" s="431"/>
      <c r="H38" s="424"/>
      <c r="I38" s="217" t="s">
        <v>79</v>
      </c>
      <c r="J38" s="221" t="s">
        <v>80</v>
      </c>
      <c r="K38" s="421" t="s">
        <v>89</v>
      </c>
      <c r="L38" s="424"/>
      <c r="M38" s="44" t="s">
        <v>85</v>
      </c>
    </row>
    <row r="39" spans="1:26" ht="15" customHeight="1">
      <c r="A39" s="484" t="s">
        <v>302</v>
      </c>
      <c r="B39" s="485"/>
      <c r="C39" s="485"/>
      <c r="D39" s="485"/>
      <c r="E39" s="485"/>
      <c r="F39" s="485"/>
      <c r="G39" s="485"/>
      <c r="H39" s="486"/>
      <c r="I39" s="73" t="s">
        <v>8</v>
      </c>
      <c r="J39" s="260">
        <v>3</v>
      </c>
      <c r="K39" s="533">
        <f>1839*1.0562</f>
        <v>1942.3518000000001</v>
      </c>
      <c r="L39" s="534"/>
      <c r="M39" s="56">
        <f>K39*J39</f>
        <v>5827.0554000000002</v>
      </c>
      <c r="N39" s="244"/>
      <c r="O39" s="530"/>
      <c r="P39" s="531"/>
      <c r="Q39" s="531"/>
      <c r="R39" s="531"/>
      <c r="S39" s="531"/>
      <c r="T39" s="531"/>
      <c r="U39" s="531"/>
      <c r="V39" s="532"/>
      <c r="W39" s="247"/>
      <c r="X39" s="248"/>
      <c r="Y39" s="248"/>
      <c r="Z39" s="249"/>
    </row>
    <row r="40" spans="1:26" ht="15" customHeight="1">
      <c r="A40" s="484" t="s">
        <v>303</v>
      </c>
      <c r="B40" s="485"/>
      <c r="C40" s="485"/>
      <c r="D40" s="485"/>
      <c r="E40" s="485"/>
      <c r="F40" s="485"/>
      <c r="G40" s="485"/>
      <c r="H40" s="486"/>
      <c r="I40" s="73" t="s">
        <v>8</v>
      </c>
      <c r="J40" s="258">
        <v>5</v>
      </c>
      <c r="K40" s="533">
        <f>1459*1.0562</f>
        <v>1540.9958000000001</v>
      </c>
      <c r="L40" s="534"/>
      <c r="M40" s="56">
        <f t="shared" ref="M40:M48" si="0">K40*J40</f>
        <v>7704.9790000000012</v>
      </c>
      <c r="N40" s="245"/>
      <c r="O40" s="530"/>
      <c r="P40" s="531"/>
      <c r="Q40" s="531"/>
      <c r="R40" s="531"/>
      <c r="S40" s="531"/>
      <c r="T40" s="531"/>
      <c r="U40" s="531"/>
      <c r="V40" s="532"/>
      <c r="W40" s="247"/>
      <c r="X40" s="250"/>
      <c r="Y40" s="248"/>
      <c r="Z40" s="251"/>
    </row>
    <row r="41" spans="1:26" ht="15" customHeight="1">
      <c r="A41" s="484" t="s">
        <v>304</v>
      </c>
      <c r="B41" s="485"/>
      <c r="C41" s="485"/>
      <c r="D41" s="485"/>
      <c r="E41" s="485"/>
      <c r="F41" s="485"/>
      <c r="G41" s="485"/>
      <c r="H41" s="486"/>
      <c r="I41" s="73" t="s">
        <v>8</v>
      </c>
      <c r="J41" s="258">
        <v>5</v>
      </c>
      <c r="K41" s="533">
        <f t="shared" ref="K41:K42" si="1">1459*1.0562</f>
        <v>1540.9958000000001</v>
      </c>
      <c r="L41" s="534"/>
      <c r="M41" s="56">
        <f t="shared" si="0"/>
        <v>7704.9790000000012</v>
      </c>
      <c r="N41" s="245"/>
      <c r="O41" s="530"/>
      <c r="P41" s="531"/>
      <c r="Q41" s="531"/>
      <c r="R41" s="531"/>
      <c r="S41" s="531"/>
      <c r="T41" s="531"/>
      <c r="U41" s="531"/>
      <c r="V41" s="532"/>
      <c r="W41" s="247"/>
      <c r="X41" s="250"/>
      <c r="Y41" s="248"/>
      <c r="Z41" s="251"/>
    </row>
    <row r="42" spans="1:26" ht="15" customHeight="1">
      <c r="A42" s="484" t="s">
        <v>311</v>
      </c>
      <c r="B42" s="485"/>
      <c r="C42" s="485"/>
      <c r="D42" s="485"/>
      <c r="E42" s="485"/>
      <c r="F42" s="485"/>
      <c r="G42" s="485"/>
      <c r="H42" s="486"/>
      <c r="I42" s="73" t="s">
        <v>8</v>
      </c>
      <c r="J42" s="258">
        <v>5</v>
      </c>
      <c r="K42" s="533">
        <f t="shared" si="1"/>
        <v>1540.9958000000001</v>
      </c>
      <c r="L42" s="534"/>
      <c r="M42" s="56">
        <f t="shared" ref="M42" si="2">K42*J42</f>
        <v>7704.9790000000012</v>
      </c>
      <c r="N42" s="245"/>
      <c r="O42" s="253"/>
      <c r="P42" s="254"/>
      <c r="Q42" s="254"/>
      <c r="R42" s="254"/>
      <c r="S42" s="254"/>
      <c r="T42" s="254"/>
      <c r="U42" s="254"/>
      <c r="V42" s="255"/>
      <c r="W42" s="247"/>
      <c r="X42" s="250"/>
      <c r="Y42" s="248"/>
      <c r="Z42" s="251"/>
    </row>
    <row r="43" spans="1:26">
      <c r="A43" s="425" t="s">
        <v>305</v>
      </c>
      <c r="B43" s="426"/>
      <c r="C43" s="426"/>
      <c r="D43" s="426"/>
      <c r="E43" s="426"/>
      <c r="F43" s="426"/>
      <c r="G43" s="426"/>
      <c r="H43" s="427"/>
      <c r="I43" s="73" t="s">
        <v>11</v>
      </c>
      <c r="J43" s="259">
        <v>2</v>
      </c>
      <c r="K43" s="533">
        <f>425*1.0562</f>
        <v>448.88499999999999</v>
      </c>
      <c r="L43" s="534"/>
      <c r="M43" s="56">
        <f t="shared" si="0"/>
        <v>897.77</v>
      </c>
      <c r="N43" s="245"/>
      <c r="O43" s="530"/>
      <c r="P43" s="531"/>
      <c r="Q43" s="531"/>
      <c r="R43" s="531"/>
      <c r="S43" s="531"/>
      <c r="T43" s="531"/>
      <c r="U43" s="531"/>
      <c r="V43" s="532"/>
      <c r="W43" s="247"/>
      <c r="X43" s="250"/>
      <c r="Y43" s="248"/>
      <c r="Z43" s="251"/>
    </row>
    <row r="44" spans="1:26">
      <c r="A44" s="425" t="s">
        <v>306</v>
      </c>
      <c r="B44" s="426"/>
      <c r="C44" s="426"/>
      <c r="D44" s="426"/>
      <c r="E44" s="426"/>
      <c r="F44" s="426"/>
      <c r="G44" s="426"/>
      <c r="H44" s="427"/>
      <c r="I44" s="73" t="s">
        <v>11</v>
      </c>
      <c r="J44" s="225">
        <v>1</v>
      </c>
      <c r="K44" s="533">
        <f>1180*1.0562</f>
        <v>1246.316</v>
      </c>
      <c r="L44" s="534"/>
      <c r="M44" s="56">
        <f t="shared" si="0"/>
        <v>1246.316</v>
      </c>
      <c r="N44" s="245"/>
      <c r="O44" s="530"/>
      <c r="P44" s="531"/>
      <c r="Q44" s="531"/>
      <c r="R44" s="531"/>
      <c r="S44" s="531"/>
      <c r="T44" s="531"/>
      <c r="U44" s="531"/>
      <c r="V44" s="532"/>
      <c r="W44" s="247"/>
      <c r="X44" s="250"/>
      <c r="Y44" s="248"/>
      <c r="Z44" s="251"/>
    </row>
    <row r="45" spans="1:26">
      <c r="A45" s="425" t="s">
        <v>307</v>
      </c>
      <c r="B45" s="426"/>
      <c r="C45" s="426"/>
      <c r="D45" s="426"/>
      <c r="E45" s="426"/>
      <c r="F45" s="426"/>
      <c r="G45" s="426"/>
      <c r="H45" s="427"/>
      <c r="I45" s="73" t="s">
        <v>11</v>
      </c>
      <c r="J45" s="256">
        <v>1.4E-3</v>
      </c>
      <c r="K45" s="533">
        <f>24700*1.0562</f>
        <v>26088.14</v>
      </c>
      <c r="L45" s="534"/>
      <c r="M45" s="56">
        <f t="shared" si="0"/>
        <v>36.523395999999998</v>
      </c>
      <c r="N45" s="245"/>
      <c r="O45" s="530"/>
      <c r="P45" s="531"/>
      <c r="Q45" s="531"/>
      <c r="R45" s="531"/>
      <c r="S45" s="531"/>
      <c r="T45" s="531"/>
      <c r="U45" s="531"/>
      <c r="V45" s="532"/>
      <c r="W45" s="247"/>
      <c r="X45" s="250"/>
      <c r="Y45" s="248"/>
      <c r="Z45" s="251"/>
    </row>
    <row r="46" spans="1:26">
      <c r="A46" s="425" t="s">
        <v>308</v>
      </c>
      <c r="B46" s="426"/>
      <c r="C46" s="426"/>
      <c r="D46" s="426"/>
      <c r="E46" s="426"/>
      <c r="F46" s="426"/>
      <c r="G46" s="426"/>
      <c r="H46" s="427"/>
      <c r="I46" s="73" t="s">
        <v>11</v>
      </c>
      <c r="J46" s="256">
        <v>6.9999999999999999E-4</v>
      </c>
      <c r="K46" s="533">
        <f>17569*1.0562</f>
        <v>18556.377800000002</v>
      </c>
      <c r="L46" s="534"/>
      <c r="M46" s="56">
        <f t="shared" si="0"/>
        <v>12.989464460000001</v>
      </c>
      <c r="N46" s="245"/>
      <c r="O46" s="530"/>
      <c r="P46" s="531"/>
      <c r="Q46" s="531"/>
      <c r="R46" s="531"/>
      <c r="S46" s="531"/>
      <c r="T46" s="531"/>
      <c r="U46" s="531"/>
      <c r="V46" s="532"/>
      <c r="W46" s="247"/>
      <c r="X46" s="252"/>
      <c r="Y46" s="248"/>
      <c r="Z46" s="251"/>
    </row>
    <row r="47" spans="1:26">
      <c r="A47" s="425" t="s">
        <v>309</v>
      </c>
      <c r="B47" s="426"/>
      <c r="C47" s="426"/>
      <c r="D47" s="426"/>
      <c r="E47" s="426"/>
      <c r="F47" s="426"/>
      <c r="G47" s="426"/>
      <c r="H47" s="427"/>
      <c r="I47" s="73" t="s">
        <v>25</v>
      </c>
      <c r="J47" s="256">
        <v>2.9999999999999997E-4</v>
      </c>
      <c r="K47" s="533">
        <f>4480*1.0562</f>
        <v>4731.7759999999998</v>
      </c>
      <c r="L47" s="534"/>
      <c r="M47" s="56">
        <f t="shared" si="0"/>
        <v>1.4195327999999998</v>
      </c>
      <c r="N47" s="245"/>
      <c r="O47" s="530"/>
      <c r="P47" s="531"/>
      <c r="Q47" s="531"/>
      <c r="R47" s="531"/>
      <c r="S47" s="531"/>
      <c r="T47" s="531"/>
      <c r="U47" s="531"/>
      <c r="V47" s="532"/>
      <c r="W47" s="247"/>
      <c r="X47" s="252"/>
      <c r="Y47" s="248"/>
      <c r="Z47" s="251"/>
    </row>
    <row r="48" spans="1:26" ht="15.75" thickBot="1">
      <c r="A48" s="410" t="s">
        <v>310</v>
      </c>
      <c r="B48" s="411"/>
      <c r="C48" s="411"/>
      <c r="D48" s="411"/>
      <c r="E48" s="411"/>
      <c r="F48" s="411"/>
      <c r="G48" s="411"/>
      <c r="H48" s="412"/>
      <c r="I48" s="73" t="s">
        <v>11</v>
      </c>
      <c r="J48" s="211">
        <v>1</v>
      </c>
      <c r="K48" s="535">
        <v>11190</v>
      </c>
      <c r="L48" s="536"/>
      <c r="M48" s="56">
        <f t="shared" si="0"/>
        <v>11190</v>
      </c>
      <c r="N48" s="245"/>
      <c r="O48" s="530"/>
      <c r="P48" s="531"/>
      <c r="Q48" s="531"/>
      <c r="R48" s="531"/>
      <c r="S48" s="531"/>
      <c r="T48" s="531"/>
      <c r="U48" s="531"/>
      <c r="V48" s="532"/>
      <c r="W48" s="247"/>
      <c r="X48" s="252"/>
      <c r="Y48" s="248"/>
      <c r="Z48" s="251"/>
    </row>
    <row r="49" spans="1:26" ht="15.75" thickBot="1">
      <c r="A49" s="416" t="s">
        <v>87</v>
      </c>
      <c r="B49" s="417"/>
      <c r="C49" s="417"/>
      <c r="D49" s="417"/>
      <c r="E49" s="417"/>
      <c r="F49" s="417"/>
      <c r="G49" s="417"/>
      <c r="H49" s="417"/>
      <c r="I49" s="417"/>
      <c r="J49" s="417"/>
      <c r="K49" s="417"/>
      <c r="L49" s="418"/>
      <c r="M49" s="58">
        <f>SUM(M39:M48)</f>
        <v>42327.01079326</v>
      </c>
      <c r="N49" s="246"/>
      <c r="O49" s="530"/>
      <c r="P49" s="531"/>
      <c r="Q49" s="531"/>
      <c r="R49" s="531"/>
      <c r="S49" s="531"/>
      <c r="T49" s="531"/>
      <c r="U49" s="531"/>
      <c r="V49" s="532"/>
      <c r="W49" s="247"/>
      <c r="X49" s="250"/>
      <c r="Y49" s="248"/>
      <c r="Z49" s="251"/>
    </row>
    <row r="50" spans="1:26">
      <c r="A50" s="30"/>
      <c r="B50" s="19"/>
      <c r="C50" s="19"/>
      <c r="D50" s="19"/>
      <c r="E50" s="19"/>
      <c r="F50" s="19"/>
      <c r="G50" s="19"/>
      <c r="H50" s="19"/>
      <c r="I50" s="19"/>
      <c r="J50" s="19"/>
      <c r="K50" s="19"/>
      <c r="L50" s="19"/>
      <c r="M50" s="24"/>
    </row>
    <row r="51" spans="1:26">
      <c r="A51" s="51" t="s">
        <v>90</v>
      </c>
      <c r="B51" s="52"/>
      <c r="C51" s="52"/>
      <c r="D51" s="52"/>
      <c r="E51" s="52"/>
      <c r="F51" s="52"/>
      <c r="G51" s="52"/>
      <c r="H51" s="52"/>
      <c r="I51" s="52"/>
      <c r="J51" s="52"/>
      <c r="K51" s="52"/>
      <c r="L51" s="52"/>
      <c r="M51" s="53"/>
    </row>
    <row r="52" spans="1:26" ht="15.75" thickBot="1">
      <c r="A52" s="30"/>
      <c r="B52" s="19"/>
      <c r="C52" s="19"/>
      <c r="D52" s="19"/>
      <c r="E52" s="19"/>
      <c r="F52" s="19"/>
      <c r="G52" s="19"/>
      <c r="H52" s="19"/>
      <c r="I52" s="19"/>
      <c r="J52" s="19"/>
      <c r="K52" s="19"/>
      <c r="L52" s="19"/>
      <c r="M52" s="24"/>
    </row>
    <row r="53" spans="1:26">
      <c r="A53" s="408" t="s">
        <v>91</v>
      </c>
      <c r="B53" s="431"/>
      <c r="C53" s="431"/>
      <c r="D53" s="431"/>
      <c r="E53" s="431"/>
      <c r="F53" s="431"/>
      <c r="G53" s="431"/>
      <c r="H53" s="221" t="s">
        <v>92</v>
      </c>
      <c r="I53" s="218" t="s">
        <v>93</v>
      </c>
      <c r="J53" s="60" t="s">
        <v>94</v>
      </c>
      <c r="K53" s="421" t="s">
        <v>95</v>
      </c>
      <c r="L53" s="424"/>
      <c r="M53" s="44" t="s">
        <v>85</v>
      </c>
    </row>
    <row r="54" spans="1:26">
      <c r="A54" s="425"/>
      <c r="B54" s="426"/>
      <c r="C54" s="426"/>
      <c r="D54" s="426"/>
      <c r="E54" s="426"/>
      <c r="F54" s="426"/>
      <c r="G54" s="426"/>
      <c r="H54" s="61"/>
      <c r="I54" s="55"/>
      <c r="J54" s="61"/>
      <c r="K54" s="428"/>
      <c r="L54" s="429"/>
    </row>
    <row r="55" spans="1:26" ht="15.75" thickBot="1">
      <c r="A55" s="410"/>
      <c r="B55" s="411"/>
      <c r="C55" s="411"/>
      <c r="D55" s="411"/>
      <c r="E55" s="411"/>
      <c r="F55" s="411"/>
      <c r="G55" s="411"/>
      <c r="H55" s="47"/>
      <c r="I55" s="15"/>
      <c r="J55" s="47"/>
      <c r="K55" s="414"/>
      <c r="L55" s="415"/>
      <c r="M55" s="62"/>
    </row>
    <row r="56" spans="1:26" ht="15.75" thickBot="1">
      <c r="A56" s="416" t="s">
        <v>87</v>
      </c>
      <c r="B56" s="417"/>
      <c r="C56" s="417"/>
      <c r="D56" s="417"/>
      <c r="E56" s="417"/>
      <c r="F56" s="417"/>
      <c r="G56" s="417"/>
      <c r="H56" s="417"/>
      <c r="I56" s="417"/>
      <c r="J56" s="417"/>
      <c r="K56" s="417"/>
      <c r="L56" s="418"/>
      <c r="M56" s="63">
        <f>SUM(M55:M55)</f>
        <v>0</v>
      </c>
    </row>
    <row r="57" spans="1:26">
      <c r="A57" s="30"/>
      <c r="B57" s="19"/>
      <c r="C57" s="19"/>
      <c r="D57" s="19"/>
      <c r="E57" s="19"/>
      <c r="F57" s="19"/>
      <c r="G57" s="19"/>
      <c r="H57" s="19"/>
      <c r="I57" s="19"/>
      <c r="J57" s="19"/>
      <c r="K57" s="19"/>
      <c r="L57" s="19"/>
      <c r="M57" s="24"/>
    </row>
    <row r="58" spans="1:26">
      <c r="A58" s="51" t="s">
        <v>96</v>
      </c>
      <c r="B58" s="52"/>
      <c r="C58" s="52"/>
      <c r="D58" s="52"/>
      <c r="E58" s="52"/>
      <c r="F58" s="52"/>
      <c r="G58" s="52"/>
      <c r="H58" s="52"/>
      <c r="I58" s="52"/>
      <c r="J58" s="52"/>
      <c r="K58" s="52"/>
      <c r="L58" s="52"/>
      <c r="M58" s="53"/>
    </row>
    <row r="59" spans="1:26" ht="15.75" thickBot="1">
      <c r="A59" s="30"/>
      <c r="B59" s="19"/>
      <c r="C59" s="19"/>
      <c r="D59" s="19"/>
      <c r="E59" s="19"/>
      <c r="F59" s="19"/>
      <c r="G59" s="19"/>
      <c r="H59" s="19"/>
      <c r="I59" s="19"/>
      <c r="J59" s="19"/>
      <c r="K59" s="19"/>
      <c r="L59" s="19"/>
      <c r="M59" s="24"/>
    </row>
    <row r="60" spans="1:26" ht="26.25">
      <c r="A60" s="453" t="s">
        <v>97</v>
      </c>
      <c r="B60" s="454"/>
      <c r="C60" s="454"/>
      <c r="D60" s="454"/>
      <c r="E60" s="454"/>
      <c r="F60" s="454"/>
      <c r="G60" s="454"/>
      <c r="H60" s="221" t="s">
        <v>98</v>
      </c>
      <c r="I60" s="222" t="s">
        <v>99</v>
      </c>
      <c r="J60" s="222" t="s">
        <v>100</v>
      </c>
      <c r="K60" s="455" t="s">
        <v>84</v>
      </c>
      <c r="L60" s="455"/>
      <c r="M60" s="65" t="s">
        <v>85</v>
      </c>
    </row>
    <row r="61" spans="1:26">
      <c r="A61" s="471" t="s">
        <v>243</v>
      </c>
      <c r="B61" s="472"/>
      <c r="C61" s="472"/>
      <c r="D61" s="472"/>
      <c r="E61" s="472"/>
      <c r="F61" s="472"/>
      <c r="G61" s="472"/>
      <c r="H61" s="1">
        <v>109738.14166566246</v>
      </c>
      <c r="I61" s="2">
        <v>2.2000000000000002</v>
      </c>
      <c r="J61" s="66">
        <f>(I61*H61)</f>
        <v>241423.91166445744</v>
      </c>
      <c r="K61" s="473">
        <v>15.938485892894919</v>
      </c>
      <c r="L61" s="473"/>
      <c r="M61" s="56">
        <f>J61/K61</f>
        <v>15147.229999562238</v>
      </c>
    </row>
    <row r="62" spans="1:26">
      <c r="A62" s="471"/>
      <c r="B62" s="472"/>
      <c r="C62" s="472"/>
      <c r="D62" s="472"/>
      <c r="E62" s="472"/>
      <c r="F62" s="472"/>
      <c r="G62" s="472"/>
      <c r="H62" s="1"/>
      <c r="I62" s="2"/>
      <c r="J62" s="66"/>
      <c r="K62" s="473"/>
      <c r="L62" s="473"/>
      <c r="M62" s="56"/>
    </row>
    <row r="63" spans="1:26" ht="15.75" thickBot="1">
      <c r="A63" s="432"/>
      <c r="B63" s="433"/>
      <c r="C63" s="433"/>
      <c r="D63" s="433"/>
      <c r="E63" s="433"/>
      <c r="F63" s="433"/>
      <c r="G63" s="433"/>
      <c r="H63" s="3"/>
      <c r="I63" s="4"/>
      <c r="J63" s="67"/>
      <c r="K63" s="434"/>
      <c r="L63" s="434"/>
      <c r="M63" s="68"/>
    </row>
    <row r="64" spans="1:26" ht="15.75" thickBot="1">
      <c r="A64" s="435" t="s">
        <v>87</v>
      </c>
      <c r="B64" s="436"/>
      <c r="C64" s="436"/>
      <c r="D64" s="436"/>
      <c r="E64" s="436"/>
      <c r="F64" s="436"/>
      <c r="G64" s="436"/>
      <c r="H64" s="436"/>
      <c r="I64" s="436"/>
      <c r="J64" s="436"/>
      <c r="K64" s="436"/>
      <c r="L64" s="437"/>
      <c r="M64" s="69">
        <f>SUM(M61:M63)</f>
        <v>15147.229999562238</v>
      </c>
    </row>
    <row r="65" spans="1:14" ht="15.75" thickBot="1">
      <c r="A65" s="30"/>
      <c r="B65" s="19"/>
      <c r="C65" s="19"/>
      <c r="D65" s="19"/>
      <c r="E65" s="19"/>
      <c r="F65" s="19"/>
      <c r="G65" s="19"/>
      <c r="H65" s="19"/>
      <c r="I65" s="19"/>
      <c r="J65" s="19"/>
      <c r="K65" s="19"/>
      <c r="L65" s="19"/>
      <c r="M65" s="24"/>
    </row>
    <row r="66" spans="1:14" ht="15.75" thickBot="1">
      <c r="A66" s="416" t="s">
        <v>101</v>
      </c>
      <c r="B66" s="417"/>
      <c r="C66" s="417"/>
      <c r="D66" s="417"/>
      <c r="E66" s="417"/>
      <c r="F66" s="417"/>
      <c r="G66" s="417"/>
      <c r="H66" s="417"/>
      <c r="I66" s="417"/>
      <c r="J66" s="417"/>
      <c r="K66" s="417"/>
      <c r="L66" s="418"/>
      <c r="M66" s="70">
        <f>ROUND(M64+M56+M49+M34,0)</f>
        <v>57474</v>
      </c>
      <c r="N66" s="155"/>
    </row>
    <row r="67" spans="1:14">
      <c r="A67" s="30"/>
      <c r="B67" s="19"/>
      <c r="C67" s="19"/>
      <c r="D67" s="19"/>
      <c r="E67" s="19"/>
      <c r="F67" s="19"/>
      <c r="G67" s="19"/>
      <c r="H67" s="19"/>
      <c r="I67" s="19"/>
      <c r="J67" s="19"/>
      <c r="K67" s="19"/>
      <c r="L67" s="19"/>
      <c r="M67" s="24"/>
    </row>
    <row r="68" spans="1:14">
      <c r="A68" s="51" t="s">
        <v>102</v>
      </c>
      <c r="B68" s="52"/>
      <c r="C68" s="52"/>
      <c r="D68" s="52"/>
      <c r="E68" s="52"/>
      <c r="F68" s="52"/>
      <c r="G68" s="52"/>
      <c r="H68" s="52"/>
      <c r="I68" s="52"/>
      <c r="J68" s="52"/>
      <c r="K68" s="52"/>
      <c r="L68" s="52"/>
      <c r="M68" s="53"/>
    </row>
    <row r="69" spans="1:14" ht="15.75" thickBot="1">
      <c r="A69" s="30"/>
      <c r="B69" s="19"/>
      <c r="C69" s="19"/>
      <c r="D69" s="19"/>
      <c r="E69" s="19"/>
      <c r="F69" s="19"/>
      <c r="G69" s="19"/>
      <c r="H69" s="19"/>
      <c r="I69" s="19"/>
      <c r="J69" s="19"/>
      <c r="K69" s="19"/>
      <c r="L69" s="19"/>
      <c r="M69" s="24"/>
    </row>
    <row r="70" spans="1:14" ht="15.75" thickBot="1">
      <c r="A70" s="438" t="s">
        <v>103</v>
      </c>
      <c r="B70" s="439"/>
      <c r="C70" s="439"/>
      <c r="D70" s="439"/>
      <c r="E70" s="439"/>
      <c r="F70" s="439"/>
      <c r="G70" s="439"/>
      <c r="H70" s="219"/>
      <c r="I70" s="220"/>
      <c r="J70" s="81" t="s">
        <v>104</v>
      </c>
      <c r="K70" s="440" t="s">
        <v>105</v>
      </c>
      <c r="L70" s="441"/>
      <c r="M70" s="82"/>
    </row>
    <row r="71" spans="1:14">
      <c r="A71" s="442" t="s">
        <v>106</v>
      </c>
      <c r="B71" s="443"/>
      <c r="C71" s="443"/>
      <c r="D71" s="443"/>
      <c r="E71" s="443"/>
      <c r="F71" s="443"/>
      <c r="G71" s="443"/>
      <c r="H71" s="83"/>
      <c r="I71" s="84"/>
      <c r="J71" s="85">
        <v>0.19</v>
      </c>
      <c r="K71" s="444">
        <f>M66*J71</f>
        <v>10920.06</v>
      </c>
      <c r="L71" s="444"/>
      <c r="M71" s="86"/>
    </row>
    <row r="72" spans="1:14">
      <c r="A72" s="447" t="s">
        <v>107</v>
      </c>
      <c r="B72" s="448"/>
      <c r="C72" s="448"/>
      <c r="D72" s="448"/>
      <c r="E72" s="448"/>
      <c r="F72" s="448"/>
      <c r="G72" s="449"/>
      <c r="H72" s="77"/>
      <c r="I72" s="78"/>
      <c r="J72" s="5">
        <v>0.01</v>
      </c>
      <c r="K72" s="445">
        <f>M66*J72</f>
        <v>574.74</v>
      </c>
      <c r="L72" s="445"/>
      <c r="M72" s="6"/>
    </row>
    <row r="73" spans="1:14">
      <c r="A73" s="447" t="s">
        <v>108</v>
      </c>
      <c r="B73" s="448"/>
      <c r="C73" s="448"/>
      <c r="D73" s="448"/>
      <c r="E73" s="448"/>
      <c r="F73" s="448"/>
      <c r="G73" s="449"/>
      <c r="H73" s="77"/>
      <c r="I73" s="78"/>
      <c r="J73" s="5">
        <v>0.05</v>
      </c>
      <c r="K73" s="445">
        <f>M66*J73</f>
        <v>2873.7000000000003</v>
      </c>
      <c r="L73" s="445"/>
      <c r="M73" s="6"/>
    </row>
    <row r="74" spans="1:14" ht="15.75" thickBot="1">
      <c r="A74" s="450" t="s">
        <v>117</v>
      </c>
      <c r="B74" s="451"/>
      <c r="C74" s="451"/>
      <c r="D74" s="451"/>
      <c r="E74" s="451"/>
      <c r="F74" s="451"/>
      <c r="G74" s="452"/>
      <c r="H74" s="87"/>
      <c r="I74" s="88"/>
      <c r="J74" s="89">
        <v>0.19</v>
      </c>
      <c r="K74" s="446">
        <f>K73*J74</f>
        <v>546.00300000000004</v>
      </c>
      <c r="L74" s="446"/>
      <c r="M74" s="90"/>
    </row>
    <row r="75" spans="1:14" ht="15.75" thickBot="1">
      <c r="A75" s="435" t="s">
        <v>87</v>
      </c>
      <c r="B75" s="436"/>
      <c r="C75" s="436"/>
      <c r="D75" s="436"/>
      <c r="E75" s="436"/>
      <c r="F75" s="436"/>
      <c r="G75" s="436"/>
      <c r="H75" s="436"/>
      <c r="I75" s="436"/>
      <c r="J75" s="436"/>
      <c r="K75" s="436"/>
      <c r="L75" s="437"/>
      <c r="M75" s="76">
        <f>SUM(K71:L74)</f>
        <v>14914.503000000001</v>
      </c>
    </row>
    <row r="76" spans="1:14" ht="15.75" thickBot="1">
      <c r="A76" s="30"/>
      <c r="B76" s="19"/>
      <c r="C76" s="19"/>
      <c r="D76" s="19"/>
      <c r="E76" s="19"/>
      <c r="F76" s="19"/>
      <c r="G76" s="19"/>
      <c r="H76" s="19"/>
      <c r="I76" s="19"/>
      <c r="J76" s="19"/>
      <c r="K76" s="19"/>
      <c r="L76" s="19"/>
      <c r="M76" s="24"/>
    </row>
    <row r="77" spans="1:14" ht="15.75" thickBot="1">
      <c r="A77" s="416" t="s">
        <v>109</v>
      </c>
      <c r="B77" s="417"/>
      <c r="C77" s="417"/>
      <c r="D77" s="417"/>
      <c r="E77" s="417"/>
      <c r="F77" s="417"/>
      <c r="G77" s="417"/>
      <c r="H77" s="417"/>
      <c r="I77" s="417"/>
      <c r="J77" s="417"/>
      <c r="K77" s="417"/>
      <c r="L77" s="418"/>
      <c r="M77" s="71">
        <f>ROUND(M66+M75,0)</f>
        <v>72389</v>
      </c>
    </row>
  </sheetData>
  <mergeCells count="100">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41:H41"/>
    <mergeCell ref="K41:L41"/>
    <mergeCell ref="A43:H43"/>
    <mergeCell ref="K43:L43"/>
    <mergeCell ref="A44:H44"/>
    <mergeCell ref="K44:L44"/>
    <mergeCell ref="A53:G53"/>
    <mergeCell ref="K53:L53"/>
    <mergeCell ref="A54:G54"/>
    <mergeCell ref="K54:L54"/>
    <mergeCell ref="A45:H45"/>
    <mergeCell ref="K45:L45"/>
    <mergeCell ref="A46:H46"/>
    <mergeCell ref="K46:L46"/>
    <mergeCell ref="A47:H47"/>
    <mergeCell ref="K47:L47"/>
    <mergeCell ref="A66:L66"/>
    <mergeCell ref="A55:G55"/>
    <mergeCell ref="K55:L55"/>
    <mergeCell ref="A56:L56"/>
    <mergeCell ref="A60:G60"/>
    <mergeCell ref="K60:L60"/>
    <mergeCell ref="A61:G61"/>
    <mergeCell ref="K61:L61"/>
    <mergeCell ref="A62:G62"/>
    <mergeCell ref="K62:L62"/>
    <mergeCell ref="A63:G63"/>
    <mergeCell ref="K63:L63"/>
    <mergeCell ref="A64:L64"/>
    <mergeCell ref="A77:L77"/>
    <mergeCell ref="A70:G70"/>
    <mergeCell ref="K70:L70"/>
    <mergeCell ref="A71:G71"/>
    <mergeCell ref="K71:L71"/>
    <mergeCell ref="A72:G72"/>
    <mergeCell ref="K72:L72"/>
    <mergeCell ref="A73:G73"/>
    <mergeCell ref="K73:L73"/>
    <mergeCell ref="A74:G74"/>
    <mergeCell ref="K74:L74"/>
    <mergeCell ref="A75:L75"/>
    <mergeCell ref="O39:V39"/>
    <mergeCell ref="O40:V40"/>
    <mergeCell ref="O41:V41"/>
    <mergeCell ref="O43:V43"/>
    <mergeCell ref="O44:V44"/>
    <mergeCell ref="O46:V46"/>
    <mergeCell ref="O47:V47"/>
    <mergeCell ref="O48:V48"/>
    <mergeCell ref="O49:V49"/>
    <mergeCell ref="A42:H42"/>
    <mergeCell ref="K42:L42"/>
    <mergeCell ref="O45:V45"/>
    <mergeCell ref="A48:H48"/>
    <mergeCell ref="K48:L48"/>
    <mergeCell ref="A49:L49"/>
  </mergeCells>
  <pageMargins left="0.7" right="0.7" top="0.75" bottom="0.75" header="0.3" footer="0.3"/>
  <pageSetup scale="56"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7"/>
  <sheetViews>
    <sheetView view="pageBreakPreview" topLeftCell="A49" zoomScale="80" zoomScaleNormal="100" zoomScaleSheetLayoutView="80" workbookViewId="0">
      <selection activeCell="M67" sqref="M67"/>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9">
      <c r="A17" s="25"/>
      <c r="B17" s="26"/>
      <c r="C17" s="224"/>
      <c r="D17" s="224"/>
      <c r="E17" s="224"/>
      <c r="F17" s="224"/>
      <c r="G17" s="224"/>
      <c r="H17" s="224"/>
      <c r="I17" s="224"/>
      <c r="J17" s="224"/>
      <c r="K17" s="224"/>
      <c r="L17" s="224"/>
      <c r="M17" s="13"/>
    </row>
    <row r="18" spans="1:19">
      <c r="A18" s="25" t="s">
        <v>74</v>
      </c>
      <c r="B18" s="26"/>
      <c r="C18" s="379"/>
      <c r="D18" s="379"/>
      <c r="E18" s="379"/>
      <c r="F18" s="379"/>
      <c r="G18" s="379"/>
      <c r="H18" s="379"/>
      <c r="I18" s="379"/>
      <c r="J18" s="379"/>
      <c r="K18" s="379"/>
      <c r="L18" s="379"/>
      <c r="M18" s="380"/>
    </row>
    <row r="19" spans="1:19">
      <c r="A19" s="25"/>
      <c r="B19" s="26"/>
      <c r="C19" s="224"/>
      <c r="D19" s="224"/>
      <c r="E19" s="224"/>
      <c r="F19" s="224"/>
      <c r="G19" s="224"/>
      <c r="H19" s="224"/>
      <c r="I19" s="224"/>
      <c r="J19" s="224"/>
      <c r="K19" s="224"/>
      <c r="L19" s="224"/>
      <c r="M19" s="13"/>
    </row>
    <row r="20" spans="1:19" ht="31.5" customHeight="1">
      <c r="A20" s="464" t="s">
        <v>113</v>
      </c>
      <c r="B20" s="465"/>
      <c r="C20" s="379"/>
      <c r="D20" s="379"/>
      <c r="E20" s="379"/>
      <c r="F20" s="379"/>
      <c r="G20" s="379"/>
      <c r="H20" s="379"/>
      <c r="I20" s="379"/>
      <c r="J20" s="379"/>
      <c r="K20" s="379"/>
      <c r="L20" s="379"/>
      <c r="M20" s="380"/>
    </row>
    <row r="21" spans="1:19">
      <c r="A21" s="400"/>
      <c r="B21" s="401"/>
      <c r="C21" s="224"/>
      <c r="D21" s="224"/>
      <c r="E21" s="224"/>
      <c r="F21" s="224"/>
      <c r="G21" s="224"/>
      <c r="H21" s="224"/>
      <c r="I21" s="224"/>
      <c r="J21" s="224"/>
      <c r="K21" s="224"/>
      <c r="L21" s="22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216" t="s">
        <v>78</v>
      </c>
      <c r="K25" s="408" t="s">
        <v>79</v>
      </c>
      <c r="L25" s="409"/>
      <c r="M25" s="31" t="s">
        <v>80</v>
      </c>
    </row>
    <row r="26" spans="1:19" ht="19.5" customHeight="1" thickBot="1">
      <c r="A26" s="33"/>
      <c r="B26" s="509" t="s">
        <v>312</v>
      </c>
      <c r="C26" s="510"/>
      <c r="D26" s="510"/>
      <c r="E26" s="510"/>
      <c r="F26" s="510"/>
      <c r="G26" s="510"/>
      <c r="H26" s="510"/>
      <c r="I26" s="511"/>
      <c r="J26" s="215">
        <v>1</v>
      </c>
      <c r="K26" s="391" t="str">
        <f>'[1]NUEVO DISEÑO'!C85</f>
        <v>UN</v>
      </c>
      <c r="L26" s="393"/>
      <c r="M26" s="35"/>
      <c r="N26" s="230"/>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221" t="s">
        <v>83</v>
      </c>
      <c r="K30" s="421" t="s">
        <v>84</v>
      </c>
      <c r="L30" s="424"/>
      <c r="M30" s="44" t="s">
        <v>85</v>
      </c>
    </row>
    <row r="31" spans="1:19" ht="15.75" thickBot="1">
      <c r="A31" s="425"/>
      <c r="B31" s="426"/>
      <c r="C31" s="426"/>
      <c r="D31" s="426"/>
      <c r="E31" s="427"/>
      <c r="F31" s="428"/>
      <c r="G31" s="429"/>
      <c r="H31" s="430"/>
      <c r="I31" s="427"/>
      <c r="J31" s="72"/>
      <c r="K31" s="428"/>
      <c r="L31" s="429"/>
      <c r="M31" s="231"/>
      <c r="N31" s="489"/>
      <c r="O31" s="490"/>
      <c r="P31" s="95"/>
      <c r="Q31" s="96"/>
      <c r="R31" s="97"/>
      <c r="S31" s="98"/>
    </row>
    <row r="32" spans="1:19">
      <c r="A32" s="425"/>
      <c r="B32" s="426"/>
      <c r="C32" s="426"/>
      <c r="D32" s="426"/>
      <c r="E32" s="427"/>
      <c r="F32" s="428"/>
      <c r="G32" s="429"/>
      <c r="H32" s="430"/>
      <c r="I32" s="427"/>
      <c r="J32" s="72"/>
      <c r="K32" s="428"/>
      <c r="L32" s="429"/>
      <c r="M32" s="231"/>
    </row>
    <row r="33" spans="1:16" ht="15.75" thickBot="1">
      <c r="A33" s="410"/>
      <c r="B33" s="411"/>
      <c r="C33" s="411"/>
      <c r="D33" s="411"/>
      <c r="E33" s="412"/>
      <c r="F33" s="414"/>
      <c r="G33" s="415"/>
      <c r="H33" s="413"/>
      <c r="I33" s="412"/>
      <c r="J33" s="91"/>
      <c r="K33" s="414"/>
      <c r="L33" s="415"/>
      <c r="M33" s="46"/>
    </row>
    <row r="34" spans="1:16" ht="15.75" thickBot="1">
      <c r="A34" s="416" t="s">
        <v>87</v>
      </c>
      <c r="B34" s="417"/>
      <c r="C34" s="417"/>
      <c r="D34" s="417"/>
      <c r="E34" s="417"/>
      <c r="F34" s="417"/>
      <c r="G34" s="417"/>
      <c r="H34" s="417"/>
      <c r="I34" s="417"/>
      <c r="J34" s="417"/>
      <c r="K34" s="417"/>
      <c r="L34" s="418"/>
      <c r="M34" s="232">
        <f>SUM(M31:M33)</f>
        <v>0</v>
      </c>
    </row>
    <row r="35" spans="1:16">
      <c r="A35" s="50"/>
      <c r="B35" s="19"/>
      <c r="C35" s="19"/>
      <c r="D35" s="19"/>
      <c r="E35" s="19"/>
      <c r="F35" s="19"/>
      <c r="G35" s="19"/>
      <c r="H35" s="19"/>
      <c r="I35" s="19"/>
      <c r="J35" s="19"/>
      <c r="K35" s="19"/>
      <c r="L35" s="19"/>
      <c r="M35" s="24"/>
    </row>
    <row r="36" spans="1:16">
      <c r="A36" s="51" t="s">
        <v>88</v>
      </c>
      <c r="B36" s="52"/>
      <c r="C36" s="52"/>
      <c r="D36" s="52"/>
      <c r="E36" s="52"/>
      <c r="F36" s="52"/>
      <c r="G36" s="52"/>
      <c r="H36" s="52"/>
      <c r="I36" s="52"/>
      <c r="J36" s="52"/>
      <c r="K36" s="52"/>
      <c r="L36" s="52"/>
      <c r="M36" s="53"/>
    </row>
    <row r="37" spans="1:16" ht="15.75" thickBot="1">
      <c r="A37" s="14"/>
      <c r="B37" s="15"/>
      <c r="C37" s="15"/>
      <c r="D37" s="15"/>
      <c r="E37" s="15"/>
      <c r="F37" s="15"/>
      <c r="G37" s="15"/>
      <c r="H37" s="15"/>
      <c r="I37" s="19"/>
      <c r="J37" s="19"/>
      <c r="K37" s="19"/>
      <c r="L37" s="19"/>
      <c r="M37" s="24"/>
    </row>
    <row r="38" spans="1:16" ht="15.75" thickBot="1">
      <c r="A38" s="408" t="s">
        <v>77</v>
      </c>
      <c r="B38" s="431"/>
      <c r="C38" s="431"/>
      <c r="D38" s="431"/>
      <c r="E38" s="431"/>
      <c r="F38" s="431"/>
      <c r="G38" s="431"/>
      <c r="H38" s="424"/>
      <c r="I38" s="217" t="s">
        <v>79</v>
      </c>
      <c r="J38" s="221" t="s">
        <v>80</v>
      </c>
      <c r="K38" s="421" t="s">
        <v>89</v>
      </c>
      <c r="L38" s="424"/>
      <c r="M38" s="44" t="s">
        <v>85</v>
      </c>
    </row>
    <row r="39" spans="1:16" ht="15" customHeight="1">
      <c r="A39" s="484" t="s">
        <v>313</v>
      </c>
      <c r="B39" s="485"/>
      <c r="C39" s="485"/>
      <c r="D39" s="485"/>
      <c r="E39" s="485"/>
      <c r="F39" s="485"/>
      <c r="G39" s="485"/>
      <c r="H39" s="486"/>
      <c r="I39" s="257" t="s">
        <v>11</v>
      </c>
      <c r="J39" s="243">
        <v>3.36</v>
      </c>
      <c r="K39" s="537">
        <v>216</v>
      </c>
      <c r="L39" s="538"/>
      <c r="M39" s="56">
        <f>K39*J39</f>
        <v>725.76</v>
      </c>
      <c r="O39" s="94"/>
    </row>
    <row r="40" spans="1:16" ht="15" customHeight="1">
      <c r="A40" s="484" t="s">
        <v>297</v>
      </c>
      <c r="B40" s="485"/>
      <c r="C40" s="485"/>
      <c r="D40" s="485"/>
      <c r="E40" s="485"/>
      <c r="F40" s="485"/>
      <c r="G40" s="485"/>
      <c r="H40" s="486"/>
      <c r="I40" s="239" t="s">
        <v>8</v>
      </c>
      <c r="J40" s="240">
        <v>4.5599999999999996</v>
      </c>
      <c r="K40" s="512">
        <v>2798</v>
      </c>
      <c r="L40" s="513"/>
      <c r="M40" s="56">
        <f t="shared" ref="M40:M47" si="0">K40*J40</f>
        <v>12758.88</v>
      </c>
      <c r="P40" s="94"/>
    </row>
    <row r="41" spans="1:16" ht="15" customHeight="1">
      <c r="A41" s="484" t="s">
        <v>298</v>
      </c>
      <c r="B41" s="485"/>
      <c r="C41" s="485"/>
      <c r="D41" s="485"/>
      <c r="E41" s="485"/>
      <c r="F41" s="485"/>
      <c r="G41" s="485"/>
      <c r="H41" s="486"/>
      <c r="I41" s="239" t="s">
        <v>8</v>
      </c>
      <c r="J41" s="240">
        <v>11.16</v>
      </c>
      <c r="K41" s="512">
        <v>1959</v>
      </c>
      <c r="L41" s="513"/>
      <c r="M41" s="56">
        <f t="shared" si="0"/>
        <v>21862.44</v>
      </c>
    </row>
    <row r="42" spans="1:16" ht="15" customHeight="1">
      <c r="A42" s="425" t="s">
        <v>291</v>
      </c>
      <c r="B42" s="426"/>
      <c r="C42" s="426"/>
      <c r="D42" s="426"/>
      <c r="E42" s="426"/>
      <c r="F42" s="426"/>
      <c r="G42" s="426"/>
      <c r="H42" s="427"/>
      <c r="I42" s="239" t="s">
        <v>11</v>
      </c>
      <c r="J42" s="240">
        <v>1</v>
      </c>
      <c r="K42" s="512">
        <v>3020</v>
      </c>
      <c r="L42" s="513"/>
      <c r="M42" s="56">
        <f t="shared" si="0"/>
        <v>3020</v>
      </c>
    </row>
    <row r="43" spans="1:16">
      <c r="A43" s="425" t="s">
        <v>299</v>
      </c>
      <c r="B43" s="426"/>
      <c r="C43" s="426"/>
      <c r="D43" s="426"/>
      <c r="E43" s="426"/>
      <c r="F43" s="426"/>
      <c r="G43" s="426"/>
      <c r="H43" s="427"/>
      <c r="I43" s="239" t="s">
        <v>11</v>
      </c>
      <c r="J43" s="240">
        <v>0.84</v>
      </c>
      <c r="K43" s="512">
        <v>2157</v>
      </c>
      <c r="L43" s="513"/>
      <c r="M43" s="56">
        <f t="shared" si="0"/>
        <v>1811.8799999999999</v>
      </c>
    </row>
    <row r="44" spans="1:16">
      <c r="A44" s="516" t="s">
        <v>314</v>
      </c>
      <c r="B44" s="426"/>
      <c r="C44" s="426"/>
      <c r="D44" s="426"/>
      <c r="E44" s="426"/>
      <c r="F44" s="426"/>
      <c r="G44" s="426"/>
      <c r="H44" s="427"/>
      <c r="I44" s="239" t="s">
        <v>11</v>
      </c>
      <c r="J44" s="240">
        <v>0.84</v>
      </c>
      <c r="K44" s="512">
        <v>15678</v>
      </c>
      <c r="L44" s="513"/>
      <c r="M44" s="56">
        <f t="shared" si="0"/>
        <v>13169.519999999999</v>
      </c>
    </row>
    <row r="45" spans="1:16">
      <c r="A45" s="425" t="s">
        <v>315</v>
      </c>
      <c r="B45" s="426"/>
      <c r="C45" s="426"/>
      <c r="D45" s="426"/>
      <c r="E45" s="426"/>
      <c r="F45" s="426"/>
      <c r="G45" s="426"/>
      <c r="H45" s="427"/>
      <c r="I45" s="239" t="s">
        <v>11</v>
      </c>
      <c r="J45" s="240">
        <v>1</v>
      </c>
      <c r="K45" s="512">
        <v>2157</v>
      </c>
      <c r="L45" s="513"/>
      <c r="M45" s="56">
        <f t="shared" si="0"/>
        <v>2157</v>
      </c>
    </row>
    <row r="46" spans="1:16">
      <c r="A46" s="425" t="s">
        <v>316</v>
      </c>
      <c r="B46" s="426"/>
      <c r="C46" s="426"/>
      <c r="D46" s="426"/>
      <c r="E46" s="426"/>
      <c r="F46" s="426"/>
      <c r="G46" s="426"/>
      <c r="H46" s="427"/>
      <c r="I46" s="239" t="s">
        <v>8</v>
      </c>
      <c r="J46" s="240">
        <v>4.28</v>
      </c>
      <c r="K46" s="512">
        <v>2527</v>
      </c>
      <c r="L46" s="513"/>
      <c r="M46" s="56">
        <f t="shared" si="0"/>
        <v>10815.560000000001</v>
      </c>
    </row>
    <row r="47" spans="1:16">
      <c r="A47" s="425" t="s">
        <v>239</v>
      </c>
      <c r="B47" s="426"/>
      <c r="C47" s="426"/>
      <c r="D47" s="426"/>
      <c r="E47" s="426"/>
      <c r="F47" s="426"/>
      <c r="G47" s="426"/>
      <c r="H47" s="427"/>
      <c r="I47" s="239" t="s">
        <v>11</v>
      </c>
      <c r="J47" s="240">
        <v>0.01</v>
      </c>
      <c r="K47" s="512">
        <v>68896</v>
      </c>
      <c r="L47" s="513"/>
      <c r="M47" s="56">
        <f t="shared" si="0"/>
        <v>688.96</v>
      </c>
    </row>
    <row r="48" spans="1:16" ht="15.75" thickBot="1">
      <c r="A48" s="410" t="s">
        <v>240</v>
      </c>
      <c r="B48" s="411"/>
      <c r="C48" s="411"/>
      <c r="D48" s="411"/>
      <c r="E48" s="411"/>
      <c r="F48" s="411"/>
      <c r="G48" s="411"/>
      <c r="H48" s="412"/>
      <c r="I48" s="95" t="s">
        <v>11</v>
      </c>
      <c r="J48" s="241">
        <v>0.01</v>
      </c>
      <c r="K48" s="514">
        <v>32938</v>
      </c>
      <c r="L48" s="515"/>
      <c r="M48" s="56">
        <f>K48*J48</f>
        <v>329.38</v>
      </c>
    </row>
    <row r="49" spans="1:13" ht="15.75" thickBot="1">
      <c r="A49" s="416" t="s">
        <v>87</v>
      </c>
      <c r="B49" s="417"/>
      <c r="C49" s="417"/>
      <c r="D49" s="417"/>
      <c r="E49" s="417"/>
      <c r="F49" s="417"/>
      <c r="G49" s="417"/>
      <c r="H49" s="417"/>
      <c r="I49" s="417"/>
      <c r="J49" s="417"/>
      <c r="K49" s="417"/>
      <c r="L49" s="418"/>
      <c r="M49" s="58">
        <f>SUM(M39:M48)</f>
        <v>67339.38</v>
      </c>
    </row>
    <row r="50" spans="1:13">
      <c r="A50" s="30"/>
      <c r="B50" s="19"/>
      <c r="C50" s="19"/>
      <c r="D50" s="19"/>
      <c r="E50" s="19"/>
      <c r="F50" s="19"/>
      <c r="G50" s="19"/>
      <c r="H50" s="19"/>
      <c r="I50" s="19"/>
      <c r="J50" s="19"/>
      <c r="K50" s="19"/>
      <c r="L50" s="19"/>
      <c r="M50" s="24"/>
    </row>
    <row r="51" spans="1:13">
      <c r="A51" s="51" t="s">
        <v>90</v>
      </c>
      <c r="B51" s="52"/>
      <c r="C51" s="52"/>
      <c r="D51" s="52"/>
      <c r="E51" s="52"/>
      <c r="F51" s="52"/>
      <c r="G51" s="52"/>
      <c r="H51" s="52"/>
      <c r="I51" s="52"/>
      <c r="J51" s="52"/>
      <c r="K51" s="52"/>
      <c r="L51" s="52"/>
      <c r="M51" s="53"/>
    </row>
    <row r="52" spans="1:13" ht="15.75" thickBot="1">
      <c r="A52" s="30"/>
      <c r="B52" s="19"/>
      <c r="C52" s="19"/>
      <c r="D52" s="19"/>
      <c r="E52" s="19"/>
      <c r="F52" s="19"/>
      <c r="G52" s="19"/>
      <c r="H52" s="19"/>
      <c r="I52" s="19"/>
      <c r="J52" s="19"/>
      <c r="K52" s="19"/>
      <c r="L52" s="19"/>
      <c r="M52" s="24"/>
    </row>
    <row r="53" spans="1:13">
      <c r="A53" s="408" t="s">
        <v>91</v>
      </c>
      <c r="B53" s="431"/>
      <c r="C53" s="431"/>
      <c r="D53" s="431"/>
      <c r="E53" s="431"/>
      <c r="F53" s="431"/>
      <c r="G53" s="431"/>
      <c r="H53" s="221" t="s">
        <v>92</v>
      </c>
      <c r="I53" s="218" t="s">
        <v>93</v>
      </c>
      <c r="J53" s="60" t="s">
        <v>94</v>
      </c>
      <c r="K53" s="421" t="s">
        <v>95</v>
      </c>
      <c r="L53" s="424"/>
      <c r="M53" s="44" t="s">
        <v>85</v>
      </c>
    </row>
    <row r="54" spans="1:13">
      <c r="A54" s="425"/>
      <c r="B54" s="426"/>
      <c r="C54" s="426"/>
      <c r="D54" s="426"/>
      <c r="E54" s="426"/>
      <c r="F54" s="426"/>
      <c r="G54" s="426"/>
      <c r="H54" s="61"/>
      <c r="I54" s="55"/>
      <c r="J54" s="61"/>
      <c r="K54" s="428"/>
      <c r="L54" s="429"/>
    </row>
    <row r="55" spans="1:13" ht="15.75" thickBot="1">
      <c r="A55" s="410"/>
      <c r="B55" s="411"/>
      <c r="C55" s="411"/>
      <c r="D55" s="411"/>
      <c r="E55" s="411"/>
      <c r="F55" s="411"/>
      <c r="G55" s="411"/>
      <c r="H55" s="47"/>
      <c r="I55" s="15"/>
      <c r="J55" s="47"/>
      <c r="K55" s="414"/>
      <c r="L55" s="415"/>
      <c r="M55" s="62"/>
    </row>
    <row r="56" spans="1:13" ht="15.75" thickBot="1">
      <c r="A56" s="416" t="s">
        <v>87</v>
      </c>
      <c r="B56" s="417"/>
      <c r="C56" s="417"/>
      <c r="D56" s="417"/>
      <c r="E56" s="417"/>
      <c r="F56" s="417"/>
      <c r="G56" s="417"/>
      <c r="H56" s="417"/>
      <c r="I56" s="417"/>
      <c r="J56" s="417"/>
      <c r="K56" s="417"/>
      <c r="L56" s="418"/>
      <c r="M56" s="63">
        <f>SUM(M55:M55)</f>
        <v>0</v>
      </c>
    </row>
    <row r="57" spans="1:13">
      <c r="A57" s="30"/>
      <c r="B57" s="19"/>
      <c r="C57" s="19"/>
      <c r="D57" s="19"/>
      <c r="E57" s="19"/>
      <c r="F57" s="19"/>
      <c r="G57" s="19"/>
      <c r="H57" s="19"/>
      <c r="I57" s="19"/>
      <c r="J57" s="19"/>
      <c r="K57" s="19"/>
      <c r="L57" s="19"/>
      <c r="M57" s="24"/>
    </row>
    <row r="58" spans="1:13">
      <c r="A58" s="51" t="s">
        <v>96</v>
      </c>
      <c r="B58" s="52"/>
      <c r="C58" s="52"/>
      <c r="D58" s="52"/>
      <c r="E58" s="52"/>
      <c r="F58" s="52"/>
      <c r="G58" s="52"/>
      <c r="H58" s="52"/>
      <c r="I58" s="52"/>
      <c r="J58" s="52"/>
      <c r="K58" s="52"/>
      <c r="L58" s="52"/>
      <c r="M58" s="53"/>
    </row>
    <row r="59" spans="1:13" ht="15.75" thickBot="1">
      <c r="A59" s="30"/>
      <c r="B59" s="19"/>
      <c r="C59" s="19"/>
      <c r="D59" s="19"/>
      <c r="E59" s="19"/>
      <c r="F59" s="19"/>
      <c r="G59" s="19"/>
      <c r="H59" s="19"/>
      <c r="I59" s="19"/>
      <c r="J59" s="19"/>
      <c r="K59" s="19"/>
      <c r="L59" s="19"/>
      <c r="M59" s="24"/>
    </row>
    <row r="60" spans="1:13" ht="26.25">
      <c r="A60" s="453" t="s">
        <v>97</v>
      </c>
      <c r="B60" s="454"/>
      <c r="C60" s="454"/>
      <c r="D60" s="454"/>
      <c r="E60" s="454"/>
      <c r="F60" s="454"/>
      <c r="G60" s="454"/>
      <c r="H60" s="221" t="s">
        <v>98</v>
      </c>
      <c r="I60" s="222" t="s">
        <v>99</v>
      </c>
      <c r="J60" s="222" t="s">
        <v>100</v>
      </c>
      <c r="K60" s="455" t="s">
        <v>84</v>
      </c>
      <c r="L60" s="455"/>
      <c r="M60" s="65" t="s">
        <v>85</v>
      </c>
    </row>
    <row r="61" spans="1:13">
      <c r="A61" s="471" t="s">
        <v>243</v>
      </c>
      <c r="B61" s="472"/>
      <c r="C61" s="472"/>
      <c r="D61" s="472"/>
      <c r="E61" s="472"/>
      <c r="F61" s="472"/>
      <c r="G61" s="472"/>
      <c r="H61" s="1">
        <v>109738.14166566246</v>
      </c>
      <c r="I61" s="2">
        <v>2.2000000000000002</v>
      </c>
      <c r="J61" s="66">
        <f>(I61*H61)</f>
        <v>241423.91166445744</v>
      </c>
      <c r="K61" s="473">
        <v>21.641458934576562</v>
      </c>
      <c r="L61" s="473"/>
      <c r="M61" s="56">
        <f>J61/K61</f>
        <v>11155.62090311455</v>
      </c>
    </row>
    <row r="62" spans="1:13">
      <c r="A62" s="471"/>
      <c r="B62" s="472"/>
      <c r="C62" s="472"/>
      <c r="D62" s="472"/>
      <c r="E62" s="472"/>
      <c r="F62" s="472"/>
      <c r="G62" s="472"/>
      <c r="H62" s="1"/>
      <c r="I62" s="2"/>
      <c r="J62" s="66"/>
      <c r="K62" s="473"/>
      <c r="L62" s="473"/>
      <c r="M62" s="56"/>
    </row>
    <row r="63" spans="1:13" ht="15.75" thickBot="1">
      <c r="A63" s="432"/>
      <c r="B63" s="433"/>
      <c r="C63" s="433"/>
      <c r="D63" s="433"/>
      <c r="E63" s="433"/>
      <c r="F63" s="433"/>
      <c r="G63" s="433"/>
      <c r="H63" s="3"/>
      <c r="I63" s="4"/>
      <c r="J63" s="67"/>
      <c r="K63" s="434"/>
      <c r="L63" s="434"/>
      <c r="M63" s="68"/>
    </row>
    <row r="64" spans="1:13" ht="15.75" thickBot="1">
      <c r="A64" s="435" t="s">
        <v>87</v>
      </c>
      <c r="B64" s="436"/>
      <c r="C64" s="436"/>
      <c r="D64" s="436"/>
      <c r="E64" s="436"/>
      <c r="F64" s="436"/>
      <c r="G64" s="436"/>
      <c r="H64" s="436"/>
      <c r="I64" s="436"/>
      <c r="J64" s="436"/>
      <c r="K64" s="436"/>
      <c r="L64" s="437"/>
      <c r="M64" s="69">
        <f>SUM(M61:M63)</f>
        <v>11155.62090311455</v>
      </c>
    </row>
    <row r="65" spans="1:14" ht="15.75" thickBot="1">
      <c r="A65" s="30"/>
      <c r="B65" s="19"/>
      <c r="C65" s="19"/>
      <c r="D65" s="19"/>
      <c r="E65" s="19"/>
      <c r="F65" s="19"/>
      <c r="G65" s="19"/>
      <c r="H65" s="19"/>
      <c r="I65" s="19"/>
      <c r="J65" s="19"/>
      <c r="K65" s="19"/>
      <c r="L65" s="19"/>
      <c r="M65" s="24"/>
    </row>
    <row r="66" spans="1:14" ht="15.75" thickBot="1">
      <c r="A66" s="416" t="s">
        <v>101</v>
      </c>
      <c r="B66" s="417"/>
      <c r="C66" s="417"/>
      <c r="D66" s="417"/>
      <c r="E66" s="417"/>
      <c r="F66" s="417"/>
      <c r="G66" s="417"/>
      <c r="H66" s="417"/>
      <c r="I66" s="417"/>
      <c r="J66" s="417"/>
      <c r="K66" s="417"/>
      <c r="L66" s="418"/>
      <c r="M66" s="70">
        <f>ROUND(M64+M56+M49+M34,0)</f>
        <v>78495</v>
      </c>
      <c r="N66" s="155"/>
    </row>
    <row r="67" spans="1:14">
      <c r="A67" s="30"/>
      <c r="B67" s="19"/>
      <c r="C67" s="19"/>
      <c r="D67" s="19"/>
      <c r="E67" s="19"/>
      <c r="F67" s="19"/>
      <c r="G67" s="19"/>
      <c r="H67" s="19"/>
      <c r="I67" s="19"/>
      <c r="J67" s="19"/>
      <c r="K67" s="19"/>
      <c r="L67" s="19"/>
      <c r="M67" s="24"/>
    </row>
    <row r="68" spans="1:14">
      <c r="A68" s="51" t="s">
        <v>102</v>
      </c>
      <c r="B68" s="52"/>
      <c r="C68" s="52"/>
      <c r="D68" s="52"/>
      <c r="E68" s="52"/>
      <c r="F68" s="52"/>
      <c r="G68" s="52"/>
      <c r="H68" s="52"/>
      <c r="I68" s="52"/>
      <c r="J68" s="52"/>
      <c r="K68" s="52"/>
      <c r="L68" s="52"/>
      <c r="M68" s="53"/>
    </row>
    <row r="69" spans="1:14" ht="15.75" thickBot="1">
      <c r="A69" s="30"/>
      <c r="B69" s="19"/>
      <c r="C69" s="19"/>
      <c r="D69" s="19"/>
      <c r="E69" s="19"/>
      <c r="F69" s="19"/>
      <c r="G69" s="19"/>
      <c r="H69" s="19"/>
      <c r="I69" s="19"/>
      <c r="J69" s="19"/>
      <c r="K69" s="19"/>
      <c r="L69" s="19"/>
      <c r="M69" s="24"/>
    </row>
    <row r="70" spans="1:14" ht="15.75" thickBot="1">
      <c r="A70" s="438" t="s">
        <v>103</v>
      </c>
      <c r="B70" s="439"/>
      <c r="C70" s="439"/>
      <c r="D70" s="439"/>
      <c r="E70" s="439"/>
      <c r="F70" s="439"/>
      <c r="G70" s="439"/>
      <c r="H70" s="219"/>
      <c r="I70" s="220"/>
      <c r="J70" s="81" t="s">
        <v>104</v>
      </c>
      <c r="K70" s="440" t="s">
        <v>105</v>
      </c>
      <c r="L70" s="441"/>
      <c r="M70" s="82"/>
    </row>
    <row r="71" spans="1:14">
      <c r="A71" s="442" t="s">
        <v>106</v>
      </c>
      <c r="B71" s="443"/>
      <c r="C71" s="443"/>
      <c r="D71" s="443"/>
      <c r="E71" s="443"/>
      <c r="F71" s="443"/>
      <c r="G71" s="443"/>
      <c r="H71" s="83"/>
      <c r="I71" s="84"/>
      <c r="J71" s="85">
        <v>0.19</v>
      </c>
      <c r="K71" s="444">
        <f>M66*J71</f>
        <v>14914.05</v>
      </c>
      <c r="L71" s="444"/>
      <c r="M71" s="86"/>
    </row>
    <row r="72" spans="1:14">
      <c r="A72" s="447" t="s">
        <v>107</v>
      </c>
      <c r="B72" s="448"/>
      <c r="C72" s="448"/>
      <c r="D72" s="448"/>
      <c r="E72" s="448"/>
      <c r="F72" s="448"/>
      <c r="G72" s="449"/>
      <c r="H72" s="77"/>
      <c r="I72" s="78"/>
      <c r="J72" s="5">
        <v>0.01</v>
      </c>
      <c r="K72" s="445">
        <f>M66*J72</f>
        <v>784.95</v>
      </c>
      <c r="L72" s="445"/>
      <c r="M72" s="6"/>
    </row>
    <row r="73" spans="1:14">
      <c r="A73" s="447" t="s">
        <v>108</v>
      </c>
      <c r="B73" s="448"/>
      <c r="C73" s="448"/>
      <c r="D73" s="448"/>
      <c r="E73" s="448"/>
      <c r="F73" s="448"/>
      <c r="G73" s="449"/>
      <c r="H73" s="77"/>
      <c r="I73" s="78"/>
      <c r="J73" s="5">
        <v>0.05</v>
      </c>
      <c r="K73" s="445">
        <f>M66*J73</f>
        <v>3924.75</v>
      </c>
      <c r="L73" s="445"/>
      <c r="M73" s="6"/>
    </row>
    <row r="74" spans="1:14" ht="15.75" thickBot="1">
      <c r="A74" s="450" t="s">
        <v>117</v>
      </c>
      <c r="B74" s="451"/>
      <c r="C74" s="451"/>
      <c r="D74" s="451"/>
      <c r="E74" s="451"/>
      <c r="F74" s="451"/>
      <c r="G74" s="452"/>
      <c r="H74" s="87"/>
      <c r="I74" s="88"/>
      <c r="J74" s="89">
        <v>0.19</v>
      </c>
      <c r="K74" s="446">
        <f>K73*J74</f>
        <v>745.70249999999999</v>
      </c>
      <c r="L74" s="446"/>
      <c r="M74" s="90"/>
    </row>
    <row r="75" spans="1:14" ht="15.75" thickBot="1">
      <c r="A75" s="435" t="s">
        <v>87</v>
      </c>
      <c r="B75" s="436"/>
      <c r="C75" s="436"/>
      <c r="D75" s="436"/>
      <c r="E75" s="436"/>
      <c r="F75" s="436"/>
      <c r="G75" s="436"/>
      <c r="H75" s="436"/>
      <c r="I75" s="436"/>
      <c r="J75" s="436"/>
      <c r="K75" s="436"/>
      <c r="L75" s="437"/>
      <c r="M75" s="76">
        <f>SUM(K71:L74)</f>
        <v>20369.452499999999</v>
      </c>
    </row>
    <row r="76" spans="1:14" ht="15.75" thickBot="1">
      <c r="A76" s="30"/>
      <c r="B76" s="19"/>
      <c r="C76" s="19"/>
      <c r="D76" s="19"/>
      <c r="E76" s="19"/>
      <c r="F76" s="19"/>
      <c r="G76" s="19"/>
      <c r="H76" s="19"/>
      <c r="I76" s="19"/>
      <c r="J76" s="19"/>
      <c r="K76" s="19"/>
      <c r="L76" s="19"/>
      <c r="M76" s="24"/>
    </row>
    <row r="77" spans="1:14" ht="15.75" thickBot="1">
      <c r="A77" s="416" t="s">
        <v>109</v>
      </c>
      <c r="B77" s="417"/>
      <c r="C77" s="417"/>
      <c r="D77" s="417"/>
      <c r="E77" s="417"/>
      <c r="F77" s="417"/>
      <c r="G77" s="417"/>
      <c r="H77" s="417"/>
      <c r="I77" s="417"/>
      <c r="J77" s="417"/>
      <c r="K77" s="417"/>
      <c r="L77" s="418"/>
      <c r="M77" s="71">
        <f>ROUND(M66+M75,0)</f>
        <v>98864</v>
      </c>
    </row>
  </sheetData>
  <mergeCells count="90">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H47"/>
    <mergeCell ref="K47:L47"/>
    <mergeCell ref="A48:H48"/>
    <mergeCell ref="K48:L48"/>
    <mergeCell ref="A49:L49"/>
    <mergeCell ref="A53:G53"/>
    <mergeCell ref="K53:L53"/>
    <mergeCell ref="A54:G54"/>
    <mergeCell ref="K54:L54"/>
    <mergeCell ref="A55:G55"/>
    <mergeCell ref="K55:L55"/>
    <mergeCell ref="A56:L56"/>
    <mergeCell ref="A61:G61"/>
    <mergeCell ref="K61:L61"/>
    <mergeCell ref="A62:G62"/>
    <mergeCell ref="K62:L62"/>
    <mergeCell ref="A63:G63"/>
    <mergeCell ref="K63:L63"/>
    <mergeCell ref="A64:L64"/>
    <mergeCell ref="A66:L66"/>
    <mergeCell ref="A70:G70"/>
    <mergeCell ref="K70:L70"/>
    <mergeCell ref="A71:G71"/>
    <mergeCell ref="K71:L71"/>
    <mergeCell ref="A75:L75"/>
    <mergeCell ref="A77:L77"/>
    <mergeCell ref="A72:G72"/>
    <mergeCell ref="K72:L72"/>
    <mergeCell ref="A73:G73"/>
    <mergeCell ref="K73:L73"/>
    <mergeCell ref="A74:G74"/>
    <mergeCell ref="K74:L74"/>
  </mergeCells>
  <pageMargins left="0.7" right="0.7" top="0.75" bottom="0.75" header="0.3" footer="0.3"/>
  <pageSetup scale="56"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view="pageBreakPreview" topLeftCell="A44" zoomScale="80" zoomScaleNormal="100" zoomScaleSheetLayoutView="80" workbookViewId="0">
      <selection activeCell="M65" sqref="M65"/>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9">
      <c r="A17" s="25"/>
      <c r="B17" s="26"/>
      <c r="C17" s="224"/>
      <c r="D17" s="224"/>
      <c r="E17" s="224"/>
      <c r="F17" s="224"/>
      <c r="G17" s="224"/>
      <c r="H17" s="224"/>
      <c r="I17" s="224"/>
      <c r="J17" s="224"/>
      <c r="K17" s="224"/>
      <c r="L17" s="224"/>
      <c r="M17" s="13"/>
    </row>
    <row r="18" spans="1:19">
      <c r="A18" s="25" t="s">
        <v>74</v>
      </c>
      <c r="B18" s="26"/>
      <c r="C18" s="379"/>
      <c r="D18" s="379"/>
      <c r="E18" s="379"/>
      <c r="F18" s="379"/>
      <c r="G18" s="379"/>
      <c r="H18" s="379"/>
      <c r="I18" s="379"/>
      <c r="J18" s="379"/>
      <c r="K18" s="379"/>
      <c r="L18" s="379"/>
      <c r="M18" s="380"/>
    </row>
    <row r="19" spans="1:19">
      <c r="A19" s="25"/>
      <c r="B19" s="26"/>
      <c r="C19" s="224"/>
      <c r="D19" s="224"/>
      <c r="E19" s="224"/>
      <c r="F19" s="224"/>
      <c r="G19" s="224"/>
      <c r="H19" s="224"/>
      <c r="I19" s="224"/>
      <c r="J19" s="224"/>
      <c r="K19" s="224"/>
      <c r="L19" s="224"/>
      <c r="M19" s="13"/>
    </row>
    <row r="20" spans="1:19" ht="31.5" customHeight="1">
      <c r="A20" s="464" t="s">
        <v>113</v>
      </c>
      <c r="B20" s="465"/>
      <c r="C20" s="379"/>
      <c r="D20" s="379"/>
      <c r="E20" s="379"/>
      <c r="F20" s="379"/>
      <c r="G20" s="379"/>
      <c r="H20" s="379"/>
      <c r="I20" s="379"/>
      <c r="J20" s="379"/>
      <c r="K20" s="379"/>
      <c r="L20" s="379"/>
      <c r="M20" s="380"/>
    </row>
    <row r="21" spans="1:19">
      <c r="A21" s="400"/>
      <c r="B21" s="401"/>
      <c r="C21" s="224"/>
      <c r="D21" s="224"/>
      <c r="E21" s="224"/>
      <c r="F21" s="224"/>
      <c r="G21" s="224"/>
      <c r="H21" s="224"/>
      <c r="I21" s="224"/>
      <c r="J21" s="224"/>
      <c r="K21" s="224"/>
      <c r="L21" s="22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216" t="s">
        <v>78</v>
      </c>
      <c r="K25" s="408" t="s">
        <v>79</v>
      </c>
      <c r="L25" s="409"/>
      <c r="M25" s="31" t="s">
        <v>80</v>
      </c>
    </row>
    <row r="26" spans="1:19" ht="15.75" thickBot="1">
      <c r="A26" s="33"/>
      <c r="B26" s="391" t="s">
        <v>317</v>
      </c>
      <c r="C26" s="392"/>
      <c r="D26" s="392"/>
      <c r="E26" s="392"/>
      <c r="F26" s="392"/>
      <c r="G26" s="392"/>
      <c r="H26" s="392"/>
      <c r="I26" s="393"/>
      <c r="J26" s="215">
        <v>1</v>
      </c>
      <c r="K26" s="391" t="str">
        <f>'[1]NUEVO DISEÑO'!C80</f>
        <v>UN</v>
      </c>
      <c r="L26" s="393"/>
      <c r="M26" s="35"/>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221" t="s">
        <v>83</v>
      </c>
      <c r="K30" s="421" t="s">
        <v>84</v>
      </c>
      <c r="L30" s="424"/>
      <c r="M30" s="44" t="s">
        <v>85</v>
      </c>
    </row>
    <row r="31" spans="1:19" ht="15.75" thickBot="1">
      <c r="A31" s="425" t="s">
        <v>124</v>
      </c>
      <c r="B31" s="426"/>
      <c r="C31" s="426"/>
      <c r="D31" s="426"/>
      <c r="E31" s="427"/>
      <c r="F31" s="428" t="s">
        <v>125</v>
      </c>
      <c r="G31" s="429"/>
      <c r="H31" s="430" t="s">
        <v>86</v>
      </c>
      <c r="I31" s="427"/>
      <c r="J31" s="72">
        <v>1045.77</v>
      </c>
      <c r="K31" s="428">
        <v>1</v>
      </c>
      <c r="L31" s="429"/>
      <c r="M31" s="231">
        <f>J31/K31</f>
        <v>1045.77</v>
      </c>
      <c r="N31" s="489"/>
      <c r="O31" s="490"/>
      <c r="P31" s="95"/>
      <c r="Q31" s="96"/>
      <c r="R31" s="97"/>
      <c r="S31" s="98"/>
    </row>
    <row r="32" spans="1:19">
      <c r="A32" s="425"/>
      <c r="B32" s="426"/>
      <c r="C32" s="426"/>
      <c r="D32" s="426"/>
      <c r="E32" s="427"/>
      <c r="F32" s="428"/>
      <c r="G32" s="429"/>
      <c r="H32" s="430"/>
      <c r="I32" s="427"/>
      <c r="J32" s="72"/>
      <c r="K32" s="428"/>
      <c r="L32" s="429"/>
      <c r="M32" s="46"/>
    </row>
    <row r="33" spans="1:16" ht="15.75" thickBot="1">
      <c r="A33" s="410"/>
      <c r="B33" s="411"/>
      <c r="C33" s="411"/>
      <c r="D33" s="411"/>
      <c r="E33" s="412"/>
      <c r="F33" s="414"/>
      <c r="G33" s="415"/>
      <c r="H33" s="413"/>
      <c r="I33" s="412"/>
      <c r="J33" s="91"/>
      <c r="K33" s="414"/>
      <c r="L33" s="415"/>
      <c r="M33" s="46"/>
    </row>
    <row r="34" spans="1:16" ht="15.75" thickBot="1">
      <c r="A34" s="416" t="s">
        <v>87</v>
      </c>
      <c r="B34" s="417"/>
      <c r="C34" s="417"/>
      <c r="D34" s="417"/>
      <c r="E34" s="417"/>
      <c r="F34" s="417"/>
      <c r="G34" s="417"/>
      <c r="H34" s="417"/>
      <c r="I34" s="417"/>
      <c r="J34" s="417"/>
      <c r="K34" s="417"/>
      <c r="L34" s="418"/>
      <c r="M34" s="232">
        <f>SUM(M31:M33)</f>
        <v>1045.77</v>
      </c>
    </row>
    <row r="35" spans="1:16">
      <c r="A35" s="50"/>
      <c r="B35" s="19"/>
      <c r="C35" s="19"/>
      <c r="D35" s="19"/>
      <c r="E35" s="19"/>
      <c r="F35" s="19"/>
      <c r="G35" s="19"/>
      <c r="H35" s="19"/>
      <c r="I35" s="19"/>
      <c r="J35" s="19"/>
      <c r="K35" s="19"/>
      <c r="L35" s="19"/>
      <c r="M35" s="24"/>
    </row>
    <row r="36" spans="1:16">
      <c r="A36" s="51" t="s">
        <v>88</v>
      </c>
      <c r="B36" s="52"/>
      <c r="C36" s="52"/>
      <c r="D36" s="52"/>
      <c r="E36" s="52"/>
      <c r="F36" s="52"/>
      <c r="G36" s="52"/>
      <c r="H36" s="52"/>
      <c r="I36" s="52"/>
      <c r="J36" s="52"/>
      <c r="K36" s="52"/>
      <c r="L36" s="52"/>
      <c r="M36" s="53"/>
    </row>
    <row r="37" spans="1:16" ht="15.75" thickBot="1">
      <c r="A37" s="14"/>
      <c r="B37" s="15"/>
      <c r="C37" s="15"/>
      <c r="D37" s="15"/>
      <c r="E37" s="15"/>
      <c r="F37" s="15"/>
      <c r="G37" s="15"/>
      <c r="H37" s="15"/>
      <c r="I37" s="19"/>
      <c r="J37" s="19"/>
      <c r="K37" s="19"/>
      <c r="L37" s="19"/>
      <c r="M37" s="24"/>
    </row>
    <row r="38" spans="1:16">
      <c r="A38" s="408" t="s">
        <v>77</v>
      </c>
      <c r="B38" s="431"/>
      <c r="C38" s="431"/>
      <c r="D38" s="431"/>
      <c r="E38" s="431"/>
      <c r="F38" s="431"/>
      <c r="G38" s="431"/>
      <c r="H38" s="424"/>
      <c r="I38" s="217" t="s">
        <v>79</v>
      </c>
      <c r="J38" s="221" t="s">
        <v>80</v>
      </c>
      <c r="K38" s="421" t="s">
        <v>89</v>
      </c>
      <c r="L38" s="424"/>
      <c r="M38" s="44" t="s">
        <v>85</v>
      </c>
    </row>
    <row r="39" spans="1:16" ht="15" customHeight="1">
      <c r="A39" s="484" t="s">
        <v>317</v>
      </c>
      <c r="B39" s="485"/>
      <c r="C39" s="485"/>
      <c r="D39" s="485"/>
      <c r="E39" s="485"/>
      <c r="F39" s="485"/>
      <c r="G39" s="485"/>
      <c r="H39" s="486"/>
      <c r="I39" s="73" t="s">
        <v>8</v>
      </c>
      <c r="J39" s="92">
        <v>1</v>
      </c>
      <c r="K39" s="487">
        <v>49900</v>
      </c>
      <c r="L39" s="488"/>
      <c r="M39" s="56">
        <f>K39*J39</f>
        <v>49900</v>
      </c>
      <c r="O39" s="94"/>
    </row>
    <row r="40" spans="1:16" ht="15" customHeight="1">
      <c r="A40" s="484" t="s">
        <v>318</v>
      </c>
      <c r="B40" s="485"/>
      <c r="C40" s="485"/>
      <c r="D40" s="485"/>
      <c r="E40" s="485"/>
      <c r="F40" s="485"/>
      <c r="G40" s="485"/>
      <c r="H40" s="486"/>
      <c r="I40" s="99" t="s">
        <v>11</v>
      </c>
      <c r="J40" s="93">
        <v>1</v>
      </c>
      <c r="K40" s="487">
        <v>4078</v>
      </c>
      <c r="L40" s="488"/>
      <c r="M40" s="56">
        <f t="shared" ref="M40" si="0">K40*J40</f>
        <v>4078</v>
      </c>
      <c r="P40" s="94"/>
    </row>
    <row r="41" spans="1:16" ht="15" customHeight="1">
      <c r="A41" s="484"/>
      <c r="B41" s="485"/>
      <c r="C41" s="485"/>
      <c r="D41" s="485"/>
      <c r="E41" s="485"/>
      <c r="F41" s="485"/>
      <c r="G41" s="485"/>
      <c r="H41" s="486"/>
      <c r="I41" s="73"/>
      <c r="J41" s="93"/>
      <c r="K41" s="487"/>
      <c r="L41" s="488"/>
      <c r="M41" s="56"/>
    </row>
    <row r="42" spans="1:16">
      <c r="A42" s="425"/>
      <c r="B42" s="426"/>
      <c r="C42" s="426"/>
      <c r="D42" s="426"/>
      <c r="E42" s="426"/>
      <c r="F42" s="426"/>
      <c r="G42" s="426"/>
      <c r="H42" s="427"/>
      <c r="I42" s="73"/>
      <c r="J42" s="225"/>
      <c r="K42" s="456"/>
      <c r="L42" s="457"/>
      <c r="M42" s="56"/>
    </row>
    <row r="43" spans="1:16">
      <c r="A43" s="425"/>
      <c r="B43" s="426"/>
      <c r="C43" s="426"/>
      <c r="D43" s="426"/>
      <c r="E43" s="426"/>
      <c r="F43" s="426"/>
      <c r="G43" s="426"/>
      <c r="H43" s="427"/>
      <c r="I43" s="73"/>
      <c r="J43" s="225"/>
      <c r="K43" s="456"/>
      <c r="L43" s="457"/>
      <c r="M43" s="56"/>
    </row>
    <row r="44" spans="1:16">
      <c r="A44" s="425"/>
      <c r="B44" s="426"/>
      <c r="C44" s="426"/>
      <c r="D44" s="426"/>
      <c r="E44" s="426"/>
      <c r="F44" s="426"/>
      <c r="G44" s="426"/>
      <c r="H44" s="427"/>
      <c r="I44" s="73"/>
      <c r="J44" s="225"/>
      <c r="K44" s="456"/>
      <c r="L44" s="457"/>
      <c r="M44" s="56"/>
    </row>
    <row r="45" spans="1:16">
      <c r="A45" s="425"/>
      <c r="B45" s="426"/>
      <c r="C45" s="426"/>
      <c r="D45" s="426"/>
      <c r="E45" s="426"/>
      <c r="F45" s="426"/>
      <c r="G45" s="426"/>
      <c r="H45" s="427"/>
      <c r="I45" s="73"/>
      <c r="J45" s="225"/>
      <c r="K45" s="456"/>
      <c r="L45" s="457"/>
      <c r="M45" s="56"/>
    </row>
    <row r="46" spans="1:16">
      <c r="A46" s="425"/>
      <c r="B46" s="426"/>
      <c r="C46" s="426"/>
      <c r="D46" s="426"/>
      <c r="E46" s="426"/>
      <c r="F46" s="426"/>
      <c r="G46" s="426"/>
      <c r="H46" s="427"/>
      <c r="I46" s="73"/>
      <c r="J46" s="225"/>
      <c r="K46" s="456"/>
      <c r="L46" s="457"/>
      <c r="M46" s="56"/>
    </row>
    <row r="47" spans="1:16" ht="15.75" thickBot="1">
      <c r="A47" s="410"/>
      <c r="B47" s="411"/>
      <c r="C47" s="411"/>
      <c r="D47" s="411"/>
      <c r="E47" s="411"/>
      <c r="F47" s="411"/>
      <c r="G47" s="411"/>
      <c r="H47" s="412"/>
      <c r="I47" s="74"/>
      <c r="J47" s="211"/>
      <c r="K47" s="466"/>
      <c r="L47" s="467"/>
      <c r="M47" s="75"/>
    </row>
    <row r="48" spans="1:16" ht="15.75" thickBot="1">
      <c r="A48" s="416" t="s">
        <v>87</v>
      </c>
      <c r="B48" s="417"/>
      <c r="C48" s="417"/>
      <c r="D48" s="417"/>
      <c r="E48" s="417"/>
      <c r="F48" s="417"/>
      <c r="G48" s="417"/>
      <c r="H48" s="417"/>
      <c r="I48" s="417"/>
      <c r="J48" s="417"/>
      <c r="K48" s="417"/>
      <c r="L48" s="418"/>
      <c r="M48" s="58">
        <f>SUM(M39:M47)</f>
        <v>53978</v>
      </c>
    </row>
    <row r="49" spans="1:13">
      <c r="A49" s="30"/>
      <c r="B49" s="19"/>
      <c r="C49" s="19"/>
      <c r="D49" s="19"/>
      <c r="E49" s="19"/>
      <c r="F49" s="19"/>
      <c r="G49" s="19"/>
      <c r="H49" s="19"/>
      <c r="I49" s="19"/>
      <c r="J49" s="19"/>
      <c r="K49" s="19"/>
      <c r="L49" s="19"/>
      <c r="M49" s="24"/>
    </row>
    <row r="50" spans="1:13">
      <c r="A50" s="51" t="s">
        <v>90</v>
      </c>
      <c r="B50" s="52"/>
      <c r="C50" s="52"/>
      <c r="D50" s="52"/>
      <c r="E50" s="52"/>
      <c r="F50" s="52"/>
      <c r="G50" s="52"/>
      <c r="H50" s="52"/>
      <c r="I50" s="52"/>
      <c r="J50" s="52"/>
      <c r="K50" s="52"/>
      <c r="L50" s="52"/>
      <c r="M50" s="53"/>
    </row>
    <row r="51" spans="1:13" ht="15.75" thickBot="1">
      <c r="A51" s="30"/>
      <c r="B51" s="19"/>
      <c r="C51" s="19"/>
      <c r="D51" s="19"/>
      <c r="E51" s="19"/>
      <c r="F51" s="19"/>
      <c r="G51" s="19"/>
      <c r="H51" s="19"/>
      <c r="I51" s="19"/>
      <c r="J51" s="19"/>
      <c r="K51" s="19"/>
      <c r="L51" s="19"/>
      <c r="M51" s="24"/>
    </row>
    <row r="52" spans="1:13">
      <c r="A52" s="408" t="s">
        <v>91</v>
      </c>
      <c r="B52" s="431"/>
      <c r="C52" s="431"/>
      <c r="D52" s="431"/>
      <c r="E52" s="431"/>
      <c r="F52" s="431"/>
      <c r="G52" s="431"/>
      <c r="H52" s="221" t="s">
        <v>92</v>
      </c>
      <c r="I52" s="218" t="s">
        <v>93</v>
      </c>
      <c r="J52" s="60" t="s">
        <v>94</v>
      </c>
      <c r="K52" s="421" t="s">
        <v>95</v>
      </c>
      <c r="L52" s="424"/>
      <c r="M52" s="44" t="s">
        <v>85</v>
      </c>
    </row>
    <row r="53" spans="1:13">
      <c r="A53" s="425"/>
      <c r="B53" s="426"/>
      <c r="C53" s="426"/>
      <c r="D53" s="426"/>
      <c r="E53" s="426"/>
      <c r="F53" s="426"/>
      <c r="G53" s="426"/>
      <c r="H53" s="61"/>
      <c r="I53" s="55"/>
      <c r="J53" s="61"/>
      <c r="K53" s="428"/>
      <c r="L53" s="429"/>
    </row>
    <row r="54" spans="1:13" ht="15.75" thickBot="1">
      <c r="A54" s="410"/>
      <c r="B54" s="411"/>
      <c r="C54" s="411"/>
      <c r="D54" s="411"/>
      <c r="E54" s="411"/>
      <c r="F54" s="411"/>
      <c r="G54" s="411"/>
      <c r="H54" s="47"/>
      <c r="I54" s="15"/>
      <c r="J54" s="47"/>
      <c r="K54" s="414"/>
      <c r="L54" s="415"/>
      <c r="M54" s="62"/>
    </row>
    <row r="55" spans="1:13" ht="15.75" thickBot="1">
      <c r="A55" s="416" t="s">
        <v>87</v>
      </c>
      <c r="B55" s="417"/>
      <c r="C55" s="417"/>
      <c r="D55" s="417"/>
      <c r="E55" s="417"/>
      <c r="F55" s="417"/>
      <c r="G55" s="417"/>
      <c r="H55" s="417"/>
      <c r="I55" s="417"/>
      <c r="J55" s="417"/>
      <c r="K55" s="417"/>
      <c r="L55" s="418"/>
      <c r="M55" s="63">
        <f>SUM(M54:M54)</f>
        <v>0</v>
      </c>
    </row>
    <row r="56" spans="1:13">
      <c r="A56" s="30"/>
      <c r="B56" s="19"/>
      <c r="C56" s="19"/>
      <c r="D56" s="19"/>
      <c r="E56" s="19"/>
      <c r="F56" s="19"/>
      <c r="G56" s="19"/>
      <c r="H56" s="19"/>
      <c r="I56" s="19"/>
      <c r="J56" s="19"/>
      <c r="K56" s="19"/>
      <c r="L56" s="19"/>
      <c r="M56" s="24"/>
    </row>
    <row r="57" spans="1:13">
      <c r="A57" s="51" t="s">
        <v>96</v>
      </c>
      <c r="B57" s="52"/>
      <c r="C57" s="52"/>
      <c r="D57" s="52"/>
      <c r="E57" s="52"/>
      <c r="F57" s="52"/>
      <c r="G57" s="52"/>
      <c r="H57" s="52"/>
      <c r="I57" s="52"/>
      <c r="J57" s="52"/>
      <c r="K57" s="52"/>
      <c r="L57" s="52"/>
      <c r="M57" s="53"/>
    </row>
    <row r="58" spans="1:13" ht="15.75" thickBot="1">
      <c r="A58" s="30"/>
      <c r="B58" s="19"/>
      <c r="C58" s="19"/>
      <c r="D58" s="19"/>
      <c r="E58" s="19"/>
      <c r="F58" s="19"/>
      <c r="G58" s="19"/>
      <c r="H58" s="19"/>
      <c r="I58" s="19"/>
      <c r="J58" s="19"/>
      <c r="K58" s="19"/>
      <c r="L58" s="19"/>
      <c r="M58" s="24"/>
    </row>
    <row r="59" spans="1:13" ht="26.25">
      <c r="A59" s="453" t="s">
        <v>97</v>
      </c>
      <c r="B59" s="454"/>
      <c r="C59" s="454"/>
      <c r="D59" s="454"/>
      <c r="E59" s="454"/>
      <c r="F59" s="454"/>
      <c r="G59" s="454"/>
      <c r="H59" s="221" t="s">
        <v>98</v>
      </c>
      <c r="I59" s="222" t="s">
        <v>99</v>
      </c>
      <c r="J59" s="222" t="s">
        <v>100</v>
      </c>
      <c r="K59" s="455" t="s">
        <v>84</v>
      </c>
      <c r="L59" s="455"/>
      <c r="M59" s="65" t="s">
        <v>85</v>
      </c>
    </row>
    <row r="60" spans="1:13">
      <c r="A60" s="471" t="s">
        <v>273</v>
      </c>
      <c r="B60" s="472"/>
      <c r="C60" s="472"/>
      <c r="D60" s="472"/>
      <c r="E60" s="472"/>
      <c r="F60" s="472"/>
      <c r="G60" s="472"/>
      <c r="H60" s="1">
        <v>144138.45454545453</v>
      </c>
      <c r="I60" s="2">
        <v>2.2000000000000002</v>
      </c>
      <c r="J60" s="66">
        <f>(I60*H60)</f>
        <v>317104.59999999998</v>
      </c>
      <c r="K60" s="473">
        <v>13.405144863066317</v>
      </c>
      <c r="L60" s="473"/>
      <c r="M60" s="56">
        <f>J60/K60</f>
        <v>23655.440000031816</v>
      </c>
    </row>
    <row r="61" spans="1:13">
      <c r="A61" s="471"/>
      <c r="B61" s="472"/>
      <c r="C61" s="472"/>
      <c r="D61" s="472"/>
      <c r="E61" s="472"/>
      <c r="F61" s="472"/>
      <c r="G61" s="472"/>
      <c r="H61" s="1"/>
      <c r="I61" s="2"/>
      <c r="J61" s="66"/>
      <c r="K61" s="473"/>
      <c r="L61" s="473"/>
      <c r="M61" s="56"/>
    </row>
    <row r="62" spans="1:13" ht="15.75" thickBot="1">
      <c r="A62" s="432"/>
      <c r="B62" s="433"/>
      <c r="C62" s="433"/>
      <c r="D62" s="433"/>
      <c r="E62" s="433"/>
      <c r="F62" s="433"/>
      <c r="G62" s="433"/>
      <c r="H62" s="3"/>
      <c r="I62" s="4"/>
      <c r="J62" s="67"/>
      <c r="K62" s="434"/>
      <c r="L62" s="434"/>
      <c r="M62" s="68"/>
    </row>
    <row r="63" spans="1:13" ht="15.75" thickBot="1">
      <c r="A63" s="435" t="s">
        <v>87</v>
      </c>
      <c r="B63" s="436"/>
      <c r="C63" s="436"/>
      <c r="D63" s="436"/>
      <c r="E63" s="436"/>
      <c r="F63" s="436"/>
      <c r="G63" s="436"/>
      <c r="H63" s="436"/>
      <c r="I63" s="436"/>
      <c r="J63" s="436"/>
      <c r="K63" s="436"/>
      <c r="L63" s="437"/>
      <c r="M63" s="69">
        <f>SUM(M60:M62)</f>
        <v>23655.440000031816</v>
      </c>
    </row>
    <row r="64" spans="1:13" ht="15.75" thickBot="1">
      <c r="A64" s="30"/>
      <c r="B64" s="19"/>
      <c r="C64" s="19"/>
      <c r="D64" s="19"/>
      <c r="E64" s="19"/>
      <c r="F64" s="19"/>
      <c r="G64" s="19"/>
      <c r="H64" s="19"/>
      <c r="I64" s="19"/>
      <c r="J64" s="19"/>
      <c r="K64" s="19"/>
      <c r="L64" s="19"/>
      <c r="M64" s="24"/>
    </row>
    <row r="65" spans="1:13" ht="15.75" thickBot="1">
      <c r="A65" s="416" t="s">
        <v>101</v>
      </c>
      <c r="B65" s="417"/>
      <c r="C65" s="417"/>
      <c r="D65" s="417"/>
      <c r="E65" s="417"/>
      <c r="F65" s="417"/>
      <c r="G65" s="417"/>
      <c r="H65" s="417"/>
      <c r="I65" s="417"/>
      <c r="J65" s="417"/>
      <c r="K65" s="417"/>
      <c r="L65" s="418"/>
      <c r="M65" s="70">
        <f>ROUND(M63+M55+M48+M34,0)</f>
        <v>78679</v>
      </c>
    </row>
    <row r="66" spans="1:13">
      <c r="A66" s="30"/>
      <c r="B66" s="19"/>
      <c r="C66" s="19"/>
      <c r="D66" s="19"/>
      <c r="E66" s="19"/>
      <c r="F66" s="19"/>
      <c r="G66" s="19"/>
      <c r="H66" s="19"/>
      <c r="I66" s="19"/>
      <c r="J66" s="19"/>
      <c r="K66" s="19"/>
      <c r="L66" s="19"/>
      <c r="M66" s="24"/>
    </row>
    <row r="67" spans="1:13">
      <c r="A67" s="51" t="s">
        <v>102</v>
      </c>
      <c r="B67" s="52"/>
      <c r="C67" s="52"/>
      <c r="D67" s="52"/>
      <c r="E67" s="52"/>
      <c r="F67" s="52"/>
      <c r="G67" s="52"/>
      <c r="H67" s="52"/>
      <c r="I67" s="52"/>
      <c r="J67" s="52"/>
      <c r="K67" s="52"/>
      <c r="L67" s="52"/>
      <c r="M67" s="53"/>
    </row>
    <row r="68" spans="1:13" ht="15.75" thickBot="1">
      <c r="A68" s="30"/>
      <c r="B68" s="19"/>
      <c r="C68" s="19"/>
      <c r="D68" s="19"/>
      <c r="E68" s="19"/>
      <c r="F68" s="19"/>
      <c r="G68" s="19"/>
      <c r="H68" s="19"/>
      <c r="I68" s="19"/>
      <c r="J68" s="19"/>
      <c r="K68" s="19"/>
      <c r="L68" s="19"/>
      <c r="M68" s="24"/>
    </row>
    <row r="69" spans="1:13" ht="15.75" thickBot="1">
      <c r="A69" s="438" t="s">
        <v>103</v>
      </c>
      <c r="B69" s="439"/>
      <c r="C69" s="439"/>
      <c r="D69" s="439"/>
      <c r="E69" s="439"/>
      <c r="F69" s="439"/>
      <c r="G69" s="439"/>
      <c r="H69" s="219"/>
      <c r="I69" s="220"/>
      <c r="J69" s="81" t="s">
        <v>104</v>
      </c>
      <c r="K69" s="440" t="s">
        <v>105</v>
      </c>
      <c r="L69" s="441"/>
      <c r="M69" s="82"/>
    </row>
    <row r="70" spans="1:13">
      <c r="A70" s="442" t="s">
        <v>106</v>
      </c>
      <c r="B70" s="443"/>
      <c r="C70" s="443"/>
      <c r="D70" s="443"/>
      <c r="E70" s="443"/>
      <c r="F70" s="443"/>
      <c r="G70" s="443"/>
      <c r="H70" s="83"/>
      <c r="I70" s="84"/>
      <c r="J70" s="85">
        <v>0.19</v>
      </c>
      <c r="K70" s="444">
        <f>M65*J70</f>
        <v>14949.01</v>
      </c>
      <c r="L70" s="444"/>
      <c r="M70" s="86"/>
    </row>
    <row r="71" spans="1:13">
      <c r="A71" s="447" t="s">
        <v>107</v>
      </c>
      <c r="B71" s="448"/>
      <c r="C71" s="448"/>
      <c r="D71" s="448"/>
      <c r="E71" s="448"/>
      <c r="F71" s="448"/>
      <c r="G71" s="449"/>
      <c r="H71" s="77"/>
      <c r="I71" s="78"/>
      <c r="J71" s="5">
        <v>0.01</v>
      </c>
      <c r="K71" s="445">
        <f>M65*J71</f>
        <v>786.79</v>
      </c>
      <c r="L71" s="445"/>
      <c r="M71" s="6"/>
    </row>
    <row r="72" spans="1:13">
      <c r="A72" s="447" t="s">
        <v>108</v>
      </c>
      <c r="B72" s="448"/>
      <c r="C72" s="448"/>
      <c r="D72" s="448"/>
      <c r="E72" s="448"/>
      <c r="F72" s="448"/>
      <c r="G72" s="449"/>
      <c r="H72" s="77"/>
      <c r="I72" s="78"/>
      <c r="J72" s="5">
        <v>0.05</v>
      </c>
      <c r="K72" s="445">
        <f>M65*J72</f>
        <v>3933.9500000000003</v>
      </c>
      <c r="L72" s="445"/>
      <c r="M72" s="6"/>
    </row>
    <row r="73" spans="1:13" ht="15.75" thickBot="1">
      <c r="A73" s="450" t="s">
        <v>117</v>
      </c>
      <c r="B73" s="451"/>
      <c r="C73" s="451"/>
      <c r="D73" s="451"/>
      <c r="E73" s="451"/>
      <c r="F73" s="451"/>
      <c r="G73" s="452"/>
      <c r="H73" s="87"/>
      <c r="I73" s="88"/>
      <c r="J73" s="89">
        <v>0.19</v>
      </c>
      <c r="K73" s="446">
        <f>K72*J73</f>
        <v>747.45050000000003</v>
      </c>
      <c r="L73" s="446"/>
      <c r="M73" s="90"/>
    </row>
    <row r="74" spans="1:13" ht="15.75" thickBot="1">
      <c r="A74" s="435" t="s">
        <v>87</v>
      </c>
      <c r="B74" s="436"/>
      <c r="C74" s="436"/>
      <c r="D74" s="436"/>
      <c r="E74" s="436"/>
      <c r="F74" s="436"/>
      <c r="G74" s="436"/>
      <c r="H74" s="436"/>
      <c r="I74" s="436"/>
      <c r="J74" s="436"/>
      <c r="K74" s="436"/>
      <c r="L74" s="437"/>
      <c r="M74" s="76">
        <f>SUM(K70:L73)</f>
        <v>20417.200499999999</v>
      </c>
    </row>
    <row r="75" spans="1:13" ht="15.75" thickBot="1">
      <c r="A75" s="30"/>
      <c r="B75" s="19"/>
      <c r="C75" s="19"/>
      <c r="D75" s="19"/>
      <c r="E75" s="19"/>
      <c r="F75" s="19"/>
      <c r="G75" s="19"/>
      <c r="H75" s="19"/>
      <c r="I75" s="19"/>
      <c r="J75" s="19"/>
      <c r="K75" s="19"/>
      <c r="L75" s="19"/>
      <c r="M75" s="24"/>
    </row>
    <row r="76" spans="1:13" ht="15.75" thickBot="1">
      <c r="A76" s="416" t="s">
        <v>109</v>
      </c>
      <c r="B76" s="417"/>
      <c r="C76" s="417"/>
      <c r="D76" s="417"/>
      <c r="E76" s="417"/>
      <c r="F76" s="417"/>
      <c r="G76" s="417"/>
      <c r="H76" s="417"/>
      <c r="I76" s="417"/>
      <c r="J76" s="417"/>
      <c r="K76" s="417"/>
      <c r="L76" s="418"/>
      <c r="M76" s="71">
        <f>ROUND(M65+M74,0)</f>
        <v>99096</v>
      </c>
    </row>
  </sheetData>
  <mergeCells count="8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41:H41"/>
    <mergeCell ref="K41:L41"/>
    <mergeCell ref="A42:H42"/>
    <mergeCell ref="K42:L42"/>
    <mergeCell ref="A43:H43"/>
    <mergeCell ref="K43:L43"/>
    <mergeCell ref="A53:G53"/>
    <mergeCell ref="K53:L53"/>
    <mergeCell ref="A44:H44"/>
    <mergeCell ref="K44:L44"/>
    <mergeCell ref="A45:H45"/>
    <mergeCell ref="K45:L45"/>
    <mergeCell ref="A46:H46"/>
    <mergeCell ref="K46:L46"/>
    <mergeCell ref="A47:H47"/>
    <mergeCell ref="K47:L47"/>
    <mergeCell ref="A48:L48"/>
    <mergeCell ref="A52:G52"/>
    <mergeCell ref="K52:L52"/>
    <mergeCell ref="A65:L65"/>
    <mergeCell ref="A54:G54"/>
    <mergeCell ref="K54:L54"/>
    <mergeCell ref="A55:L55"/>
    <mergeCell ref="A59:G59"/>
    <mergeCell ref="K59:L59"/>
    <mergeCell ref="A60:G60"/>
    <mergeCell ref="K60:L60"/>
    <mergeCell ref="A61:G61"/>
    <mergeCell ref="K61:L61"/>
    <mergeCell ref="A62:G62"/>
    <mergeCell ref="K62:L62"/>
    <mergeCell ref="A63:L63"/>
    <mergeCell ref="A76:L76"/>
    <mergeCell ref="A69:G69"/>
    <mergeCell ref="K69:L69"/>
    <mergeCell ref="A70:G70"/>
    <mergeCell ref="K70:L70"/>
    <mergeCell ref="A71:G71"/>
    <mergeCell ref="K71:L71"/>
    <mergeCell ref="A72:G72"/>
    <mergeCell ref="K72:L72"/>
    <mergeCell ref="A73:G73"/>
    <mergeCell ref="K73:L73"/>
    <mergeCell ref="A74:L74"/>
  </mergeCells>
  <pageMargins left="0.7" right="0.7" top="0.75" bottom="0.75" header="0.3" footer="0.3"/>
  <pageSetup scale="56"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5"/>
  <sheetViews>
    <sheetView view="pageBreakPreview" topLeftCell="A58" zoomScale="80" zoomScaleNormal="100" zoomScaleSheetLayoutView="80" workbookViewId="0">
      <selection activeCell="M64" sqref="M64"/>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9">
      <c r="A17" s="25"/>
      <c r="B17" s="26"/>
      <c r="C17" s="224"/>
      <c r="D17" s="224"/>
      <c r="E17" s="224"/>
      <c r="F17" s="224"/>
      <c r="G17" s="224"/>
      <c r="H17" s="224"/>
      <c r="I17" s="224"/>
      <c r="J17" s="224"/>
      <c r="K17" s="224"/>
      <c r="L17" s="224"/>
      <c r="M17" s="13"/>
    </row>
    <row r="18" spans="1:19">
      <c r="A18" s="25" t="s">
        <v>74</v>
      </c>
      <c r="B18" s="26"/>
      <c r="C18" s="379"/>
      <c r="D18" s="379"/>
      <c r="E18" s="379"/>
      <c r="F18" s="379"/>
      <c r="G18" s="379"/>
      <c r="H18" s="379"/>
      <c r="I18" s="379"/>
      <c r="J18" s="379"/>
      <c r="K18" s="379"/>
      <c r="L18" s="379"/>
      <c r="M18" s="380"/>
    </row>
    <row r="19" spans="1:19">
      <c r="A19" s="25"/>
      <c r="B19" s="26"/>
      <c r="C19" s="224"/>
      <c r="D19" s="224"/>
      <c r="E19" s="224"/>
      <c r="F19" s="224"/>
      <c r="G19" s="224"/>
      <c r="H19" s="224"/>
      <c r="I19" s="224"/>
      <c r="J19" s="224"/>
      <c r="K19" s="224"/>
      <c r="L19" s="224"/>
      <c r="M19" s="13"/>
    </row>
    <row r="20" spans="1:19" ht="31.5" customHeight="1">
      <c r="A20" s="464" t="s">
        <v>113</v>
      </c>
      <c r="B20" s="465"/>
      <c r="C20" s="379"/>
      <c r="D20" s="379"/>
      <c r="E20" s="379"/>
      <c r="F20" s="379"/>
      <c r="G20" s="379"/>
      <c r="H20" s="379"/>
      <c r="I20" s="379"/>
      <c r="J20" s="379"/>
      <c r="K20" s="379"/>
      <c r="L20" s="379"/>
      <c r="M20" s="380"/>
    </row>
    <row r="21" spans="1:19">
      <c r="A21" s="400"/>
      <c r="B21" s="401"/>
      <c r="C21" s="224"/>
      <c r="D21" s="224"/>
      <c r="E21" s="224"/>
      <c r="F21" s="224"/>
      <c r="G21" s="224"/>
      <c r="H21" s="224"/>
      <c r="I21" s="224"/>
      <c r="J21" s="224"/>
      <c r="K21" s="224"/>
      <c r="L21" s="22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c r="P24" s="250">
        <v>1</v>
      </c>
      <c r="Q24" s="248">
        <f>+[2]Insumos!$C$432</f>
        <v>3337.6666666666665</v>
      </c>
    </row>
    <row r="25" spans="1:19" ht="26.25">
      <c r="A25" s="31" t="s">
        <v>76</v>
      </c>
      <c r="B25" s="405" t="s">
        <v>77</v>
      </c>
      <c r="C25" s="406"/>
      <c r="D25" s="406"/>
      <c r="E25" s="406"/>
      <c r="F25" s="406"/>
      <c r="G25" s="406"/>
      <c r="H25" s="406"/>
      <c r="I25" s="407"/>
      <c r="J25" s="216" t="s">
        <v>78</v>
      </c>
      <c r="K25" s="408" t="s">
        <v>79</v>
      </c>
      <c r="L25" s="409"/>
      <c r="M25" s="31" t="s">
        <v>80</v>
      </c>
      <c r="P25" s="250">
        <v>2</v>
      </c>
      <c r="Q25" s="248">
        <f>+[2]Insumos!$C$278</f>
        <v>1459</v>
      </c>
    </row>
    <row r="26" spans="1:19" ht="47.25" customHeight="1" thickBot="1">
      <c r="A26" s="227"/>
      <c r="B26" s="505" t="s">
        <v>323</v>
      </c>
      <c r="C26" s="528"/>
      <c r="D26" s="528"/>
      <c r="E26" s="528"/>
      <c r="F26" s="528"/>
      <c r="G26" s="528"/>
      <c r="H26" s="528"/>
      <c r="I26" s="529"/>
      <c r="J26" s="226">
        <v>1</v>
      </c>
      <c r="K26" s="508" t="s">
        <v>8</v>
      </c>
      <c r="L26" s="507"/>
      <c r="M26" s="228"/>
      <c r="N26" s="230"/>
      <c r="P26" s="250">
        <v>1</v>
      </c>
      <c r="Q26" s="248">
        <f>+[2]Insumos!$C$279</f>
        <v>1459</v>
      </c>
    </row>
    <row r="27" spans="1:19">
      <c r="A27" s="30"/>
      <c r="B27" s="19"/>
      <c r="C27" s="19"/>
      <c r="D27" s="19"/>
      <c r="E27" s="19"/>
      <c r="F27" s="19"/>
      <c r="G27" s="19"/>
      <c r="H27" s="19"/>
      <c r="I27" s="19"/>
      <c r="J27" s="19"/>
      <c r="K27" s="19"/>
      <c r="L27" s="19"/>
      <c r="M27" s="24"/>
      <c r="P27" s="250">
        <v>1</v>
      </c>
      <c r="Q27" s="248">
        <f>+[2]Insumos!$C$281</f>
        <v>1459</v>
      </c>
    </row>
    <row r="28" spans="1:19">
      <c r="A28" s="36" t="s">
        <v>81</v>
      </c>
      <c r="B28" s="37"/>
      <c r="C28" s="37"/>
      <c r="D28" s="37"/>
      <c r="E28" s="37"/>
      <c r="F28" s="37"/>
      <c r="G28" s="37"/>
      <c r="H28" s="37"/>
      <c r="I28" s="37"/>
      <c r="J28" s="37"/>
      <c r="K28" s="37"/>
      <c r="L28" s="37"/>
      <c r="M28" s="38"/>
      <c r="P28" s="250">
        <v>1</v>
      </c>
      <c r="Q28" s="248">
        <f>+[2]Insumos!$C$163</f>
        <v>1060</v>
      </c>
    </row>
    <row r="29" spans="1:19" ht="15.75" thickBot="1">
      <c r="A29" s="39"/>
      <c r="B29" s="40"/>
      <c r="C29" s="40"/>
      <c r="D29" s="40"/>
      <c r="E29" s="40"/>
      <c r="F29" s="40"/>
      <c r="G29" s="40"/>
      <c r="H29" s="41"/>
      <c r="I29" s="41"/>
      <c r="J29" s="40"/>
      <c r="K29" s="40"/>
      <c r="L29" s="40"/>
      <c r="M29" s="42"/>
      <c r="P29" s="252">
        <v>1.4E-3</v>
      </c>
      <c r="Q29" s="248">
        <f>+[2]Insumos!$C$356</f>
        <v>24700</v>
      </c>
    </row>
    <row r="30" spans="1:19">
      <c r="A30" s="408" t="s">
        <v>77</v>
      </c>
      <c r="B30" s="419"/>
      <c r="C30" s="419"/>
      <c r="D30" s="419"/>
      <c r="E30" s="420"/>
      <c r="F30" s="421" t="s">
        <v>79</v>
      </c>
      <c r="G30" s="419"/>
      <c r="H30" s="422" t="s">
        <v>82</v>
      </c>
      <c r="I30" s="423"/>
      <c r="J30" s="221" t="s">
        <v>83</v>
      </c>
      <c r="K30" s="421" t="s">
        <v>84</v>
      </c>
      <c r="L30" s="424"/>
      <c r="M30" s="44" t="s">
        <v>85</v>
      </c>
      <c r="P30" s="252">
        <v>6.9999999999999999E-4</v>
      </c>
      <c r="Q30" s="248">
        <f>+[2]Insumos!$C$392</f>
        <v>17596.89</v>
      </c>
    </row>
    <row r="31" spans="1:19" ht="15.75" thickBot="1">
      <c r="A31" s="425"/>
      <c r="B31" s="426"/>
      <c r="C31" s="426"/>
      <c r="D31" s="426"/>
      <c r="E31" s="427"/>
      <c r="F31" s="428"/>
      <c r="G31" s="429"/>
      <c r="H31" s="430"/>
      <c r="I31" s="427"/>
      <c r="J31" s="72"/>
      <c r="K31" s="428"/>
      <c r="L31" s="429"/>
      <c r="M31" s="231">
        <f>J31*K31</f>
        <v>0</v>
      </c>
      <c r="N31" s="489"/>
      <c r="O31" s="490"/>
      <c r="P31" s="252">
        <v>2.0000000000000001E-4</v>
      </c>
      <c r="Q31" s="248">
        <f>+[2]Insumos!$C$8</f>
        <v>4480</v>
      </c>
      <c r="R31" s="97"/>
      <c r="S31" s="98"/>
    </row>
    <row r="32" spans="1:19">
      <c r="A32" s="425"/>
      <c r="B32" s="426"/>
      <c r="C32" s="426"/>
      <c r="D32" s="426"/>
      <c r="E32" s="427"/>
      <c r="F32" s="428"/>
      <c r="G32" s="429"/>
      <c r="H32" s="430"/>
      <c r="I32" s="427"/>
      <c r="J32" s="72"/>
      <c r="K32" s="428"/>
      <c r="L32" s="429"/>
      <c r="M32" s="209">
        <f>J32*K32</f>
        <v>0</v>
      </c>
    </row>
    <row r="33" spans="1:26" ht="15.75" thickBot="1">
      <c r="A33" s="410"/>
      <c r="B33" s="411"/>
      <c r="C33" s="411"/>
      <c r="D33" s="411"/>
      <c r="E33" s="412"/>
      <c r="F33" s="414"/>
      <c r="G33" s="415"/>
      <c r="H33" s="413"/>
      <c r="I33" s="412"/>
      <c r="J33" s="91"/>
      <c r="K33" s="414"/>
      <c r="L33" s="415"/>
      <c r="M33" s="46"/>
    </row>
    <row r="34" spans="1:26" ht="15.75" thickBot="1">
      <c r="A34" s="416" t="s">
        <v>87</v>
      </c>
      <c r="B34" s="417"/>
      <c r="C34" s="417"/>
      <c r="D34" s="417"/>
      <c r="E34" s="417"/>
      <c r="F34" s="417"/>
      <c r="G34" s="417"/>
      <c r="H34" s="417"/>
      <c r="I34" s="417"/>
      <c r="J34" s="417"/>
      <c r="K34" s="417"/>
      <c r="L34" s="418"/>
      <c r="M34" s="232">
        <f>SUM(M31:M33)</f>
        <v>0</v>
      </c>
    </row>
    <row r="35" spans="1:26">
      <c r="A35" s="50"/>
      <c r="B35" s="19"/>
      <c r="C35" s="19"/>
      <c r="D35" s="19"/>
      <c r="E35" s="19"/>
      <c r="F35" s="19"/>
      <c r="G35" s="19"/>
      <c r="H35" s="19"/>
      <c r="I35" s="19"/>
      <c r="J35" s="19"/>
      <c r="K35" s="19"/>
      <c r="L35" s="19"/>
      <c r="M35" s="24"/>
    </row>
    <row r="36" spans="1:26">
      <c r="A36" s="51" t="s">
        <v>88</v>
      </c>
      <c r="B36" s="52"/>
      <c r="C36" s="52"/>
      <c r="D36" s="52"/>
      <c r="E36" s="52"/>
      <c r="F36" s="52"/>
      <c r="G36" s="52"/>
      <c r="H36" s="52"/>
      <c r="I36" s="52"/>
      <c r="J36" s="52"/>
      <c r="K36" s="52"/>
      <c r="L36" s="52"/>
      <c r="M36" s="53"/>
    </row>
    <row r="37" spans="1:26" ht="15.75" thickBot="1">
      <c r="A37" s="14"/>
      <c r="B37" s="15"/>
      <c r="C37" s="15"/>
      <c r="D37" s="15"/>
      <c r="E37" s="15"/>
      <c r="F37" s="15"/>
      <c r="G37" s="15"/>
      <c r="H37" s="15"/>
      <c r="I37" s="19"/>
      <c r="J37" s="19"/>
      <c r="K37" s="19"/>
      <c r="L37" s="19"/>
      <c r="M37" s="24"/>
    </row>
    <row r="38" spans="1:26" ht="15.75" thickBot="1">
      <c r="A38" s="408" t="s">
        <v>77</v>
      </c>
      <c r="B38" s="431"/>
      <c r="C38" s="431"/>
      <c r="D38" s="431"/>
      <c r="E38" s="431"/>
      <c r="F38" s="431"/>
      <c r="G38" s="431"/>
      <c r="H38" s="424"/>
      <c r="I38" s="217" t="s">
        <v>79</v>
      </c>
      <c r="J38" s="221" t="s">
        <v>80</v>
      </c>
      <c r="K38" s="421" t="s">
        <v>89</v>
      </c>
      <c r="L38" s="424"/>
      <c r="M38" s="44" t="s">
        <v>85</v>
      </c>
    </row>
    <row r="39" spans="1:26" ht="15" customHeight="1">
      <c r="A39" s="484" t="s">
        <v>319</v>
      </c>
      <c r="B39" s="485"/>
      <c r="C39" s="485"/>
      <c r="D39" s="485"/>
      <c r="E39" s="485"/>
      <c r="F39" s="485"/>
      <c r="G39" s="485"/>
      <c r="H39" s="486"/>
      <c r="I39" s="73" t="s">
        <v>8</v>
      </c>
      <c r="J39" s="92">
        <v>1</v>
      </c>
      <c r="K39" s="533">
        <v>3337.67</v>
      </c>
      <c r="L39" s="534"/>
      <c r="M39" s="56">
        <f>K39*J39</f>
        <v>3337.67</v>
      </c>
      <c r="N39" s="244"/>
      <c r="O39" s="530"/>
      <c r="P39" s="531"/>
      <c r="Q39" s="531"/>
      <c r="R39" s="531"/>
      <c r="S39" s="531"/>
      <c r="T39" s="531"/>
      <c r="U39" s="531"/>
      <c r="V39" s="532"/>
      <c r="W39" s="247"/>
      <c r="X39" s="248"/>
      <c r="Y39" s="248"/>
      <c r="Z39" s="249"/>
    </row>
    <row r="40" spans="1:26" ht="15" customHeight="1">
      <c r="A40" s="484" t="s">
        <v>303</v>
      </c>
      <c r="B40" s="485"/>
      <c r="C40" s="485"/>
      <c r="D40" s="485"/>
      <c r="E40" s="485"/>
      <c r="F40" s="485"/>
      <c r="G40" s="485"/>
      <c r="H40" s="486"/>
      <c r="I40" s="73" t="s">
        <v>8</v>
      </c>
      <c r="J40" s="93">
        <v>2</v>
      </c>
      <c r="K40" s="533">
        <v>1459</v>
      </c>
      <c r="L40" s="534"/>
      <c r="M40" s="56">
        <f t="shared" ref="M40:M46" si="0">K40*J40</f>
        <v>2918</v>
      </c>
      <c r="N40" s="245"/>
      <c r="O40" s="530"/>
      <c r="P40" s="531"/>
      <c r="Q40" s="531"/>
      <c r="R40" s="531"/>
      <c r="S40" s="531"/>
      <c r="T40" s="531"/>
      <c r="U40" s="531"/>
      <c r="V40" s="532"/>
      <c r="W40" s="247"/>
      <c r="X40" s="250"/>
      <c r="Y40" s="248"/>
      <c r="Z40" s="251"/>
    </row>
    <row r="41" spans="1:26" ht="15" customHeight="1">
      <c r="A41" s="484" t="s">
        <v>304</v>
      </c>
      <c r="B41" s="485"/>
      <c r="C41" s="485"/>
      <c r="D41" s="485"/>
      <c r="E41" s="485"/>
      <c r="F41" s="485"/>
      <c r="G41" s="485"/>
      <c r="H41" s="486"/>
      <c r="I41" s="73" t="s">
        <v>8</v>
      </c>
      <c r="J41" s="242">
        <v>1</v>
      </c>
      <c r="K41" s="533">
        <v>1459</v>
      </c>
      <c r="L41" s="534"/>
      <c r="M41" s="56">
        <f t="shared" si="0"/>
        <v>1459</v>
      </c>
      <c r="N41" s="245"/>
      <c r="O41" s="530"/>
      <c r="P41" s="531"/>
      <c r="Q41" s="531"/>
      <c r="R41" s="531"/>
      <c r="S41" s="531"/>
      <c r="T41" s="531"/>
      <c r="U41" s="531"/>
      <c r="V41" s="532"/>
      <c r="W41" s="247"/>
      <c r="X41" s="250"/>
      <c r="Y41" s="248"/>
      <c r="Z41" s="251"/>
    </row>
    <row r="42" spans="1:26" ht="15" customHeight="1">
      <c r="A42" s="484" t="s">
        <v>311</v>
      </c>
      <c r="B42" s="485"/>
      <c r="C42" s="485"/>
      <c r="D42" s="485"/>
      <c r="E42" s="485"/>
      <c r="F42" s="485"/>
      <c r="G42" s="485"/>
      <c r="H42" s="486"/>
      <c r="I42" s="73" t="s">
        <v>8</v>
      </c>
      <c r="J42" s="242">
        <v>1</v>
      </c>
      <c r="K42" s="533">
        <v>1459</v>
      </c>
      <c r="L42" s="534"/>
      <c r="M42" s="56">
        <f t="shared" si="0"/>
        <v>1459</v>
      </c>
      <c r="N42" s="245"/>
      <c r="O42" s="253"/>
      <c r="P42" s="254"/>
      <c r="Q42" s="254"/>
      <c r="R42" s="254"/>
      <c r="S42" s="254"/>
      <c r="T42" s="254"/>
      <c r="U42" s="254"/>
      <c r="V42" s="255"/>
      <c r="W42" s="247"/>
      <c r="X42" s="250"/>
      <c r="Y42" s="248"/>
      <c r="Z42" s="251"/>
    </row>
    <row r="43" spans="1:26">
      <c r="A43" s="425" t="s">
        <v>320</v>
      </c>
      <c r="B43" s="426"/>
      <c r="C43" s="426"/>
      <c r="D43" s="426"/>
      <c r="E43" s="426"/>
      <c r="F43" s="426"/>
      <c r="G43" s="426"/>
      <c r="H43" s="427"/>
      <c r="I43" s="73" t="s">
        <v>11</v>
      </c>
      <c r="J43" s="212">
        <v>1</v>
      </c>
      <c r="K43" s="533">
        <v>1060</v>
      </c>
      <c r="L43" s="534"/>
      <c r="M43" s="56">
        <f t="shared" si="0"/>
        <v>1060</v>
      </c>
      <c r="N43" s="245"/>
      <c r="O43" s="530"/>
      <c r="P43" s="531"/>
      <c r="Q43" s="531"/>
      <c r="R43" s="531"/>
      <c r="S43" s="531"/>
      <c r="T43" s="531"/>
      <c r="U43" s="531"/>
      <c r="V43" s="532"/>
      <c r="W43" s="247"/>
      <c r="X43" s="250"/>
      <c r="Y43" s="248"/>
      <c r="Z43" s="251"/>
    </row>
    <row r="44" spans="1:26">
      <c r="A44" s="425" t="s">
        <v>307</v>
      </c>
      <c r="B44" s="426"/>
      <c r="C44" s="426"/>
      <c r="D44" s="426"/>
      <c r="E44" s="426"/>
      <c r="F44" s="426"/>
      <c r="G44" s="426"/>
      <c r="H44" s="427"/>
      <c r="I44" s="73" t="s">
        <v>11</v>
      </c>
      <c r="J44" s="256">
        <v>1.4E-3</v>
      </c>
      <c r="K44" s="533">
        <v>24700</v>
      </c>
      <c r="L44" s="534"/>
      <c r="M44" s="56">
        <f t="shared" si="0"/>
        <v>34.58</v>
      </c>
      <c r="N44" s="245"/>
      <c r="O44" s="530"/>
      <c r="P44" s="531"/>
      <c r="Q44" s="531"/>
      <c r="R44" s="531"/>
      <c r="S44" s="531"/>
      <c r="T44" s="531"/>
      <c r="U44" s="531"/>
      <c r="V44" s="532"/>
      <c r="W44" s="247"/>
      <c r="X44" s="250"/>
      <c r="Y44" s="248"/>
      <c r="Z44" s="251"/>
    </row>
    <row r="45" spans="1:26">
      <c r="A45" s="425" t="s">
        <v>308</v>
      </c>
      <c r="B45" s="426"/>
      <c r="C45" s="426"/>
      <c r="D45" s="426"/>
      <c r="E45" s="426"/>
      <c r="F45" s="426"/>
      <c r="G45" s="426"/>
      <c r="H45" s="427"/>
      <c r="I45" s="73" t="s">
        <v>11</v>
      </c>
      <c r="J45" s="256">
        <v>6.9999999999999999E-4</v>
      </c>
      <c r="K45" s="533">
        <v>17596</v>
      </c>
      <c r="L45" s="534"/>
      <c r="M45" s="56">
        <f t="shared" si="0"/>
        <v>12.3172</v>
      </c>
      <c r="N45" s="245"/>
      <c r="O45" s="530"/>
      <c r="P45" s="531"/>
      <c r="Q45" s="531"/>
      <c r="R45" s="531"/>
      <c r="S45" s="531"/>
      <c r="T45" s="531"/>
      <c r="U45" s="531"/>
      <c r="V45" s="532"/>
      <c r="W45" s="247"/>
      <c r="X45" s="252"/>
      <c r="Y45" s="248"/>
      <c r="Z45" s="251"/>
    </row>
    <row r="46" spans="1:26" ht="15.75" thickBot="1">
      <c r="A46" s="425" t="s">
        <v>309</v>
      </c>
      <c r="B46" s="426"/>
      <c r="C46" s="426"/>
      <c r="D46" s="426"/>
      <c r="E46" s="426"/>
      <c r="F46" s="426"/>
      <c r="G46" s="426"/>
      <c r="H46" s="427"/>
      <c r="I46" s="73" t="s">
        <v>25</v>
      </c>
      <c r="J46" s="256">
        <v>2.0000000000000001E-4</v>
      </c>
      <c r="K46" s="533">
        <v>4480</v>
      </c>
      <c r="L46" s="534"/>
      <c r="M46" s="56">
        <f t="shared" si="0"/>
        <v>0.89600000000000002</v>
      </c>
      <c r="N46" s="245"/>
      <c r="O46" s="530"/>
      <c r="P46" s="531"/>
      <c r="Q46" s="531"/>
      <c r="R46" s="531"/>
      <c r="S46" s="531"/>
      <c r="T46" s="531"/>
      <c r="U46" s="531"/>
      <c r="V46" s="532"/>
      <c r="W46" s="247"/>
      <c r="X46" s="252"/>
      <c r="Y46" s="248"/>
      <c r="Z46" s="251"/>
    </row>
    <row r="47" spans="1:26" ht="15.75" thickBot="1">
      <c r="A47" s="416" t="s">
        <v>87</v>
      </c>
      <c r="B47" s="417"/>
      <c r="C47" s="417"/>
      <c r="D47" s="417"/>
      <c r="E47" s="417"/>
      <c r="F47" s="417"/>
      <c r="G47" s="417"/>
      <c r="H47" s="417"/>
      <c r="I47" s="417"/>
      <c r="J47" s="417"/>
      <c r="K47" s="417"/>
      <c r="L47" s="418"/>
      <c r="M47" s="58">
        <f>SUM(M39:M46)</f>
        <v>10281.4632</v>
      </c>
      <c r="N47" s="246"/>
      <c r="O47" s="530"/>
      <c r="P47" s="531"/>
      <c r="Q47" s="531"/>
      <c r="R47" s="531"/>
      <c r="S47" s="531"/>
      <c r="T47" s="531"/>
      <c r="U47" s="531"/>
      <c r="V47" s="532"/>
      <c r="W47" s="247"/>
      <c r="X47" s="250"/>
      <c r="Y47" s="248"/>
      <c r="Z47" s="251"/>
    </row>
    <row r="48" spans="1:26">
      <c r="A48" s="30"/>
      <c r="B48" s="19"/>
      <c r="C48" s="19"/>
      <c r="D48" s="19"/>
      <c r="E48" s="19"/>
      <c r="F48" s="19"/>
      <c r="G48" s="19"/>
      <c r="H48" s="19"/>
      <c r="I48" s="19"/>
      <c r="J48" s="19"/>
      <c r="K48" s="19"/>
      <c r="L48" s="19"/>
      <c r="M48" s="24"/>
    </row>
    <row r="49" spans="1:14">
      <c r="A49" s="51" t="s">
        <v>90</v>
      </c>
      <c r="B49" s="52"/>
      <c r="C49" s="52"/>
      <c r="D49" s="52"/>
      <c r="E49" s="52"/>
      <c r="F49" s="52"/>
      <c r="G49" s="52"/>
      <c r="H49" s="52"/>
      <c r="I49" s="52"/>
      <c r="J49" s="52"/>
      <c r="K49" s="52"/>
      <c r="L49" s="52"/>
      <c r="M49" s="53"/>
    </row>
    <row r="50" spans="1:14" ht="15.75" thickBot="1">
      <c r="A50" s="30"/>
      <c r="B50" s="19"/>
      <c r="C50" s="19"/>
      <c r="D50" s="19"/>
      <c r="E50" s="19"/>
      <c r="F50" s="19"/>
      <c r="G50" s="19"/>
      <c r="H50" s="19"/>
      <c r="I50" s="19"/>
      <c r="J50" s="19"/>
      <c r="K50" s="19"/>
      <c r="L50" s="19"/>
      <c r="M50" s="24"/>
    </row>
    <row r="51" spans="1:14">
      <c r="A51" s="408" t="s">
        <v>91</v>
      </c>
      <c r="B51" s="431"/>
      <c r="C51" s="431"/>
      <c r="D51" s="431"/>
      <c r="E51" s="431"/>
      <c r="F51" s="431"/>
      <c r="G51" s="431"/>
      <c r="H51" s="221" t="s">
        <v>92</v>
      </c>
      <c r="I51" s="218" t="s">
        <v>93</v>
      </c>
      <c r="J51" s="60" t="s">
        <v>94</v>
      </c>
      <c r="K51" s="421" t="s">
        <v>95</v>
      </c>
      <c r="L51" s="424"/>
      <c r="M51" s="44" t="s">
        <v>85</v>
      </c>
    </row>
    <row r="52" spans="1:14">
      <c r="A52" s="425"/>
      <c r="B52" s="426"/>
      <c r="C52" s="426"/>
      <c r="D52" s="426"/>
      <c r="E52" s="426"/>
      <c r="F52" s="426"/>
      <c r="G52" s="426"/>
      <c r="H52" s="61"/>
      <c r="I52" s="55"/>
      <c r="J52" s="61"/>
      <c r="K52" s="428"/>
      <c r="L52" s="429"/>
    </row>
    <row r="53" spans="1:14" ht="15.75" thickBot="1">
      <c r="A53" s="410"/>
      <c r="B53" s="411"/>
      <c r="C53" s="411"/>
      <c r="D53" s="411"/>
      <c r="E53" s="411"/>
      <c r="F53" s="411"/>
      <c r="G53" s="411"/>
      <c r="H53" s="47"/>
      <c r="I53" s="15"/>
      <c r="J53" s="47"/>
      <c r="K53" s="414"/>
      <c r="L53" s="415"/>
      <c r="M53" s="62"/>
    </row>
    <row r="54" spans="1:14" ht="15.75" thickBot="1">
      <c r="A54" s="416" t="s">
        <v>87</v>
      </c>
      <c r="B54" s="417"/>
      <c r="C54" s="417"/>
      <c r="D54" s="417"/>
      <c r="E54" s="417"/>
      <c r="F54" s="417"/>
      <c r="G54" s="417"/>
      <c r="H54" s="417"/>
      <c r="I54" s="417"/>
      <c r="J54" s="417"/>
      <c r="K54" s="417"/>
      <c r="L54" s="418"/>
      <c r="M54" s="63">
        <f>SUM(M53:M53)</f>
        <v>0</v>
      </c>
    </row>
    <row r="55" spans="1:14">
      <c r="A55" s="30"/>
      <c r="B55" s="19"/>
      <c r="C55" s="19"/>
      <c r="D55" s="19"/>
      <c r="E55" s="19"/>
      <c r="F55" s="19"/>
      <c r="G55" s="19"/>
      <c r="H55" s="19"/>
      <c r="I55" s="19"/>
      <c r="J55" s="19"/>
      <c r="K55" s="19"/>
      <c r="L55" s="19"/>
      <c r="M55" s="24"/>
    </row>
    <row r="56" spans="1:14">
      <c r="A56" s="51" t="s">
        <v>96</v>
      </c>
      <c r="B56" s="52"/>
      <c r="C56" s="52"/>
      <c r="D56" s="52"/>
      <c r="E56" s="52"/>
      <c r="F56" s="52"/>
      <c r="G56" s="52"/>
      <c r="H56" s="52"/>
      <c r="I56" s="52"/>
      <c r="J56" s="52"/>
      <c r="K56" s="52"/>
      <c r="L56" s="52"/>
      <c r="M56" s="53"/>
    </row>
    <row r="57" spans="1:14" ht="15.75" thickBot="1">
      <c r="A57" s="30"/>
      <c r="B57" s="19"/>
      <c r="C57" s="19"/>
      <c r="D57" s="19"/>
      <c r="E57" s="19"/>
      <c r="F57" s="19"/>
      <c r="G57" s="19"/>
      <c r="H57" s="19"/>
      <c r="I57" s="19"/>
      <c r="J57" s="19"/>
      <c r="K57" s="19"/>
      <c r="L57" s="19"/>
      <c r="M57" s="24"/>
    </row>
    <row r="58" spans="1:14" ht="26.25">
      <c r="A58" s="453" t="s">
        <v>97</v>
      </c>
      <c r="B58" s="454"/>
      <c r="C58" s="454"/>
      <c r="D58" s="454"/>
      <c r="E58" s="454"/>
      <c r="F58" s="454"/>
      <c r="G58" s="454"/>
      <c r="H58" s="221" t="s">
        <v>98</v>
      </c>
      <c r="I58" s="222" t="s">
        <v>99</v>
      </c>
      <c r="J58" s="222" t="s">
        <v>100</v>
      </c>
      <c r="K58" s="455" t="s">
        <v>84</v>
      </c>
      <c r="L58" s="455"/>
      <c r="M58" s="65" t="s">
        <v>85</v>
      </c>
    </row>
    <row r="59" spans="1:14">
      <c r="A59" s="471" t="s">
        <v>243</v>
      </c>
      <c r="B59" s="472"/>
      <c r="C59" s="472"/>
      <c r="D59" s="472"/>
      <c r="E59" s="472"/>
      <c r="F59" s="472"/>
      <c r="G59" s="472"/>
      <c r="H59" s="1">
        <v>109738.14166566246</v>
      </c>
      <c r="I59" s="2">
        <v>2.2000000000000002</v>
      </c>
      <c r="J59" s="66">
        <f>(I59*H59)</f>
        <v>241423.91166445744</v>
      </c>
      <c r="K59" s="473">
        <v>35</v>
      </c>
      <c r="L59" s="473"/>
      <c r="M59" s="56">
        <f>J59/K59</f>
        <v>6897.8260475559264</v>
      </c>
    </row>
    <row r="60" spans="1:14">
      <c r="A60" s="471"/>
      <c r="B60" s="472"/>
      <c r="C60" s="472"/>
      <c r="D60" s="472"/>
      <c r="E60" s="472"/>
      <c r="F60" s="472"/>
      <c r="G60" s="472"/>
      <c r="H60" s="1"/>
      <c r="I60" s="2"/>
      <c r="J60" s="66"/>
      <c r="K60" s="473"/>
      <c r="L60" s="473"/>
      <c r="M60" s="56"/>
    </row>
    <row r="61" spans="1:14" ht="15.75" thickBot="1">
      <c r="A61" s="432"/>
      <c r="B61" s="433"/>
      <c r="C61" s="433"/>
      <c r="D61" s="433"/>
      <c r="E61" s="433"/>
      <c r="F61" s="433"/>
      <c r="G61" s="433"/>
      <c r="H61" s="3"/>
      <c r="I61" s="4"/>
      <c r="J61" s="67"/>
      <c r="K61" s="434"/>
      <c r="L61" s="434"/>
      <c r="M61" s="68"/>
    </row>
    <row r="62" spans="1:14" ht="15.75" thickBot="1">
      <c r="A62" s="435" t="s">
        <v>87</v>
      </c>
      <c r="B62" s="436"/>
      <c r="C62" s="436"/>
      <c r="D62" s="436"/>
      <c r="E62" s="436"/>
      <c r="F62" s="436"/>
      <c r="G62" s="436"/>
      <c r="H62" s="436"/>
      <c r="I62" s="436"/>
      <c r="J62" s="436"/>
      <c r="K62" s="436"/>
      <c r="L62" s="437"/>
      <c r="M62" s="69">
        <f>SUM(M59:M61)</f>
        <v>6897.8260475559264</v>
      </c>
    </row>
    <row r="63" spans="1:14" ht="15.75" thickBot="1">
      <c r="A63" s="30"/>
      <c r="B63" s="19"/>
      <c r="C63" s="19"/>
      <c r="D63" s="19"/>
      <c r="E63" s="19"/>
      <c r="F63" s="19"/>
      <c r="G63" s="19"/>
      <c r="H63" s="19"/>
      <c r="I63" s="19"/>
      <c r="J63" s="19"/>
      <c r="K63" s="19"/>
      <c r="L63" s="19"/>
      <c r="M63" s="24"/>
    </row>
    <row r="64" spans="1:14" ht="15.75" thickBot="1">
      <c r="A64" s="416" t="s">
        <v>101</v>
      </c>
      <c r="B64" s="417"/>
      <c r="C64" s="417"/>
      <c r="D64" s="417"/>
      <c r="E64" s="417"/>
      <c r="F64" s="417"/>
      <c r="G64" s="417"/>
      <c r="H64" s="417"/>
      <c r="I64" s="417"/>
      <c r="J64" s="417"/>
      <c r="K64" s="417"/>
      <c r="L64" s="418"/>
      <c r="M64" s="70">
        <f>ROUND(M62+M54+M47+M34,0)</f>
        <v>17179</v>
      </c>
      <c r="N64" s="155"/>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219"/>
      <c r="I68" s="220"/>
      <c r="J68" s="81" t="s">
        <v>104</v>
      </c>
      <c r="K68" s="440" t="s">
        <v>105</v>
      </c>
      <c r="L68" s="441"/>
      <c r="M68" s="82"/>
    </row>
    <row r="69" spans="1:13">
      <c r="A69" s="442" t="s">
        <v>106</v>
      </c>
      <c r="B69" s="443"/>
      <c r="C69" s="443"/>
      <c r="D69" s="443"/>
      <c r="E69" s="443"/>
      <c r="F69" s="443"/>
      <c r="G69" s="443"/>
      <c r="H69" s="83"/>
      <c r="I69" s="84"/>
      <c r="J69" s="85">
        <v>0.19</v>
      </c>
      <c r="K69" s="444">
        <f>M64*J69</f>
        <v>3264.01</v>
      </c>
      <c r="L69" s="444"/>
      <c r="M69" s="86"/>
    </row>
    <row r="70" spans="1:13">
      <c r="A70" s="447" t="s">
        <v>107</v>
      </c>
      <c r="B70" s="448"/>
      <c r="C70" s="448"/>
      <c r="D70" s="448"/>
      <c r="E70" s="448"/>
      <c r="F70" s="448"/>
      <c r="G70" s="449"/>
      <c r="H70" s="77"/>
      <c r="I70" s="78"/>
      <c r="J70" s="5">
        <v>0.01</v>
      </c>
      <c r="K70" s="445">
        <f>M64*J70</f>
        <v>171.79</v>
      </c>
      <c r="L70" s="445"/>
      <c r="M70" s="6"/>
    </row>
    <row r="71" spans="1:13">
      <c r="A71" s="447" t="s">
        <v>108</v>
      </c>
      <c r="B71" s="448"/>
      <c r="C71" s="448"/>
      <c r="D71" s="448"/>
      <c r="E71" s="448"/>
      <c r="F71" s="448"/>
      <c r="G71" s="449"/>
      <c r="H71" s="77"/>
      <c r="I71" s="78"/>
      <c r="J71" s="5">
        <v>0.05</v>
      </c>
      <c r="K71" s="445">
        <f>M64*J71</f>
        <v>858.95</v>
      </c>
      <c r="L71" s="445"/>
      <c r="M71" s="6"/>
    </row>
    <row r="72" spans="1:13" ht="15.75" thickBot="1">
      <c r="A72" s="450" t="s">
        <v>117</v>
      </c>
      <c r="B72" s="451"/>
      <c r="C72" s="451"/>
      <c r="D72" s="451"/>
      <c r="E72" s="451"/>
      <c r="F72" s="451"/>
      <c r="G72" s="452"/>
      <c r="H72" s="87"/>
      <c r="I72" s="88"/>
      <c r="J72" s="89">
        <v>0.19</v>
      </c>
      <c r="K72" s="446">
        <f>K71*J72</f>
        <v>163.20050000000001</v>
      </c>
      <c r="L72" s="446"/>
      <c r="M72" s="90"/>
    </row>
    <row r="73" spans="1:13" ht="15.75" thickBot="1">
      <c r="A73" s="435" t="s">
        <v>87</v>
      </c>
      <c r="B73" s="436"/>
      <c r="C73" s="436"/>
      <c r="D73" s="436"/>
      <c r="E73" s="436"/>
      <c r="F73" s="436"/>
      <c r="G73" s="436"/>
      <c r="H73" s="436"/>
      <c r="I73" s="436"/>
      <c r="J73" s="436"/>
      <c r="K73" s="436"/>
      <c r="L73" s="437"/>
      <c r="M73" s="76">
        <f>SUM(K69:L72)</f>
        <v>4457.9504999999999</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21637</v>
      </c>
    </row>
  </sheetData>
  <mergeCells count="94">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O39:V39"/>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40:H40"/>
    <mergeCell ref="K40:L40"/>
    <mergeCell ref="O40:V40"/>
    <mergeCell ref="A41:H41"/>
    <mergeCell ref="K41:L41"/>
    <mergeCell ref="O41:V41"/>
    <mergeCell ref="A42:H42"/>
    <mergeCell ref="K42:L42"/>
    <mergeCell ref="A43:H43"/>
    <mergeCell ref="K43:L43"/>
    <mergeCell ref="O43:V43"/>
    <mergeCell ref="A46:H46"/>
    <mergeCell ref="K46:L46"/>
    <mergeCell ref="O46:V46"/>
    <mergeCell ref="A44:H44"/>
    <mergeCell ref="K44:L44"/>
    <mergeCell ref="O44:V44"/>
    <mergeCell ref="A45:H45"/>
    <mergeCell ref="K45:L45"/>
    <mergeCell ref="O45:V45"/>
    <mergeCell ref="A47:L47"/>
    <mergeCell ref="O47:V47"/>
    <mergeCell ref="A51:G51"/>
    <mergeCell ref="K51:L51"/>
    <mergeCell ref="A52:G52"/>
    <mergeCell ref="K52:L52"/>
    <mergeCell ref="A64:L64"/>
    <mergeCell ref="A53:G53"/>
    <mergeCell ref="K53:L53"/>
    <mergeCell ref="A54:L54"/>
    <mergeCell ref="A58:G58"/>
    <mergeCell ref="K58:L58"/>
    <mergeCell ref="A59:G59"/>
    <mergeCell ref="K59:L59"/>
    <mergeCell ref="A60:G60"/>
    <mergeCell ref="K60:L60"/>
    <mergeCell ref="A61:G61"/>
    <mergeCell ref="K61:L61"/>
    <mergeCell ref="A62:L62"/>
    <mergeCell ref="A75:L75"/>
    <mergeCell ref="A68:G68"/>
    <mergeCell ref="K68:L68"/>
    <mergeCell ref="A69:G69"/>
    <mergeCell ref="K69:L69"/>
    <mergeCell ref="A70:G70"/>
    <mergeCell ref="K70:L70"/>
    <mergeCell ref="A71:G71"/>
    <mergeCell ref="K71:L71"/>
    <mergeCell ref="A72:G72"/>
    <mergeCell ref="K72:L72"/>
    <mergeCell ref="A73:L73"/>
  </mergeCells>
  <pageMargins left="0.7" right="0.7" top="0.75" bottom="0.75" header="0.3" footer="0.3"/>
  <pageSetup scale="56"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5"/>
  <sheetViews>
    <sheetView view="pageBreakPreview" topLeftCell="A37" zoomScale="50" zoomScaleNormal="100" zoomScaleSheetLayoutView="50" workbookViewId="0">
      <selection activeCell="M65" sqref="M65"/>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340"/>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341"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351"/>
      <c r="D15" s="351"/>
      <c r="E15" s="351"/>
      <c r="F15" s="351"/>
      <c r="G15" s="351"/>
      <c r="H15" s="351"/>
      <c r="I15" s="351"/>
      <c r="J15" s="351"/>
      <c r="K15" s="351"/>
      <c r="L15" s="351"/>
      <c r="M15" s="352"/>
    </row>
    <row r="16" spans="1:13">
      <c r="A16" s="25" t="s">
        <v>73</v>
      </c>
      <c r="B16" s="26"/>
      <c r="C16" s="379"/>
      <c r="D16" s="379"/>
      <c r="E16" s="379"/>
      <c r="F16" s="379"/>
      <c r="G16" s="379"/>
      <c r="H16" s="379"/>
      <c r="I16" s="379"/>
      <c r="J16" s="379"/>
      <c r="K16" s="379"/>
      <c r="L16" s="379"/>
      <c r="M16" s="380"/>
    </row>
    <row r="17" spans="1:19">
      <c r="A17" s="25"/>
      <c r="B17" s="26"/>
      <c r="C17" s="341"/>
      <c r="D17" s="341"/>
      <c r="E17" s="341"/>
      <c r="F17" s="341"/>
      <c r="G17" s="341"/>
      <c r="H17" s="341"/>
      <c r="I17" s="341"/>
      <c r="J17" s="341"/>
      <c r="K17" s="341"/>
      <c r="L17" s="341"/>
      <c r="M17" s="13"/>
    </row>
    <row r="18" spans="1:19">
      <c r="A18" s="25" t="s">
        <v>74</v>
      </c>
      <c r="B18" s="26"/>
      <c r="C18" s="379"/>
      <c r="D18" s="379"/>
      <c r="E18" s="379"/>
      <c r="F18" s="379"/>
      <c r="G18" s="379"/>
      <c r="H18" s="379"/>
      <c r="I18" s="379"/>
      <c r="J18" s="379"/>
      <c r="K18" s="379"/>
      <c r="L18" s="379"/>
      <c r="M18" s="380"/>
    </row>
    <row r="19" spans="1:19">
      <c r="A19" s="25"/>
      <c r="B19" s="26"/>
      <c r="C19" s="341"/>
      <c r="D19" s="341"/>
      <c r="E19" s="341"/>
      <c r="F19" s="341"/>
      <c r="G19" s="341"/>
      <c r="H19" s="341"/>
      <c r="I19" s="341"/>
      <c r="J19" s="341"/>
      <c r="K19" s="341"/>
      <c r="L19" s="341"/>
      <c r="M19" s="13"/>
    </row>
    <row r="20" spans="1:19" ht="31.5" customHeight="1">
      <c r="A20" s="464" t="s">
        <v>113</v>
      </c>
      <c r="B20" s="465"/>
      <c r="C20" s="379"/>
      <c r="D20" s="379"/>
      <c r="E20" s="379"/>
      <c r="F20" s="379"/>
      <c r="G20" s="379"/>
      <c r="H20" s="379"/>
      <c r="I20" s="379"/>
      <c r="J20" s="379"/>
      <c r="K20" s="379"/>
      <c r="L20" s="379"/>
      <c r="M20" s="380"/>
    </row>
    <row r="21" spans="1:19">
      <c r="A21" s="400"/>
      <c r="B21" s="401"/>
      <c r="C21" s="341"/>
      <c r="D21" s="341"/>
      <c r="E21" s="341"/>
      <c r="F21" s="341"/>
      <c r="G21" s="341"/>
      <c r="H21" s="341"/>
      <c r="I21" s="341"/>
      <c r="J21" s="341"/>
      <c r="K21" s="341"/>
      <c r="L21" s="341"/>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c r="P24" s="250"/>
      <c r="Q24" s="248"/>
    </row>
    <row r="25" spans="1:19" ht="26.25">
      <c r="A25" s="31" t="s">
        <v>76</v>
      </c>
      <c r="B25" s="405" t="s">
        <v>77</v>
      </c>
      <c r="C25" s="406"/>
      <c r="D25" s="406"/>
      <c r="E25" s="406"/>
      <c r="F25" s="406"/>
      <c r="G25" s="406"/>
      <c r="H25" s="406"/>
      <c r="I25" s="407"/>
      <c r="J25" s="346" t="s">
        <v>78</v>
      </c>
      <c r="K25" s="408" t="s">
        <v>79</v>
      </c>
      <c r="L25" s="409"/>
      <c r="M25" s="31" t="s">
        <v>80</v>
      </c>
      <c r="P25" s="250"/>
      <c r="Q25" s="248"/>
    </row>
    <row r="26" spans="1:19" ht="47.25" customHeight="1" thickBot="1">
      <c r="A26" s="227">
        <v>7.1</v>
      </c>
      <c r="B26" s="505" t="s">
        <v>442</v>
      </c>
      <c r="C26" s="528"/>
      <c r="D26" s="528"/>
      <c r="E26" s="528"/>
      <c r="F26" s="528"/>
      <c r="G26" s="528"/>
      <c r="H26" s="528"/>
      <c r="I26" s="529"/>
      <c r="J26" s="347">
        <v>1</v>
      </c>
      <c r="K26" s="508" t="s">
        <v>8</v>
      </c>
      <c r="L26" s="507"/>
      <c r="M26" s="228"/>
      <c r="N26" s="230"/>
      <c r="P26" s="250"/>
      <c r="Q26" s="248"/>
    </row>
    <row r="27" spans="1:19">
      <c r="A27" s="30"/>
      <c r="B27" s="367"/>
      <c r="C27" s="367"/>
      <c r="D27" s="367"/>
      <c r="E27" s="367"/>
      <c r="F27" s="367"/>
      <c r="G27" s="367"/>
      <c r="H27" s="367"/>
      <c r="I27" s="367"/>
      <c r="J27" s="367"/>
      <c r="K27" s="367"/>
      <c r="L27" s="367"/>
      <c r="M27" s="24"/>
      <c r="P27" s="250"/>
      <c r="Q27" s="248"/>
    </row>
    <row r="28" spans="1:19">
      <c r="A28" s="36" t="s">
        <v>81</v>
      </c>
      <c r="B28" s="37"/>
      <c r="C28" s="37"/>
      <c r="D28" s="37"/>
      <c r="E28" s="37"/>
      <c r="F28" s="37"/>
      <c r="G28" s="37"/>
      <c r="H28" s="37"/>
      <c r="I28" s="37"/>
      <c r="J28" s="37"/>
      <c r="K28" s="37"/>
      <c r="L28" s="37"/>
      <c r="M28" s="38"/>
      <c r="P28" s="250"/>
      <c r="Q28" s="248"/>
    </row>
    <row r="29" spans="1:19" ht="15.75" thickBot="1">
      <c r="A29" s="50"/>
      <c r="B29" s="367"/>
      <c r="C29" s="367"/>
      <c r="D29" s="367"/>
      <c r="E29" s="367"/>
      <c r="F29" s="367"/>
      <c r="G29" s="367"/>
      <c r="H29" s="15"/>
      <c r="I29" s="15"/>
      <c r="J29" s="367"/>
      <c r="K29" s="367"/>
      <c r="L29" s="367"/>
      <c r="M29" s="24"/>
      <c r="P29" s="252"/>
      <c r="Q29" s="248"/>
    </row>
    <row r="30" spans="1:19">
      <c r="A30" s="408" t="s">
        <v>77</v>
      </c>
      <c r="B30" s="419"/>
      <c r="C30" s="419"/>
      <c r="D30" s="419"/>
      <c r="E30" s="420"/>
      <c r="F30" s="421" t="s">
        <v>79</v>
      </c>
      <c r="G30" s="419"/>
      <c r="H30" s="422" t="s">
        <v>82</v>
      </c>
      <c r="I30" s="423"/>
      <c r="J30" s="338" t="s">
        <v>83</v>
      </c>
      <c r="K30" s="421" t="s">
        <v>84</v>
      </c>
      <c r="L30" s="424"/>
      <c r="M30" s="44" t="s">
        <v>85</v>
      </c>
      <c r="P30" s="252"/>
      <c r="Q30" s="248"/>
    </row>
    <row r="31" spans="1:19" ht="15.75" thickBot="1">
      <c r="A31" s="539" t="s">
        <v>124</v>
      </c>
      <c r="B31" s="540"/>
      <c r="C31" s="540"/>
      <c r="D31" s="540"/>
      <c r="E31" s="541"/>
      <c r="F31" s="428" t="s">
        <v>125</v>
      </c>
      <c r="G31" s="429"/>
      <c r="H31" s="542" t="s">
        <v>86</v>
      </c>
      <c r="I31" s="541"/>
      <c r="J31" s="72">
        <v>600</v>
      </c>
      <c r="K31" s="428">
        <v>1</v>
      </c>
      <c r="L31" s="429"/>
      <c r="M31" s="231">
        <f>J31*K31</f>
        <v>600</v>
      </c>
      <c r="N31" s="489"/>
      <c r="O31" s="490"/>
      <c r="P31" s="252"/>
      <c r="Q31" s="248"/>
      <c r="R31" s="97"/>
      <c r="S31" s="98"/>
    </row>
    <row r="32" spans="1:19">
      <c r="A32" s="539"/>
      <c r="B32" s="540"/>
      <c r="C32" s="540"/>
      <c r="D32" s="540"/>
      <c r="E32" s="541"/>
      <c r="F32" s="428"/>
      <c r="G32" s="429"/>
      <c r="H32" s="542"/>
      <c r="I32" s="541"/>
      <c r="J32" s="72"/>
      <c r="K32" s="428"/>
      <c r="L32" s="429"/>
      <c r="M32" s="209">
        <f>J32*K32</f>
        <v>0</v>
      </c>
    </row>
    <row r="33" spans="1:26" ht="15.75" thickBot="1">
      <c r="A33" s="543"/>
      <c r="B33" s="544"/>
      <c r="C33" s="544"/>
      <c r="D33" s="544"/>
      <c r="E33" s="545"/>
      <c r="F33" s="414"/>
      <c r="G33" s="415"/>
      <c r="H33" s="546"/>
      <c r="I33" s="545"/>
      <c r="J33" s="91"/>
      <c r="K33" s="414"/>
      <c r="L33" s="415"/>
      <c r="M33" s="46"/>
    </row>
    <row r="34" spans="1:26" ht="15.75" thickBot="1">
      <c r="A34" s="416" t="s">
        <v>87</v>
      </c>
      <c r="B34" s="417"/>
      <c r="C34" s="417"/>
      <c r="D34" s="417"/>
      <c r="E34" s="417"/>
      <c r="F34" s="417"/>
      <c r="G34" s="417"/>
      <c r="H34" s="417"/>
      <c r="I34" s="417"/>
      <c r="J34" s="417"/>
      <c r="K34" s="417"/>
      <c r="L34" s="418"/>
      <c r="M34" s="232">
        <f>SUM(M31:M33)</f>
        <v>600</v>
      </c>
    </row>
    <row r="35" spans="1:26">
      <c r="A35" s="50"/>
      <c r="B35" s="367"/>
      <c r="C35" s="367"/>
      <c r="D35" s="367"/>
      <c r="E35" s="367"/>
      <c r="F35" s="367"/>
      <c r="G35" s="367"/>
      <c r="H35" s="367"/>
      <c r="I35" s="367"/>
      <c r="J35" s="367"/>
      <c r="K35" s="367"/>
      <c r="L35" s="367"/>
      <c r="M35" s="24"/>
    </row>
    <row r="36" spans="1:26">
      <c r="A36" s="51" t="s">
        <v>88</v>
      </c>
      <c r="B36" s="52"/>
      <c r="C36" s="52"/>
      <c r="D36" s="52"/>
      <c r="E36" s="52"/>
      <c r="F36" s="52"/>
      <c r="G36" s="52"/>
      <c r="H36" s="52"/>
      <c r="I36" s="52"/>
      <c r="J36" s="52"/>
      <c r="K36" s="52"/>
      <c r="L36" s="52"/>
      <c r="M36" s="53"/>
    </row>
    <row r="37" spans="1:26" ht="15.75" thickBot="1">
      <c r="A37" s="14"/>
      <c r="B37" s="15"/>
      <c r="C37" s="15"/>
      <c r="D37" s="15"/>
      <c r="E37" s="15"/>
      <c r="F37" s="15"/>
      <c r="G37" s="15"/>
      <c r="H37" s="15"/>
      <c r="I37" s="367"/>
      <c r="J37" s="367"/>
      <c r="K37" s="367"/>
      <c r="L37" s="367"/>
      <c r="M37" s="24"/>
    </row>
    <row r="38" spans="1:26" ht="15.75" thickBot="1">
      <c r="A38" s="408" t="s">
        <v>77</v>
      </c>
      <c r="B38" s="431"/>
      <c r="C38" s="431"/>
      <c r="D38" s="431"/>
      <c r="E38" s="431"/>
      <c r="F38" s="431"/>
      <c r="G38" s="431"/>
      <c r="H38" s="424"/>
      <c r="I38" s="345" t="s">
        <v>79</v>
      </c>
      <c r="J38" s="338" t="s">
        <v>80</v>
      </c>
      <c r="K38" s="421" t="s">
        <v>89</v>
      </c>
      <c r="L38" s="424"/>
      <c r="M38" s="44" t="s">
        <v>85</v>
      </c>
    </row>
    <row r="39" spans="1:26" ht="15" customHeight="1">
      <c r="A39" s="484" t="s">
        <v>442</v>
      </c>
      <c r="B39" s="485"/>
      <c r="C39" s="485"/>
      <c r="D39" s="485"/>
      <c r="E39" s="485"/>
      <c r="F39" s="485"/>
      <c r="G39" s="485"/>
      <c r="H39" s="486"/>
      <c r="I39" s="73" t="s">
        <v>8</v>
      </c>
      <c r="J39" s="92">
        <v>1</v>
      </c>
      <c r="K39" s="547">
        <v>26663</v>
      </c>
      <c r="L39" s="548"/>
      <c r="M39" s="56">
        <f>K39*J39</f>
        <v>26663</v>
      </c>
      <c r="N39" s="244"/>
      <c r="O39" s="530"/>
      <c r="P39" s="531"/>
      <c r="Q39" s="531"/>
      <c r="R39" s="531"/>
      <c r="S39" s="531"/>
      <c r="T39" s="531"/>
      <c r="U39" s="531"/>
      <c r="V39" s="532"/>
      <c r="W39" s="247"/>
      <c r="X39" s="248"/>
      <c r="Y39" s="248"/>
      <c r="Z39" s="249"/>
    </row>
    <row r="40" spans="1:26" ht="15" customHeight="1">
      <c r="A40" s="484"/>
      <c r="B40" s="485"/>
      <c r="C40" s="485"/>
      <c r="D40" s="485"/>
      <c r="E40" s="485"/>
      <c r="F40" s="485"/>
      <c r="G40" s="485"/>
      <c r="H40" s="486"/>
      <c r="I40" s="73"/>
      <c r="J40" s="93"/>
      <c r="K40" s="547"/>
      <c r="L40" s="548"/>
      <c r="M40" s="56">
        <f t="shared" ref="M40:M46" si="0">K40*J40</f>
        <v>0</v>
      </c>
      <c r="N40" s="245"/>
      <c r="O40" s="530"/>
      <c r="P40" s="531"/>
      <c r="Q40" s="531"/>
      <c r="R40" s="531"/>
      <c r="S40" s="531"/>
      <c r="T40" s="531"/>
      <c r="U40" s="531"/>
      <c r="V40" s="532"/>
      <c r="W40" s="247"/>
      <c r="X40" s="250"/>
      <c r="Y40" s="248"/>
      <c r="Z40" s="251"/>
    </row>
    <row r="41" spans="1:26" ht="15" customHeight="1">
      <c r="A41" s="484"/>
      <c r="B41" s="485"/>
      <c r="C41" s="485"/>
      <c r="D41" s="485"/>
      <c r="E41" s="485"/>
      <c r="F41" s="485"/>
      <c r="G41" s="485"/>
      <c r="H41" s="486"/>
      <c r="I41" s="73"/>
      <c r="J41" s="242"/>
      <c r="K41" s="547"/>
      <c r="L41" s="548"/>
      <c r="M41" s="56">
        <f t="shared" si="0"/>
        <v>0</v>
      </c>
      <c r="N41" s="245"/>
      <c r="O41" s="530"/>
      <c r="P41" s="531"/>
      <c r="Q41" s="531"/>
      <c r="R41" s="531"/>
      <c r="S41" s="531"/>
      <c r="T41" s="531"/>
      <c r="U41" s="531"/>
      <c r="V41" s="532"/>
      <c r="W41" s="247"/>
      <c r="X41" s="250"/>
      <c r="Y41" s="248"/>
      <c r="Z41" s="251"/>
    </row>
    <row r="42" spans="1:26" ht="15" customHeight="1">
      <c r="A42" s="484"/>
      <c r="B42" s="485"/>
      <c r="C42" s="485"/>
      <c r="D42" s="485"/>
      <c r="E42" s="485"/>
      <c r="F42" s="485"/>
      <c r="G42" s="485"/>
      <c r="H42" s="486"/>
      <c r="I42" s="73"/>
      <c r="J42" s="242"/>
      <c r="K42" s="547"/>
      <c r="L42" s="548"/>
      <c r="M42" s="56">
        <f t="shared" si="0"/>
        <v>0</v>
      </c>
      <c r="N42" s="245"/>
      <c r="O42" s="348"/>
      <c r="P42" s="349"/>
      <c r="Q42" s="349"/>
      <c r="R42" s="349"/>
      <c r="S42" s="349"/>
      <c r="T42" s="349"/>
      <c r="U42" s="349"/>
      <c r="V42" s="350"/>
      <c r="W42" s="247"/>
      <c r="X42" s="250"/>
      <c r="Y42" s="248"/>
      <c r="Z42" s="251"/>
    </row>
    <row r="43" spans="1:26">
      <c r="A43" s="539"/>
      <c r="B43" s="540"/>
      <c r="C43" s="540"/>
      <c r="D43" s="540"/>
      <c r="E43" s="540"/>
      <c r="F43" s="540"/>
      <c r="G43" s="540"/>
      <c r="H43" s="541"/>
      <c r="I43" s="73"/>
      <c r="J43" s="212"/>
      <c r="K43" s="547"/>
      <c r="L43" s="548"/>
      <c r="M43" s="56">
        <f t="shared" si="0"/>
        <v>0</v>
      </c>
      <c r="N43" s="245"/>
      <c r="O43" s="530"/>
      <c r="P43" s="531"/>
      <c r="Q43" s="531"/>
      <c r="R43" s="531"/>
      <c r="S43" s="531"/>
      <c r="T43" s="531"/>
      <c r="U43" s="531"/>
      <c r="V43" s="532"/>
      <c r="W43" s="247"/>
      <c r="X43" s="250"/>
      <c r="Y43" s="248"/>
      <c r="Z43" s="251"/>
    </row>
    <row r="44" spans="1:26">
      <c r="A44" s="539"/>
      <c r="B44" s="540"/>
      <c r="C44" s="540"/>
      <c r="D44" s="540"/>
      <c r="E44" s="540"/>
      <c r="F44" s="540"/>
      <c r="G44" s="540"/>
      <c r="H44" s="541"/>
      <c r="I44" s="73"/>
      <c r="J44" s="256"/>
      <c r="K44" s="547"/>
      <c r="L44" s="548"/>
      <c r="M44" s="56">
        <f t="shared" si="0"/>
        <v>0</v>
      </c>
      <c r="N44" s="245"/>
      <c r="O44" s="530"/>
      <c r="P44" s="531"/>
      <c r="Q44" s="531"/>
      <c r="R44" s="531"/>
      <c r="S44" s="531"/>
      <c r="T44" s="531"/>
      <c r="U44" s="531"/>
      <c r="V44" s="532"/>
      <c r="W44" s="247"/>
      <c r="X44" s="250"/>
      <c r="Y44" s="248"/>
      <c r="Z44" s="251"/>
    </row>
    <row r="45" spans="1:26">
      <c r="A45" s="539"/>
      <c r="B45" s="540"/>
      <c r="C45" s="540"/>
      <c r="D45" s="540"/>
      <c r="E45" s="540"/>
      <c r="F45" s="540"/>
      <c r="G45" s="540"/>
      <c r="H45" s="541"/>
      <c r="I45" s="73"/>
      <c r="J45" s="256"/>
      <c r="K45" s="547"/>
      <c r="L45" s="548"/>
      <c r="M45" s="56">
        <f t="shared" si="0"/>
        <v>0</v>
      </c>
      <c r="N45" s="245"/>
      <c r="O45" s="530"/>
      <c r="P45" s="531"/>
      <c r="Q45" s="531"/>
      <c r="R45" s="531"/>
      <c r="S45" s="531"/>
      <c r="T45" s="531"/>
      <c r="U45" s="531"/>
      <c r="V45" s="532"/>
      <c r="W45" s="247"/>
      <c r="X45" s="252"/>
      <c r="Y45" s="248"/>
      <c r="Z45" s="251"/>
    </row>
    <row r="46" spans="1:26" ht="15.75" thickBot="1">
      <c r="A46" s="539"/>
      <c r="B46" s="540"/>
      <c r="C46" s="540"/>
      <c r="D46" s="540"/>
      <c r="E46" s="540"/>
      <c r="F46" s="540"/>
      <c r="G46" s="540"/>
      <c r="H46" s="541"/>
      <c r="I46" s="73"/>
      <c r="J46" s="256"/>
      <c r="K46" s="547"/>
      <c r="L46" s="548"/>
      <c r="M46" s="56">
        <f t="shared" si="0"/>
        <v>0</v>
      </c>
      <c r="N46" s="245"/>
      <c r="O46" s="530"/>
      <c r="P46" s="531"/>
      <c r="Q46" s="531"/>
      <c r="R46" s="531"/>
      <c r="S46" s="531"/>
      <c r="T46" s="531"/>
      <c r="U46" s="531"/>
      <c r="V46" s="532"/>
      <c r="W46" s="247"/>
      <c r="X46" s="252"/>
      <c r="Y46" s="248"/>
      <c r="Z46" s="251"/>
    </row>
    <row r="47" spans="1:26" ht="15.75" thickBot="1">
      <c r="A47" s="416" t="s">
        <v>87</v>
      </c>
      <c r="B47" s="417"/>
      <c r="C47" s="417"/>
      <c r="D47" s="417"/>
      <c r="E47" s="417"/>
      <c r="F47" s="417"/>
      <c r="G47" s="417"/>
      <c r="H47" s="417"/>
      <c r="I47" s="417"/>
      <c r="J47" s="417"/>
      <c r="K47" s="417"/>
      <c r="L47" s="418"/>
      <c r="M47" s="58">
        <f>SUM(M39:M46)</f>
        <v>26663</v>
      </c>
      <c r="N47" s="246"/>
      <c r="O47" s="530"/>
      <c r="P47" s="531"/>
      <c r="Q47" s="531"/>
      <c r="R47" s="531"/>
      <c r="S47" s="531"/>
      <c r="T47" s="531"/>
      <c r="U47" s="531"/>
      <c r="V47" s="532"/>
      <c r="W47" s="247"/>
      <c r="X47" s="250"/>
      <c r="Y47" s="248"/>
      <c r="Z47" s="251"/>
    </row>
    <row r="48" spans="1:26">
      <c r="A48" s="30"/>
      <c r="B48" s="367"/>
      <c r="C48" s="367"/>
      <c r="D48" s="367"/>
      <c r="E48" s="367"/>
      <c r="F48" s="367"/>
      <c r="G48" s="367"/>
      <c r="H48" s="367"/>
      <c r="I48" s="367"/>
      <c r="J48" s="367"/>
      <c r="K48" s="367"/>
      <c r="L48" s="367"/>
      <c r="M48" s="24"/>
    </row>
    <row r="49" spans="1:14">
      <c r="A49" s="51" t="s">
        <v>90</v>
      </c>
      <c r="B49" s="52"/>
      <c r="C49" s="52"/>
      <c r="D49" s="52"/>
      <c r="E49" s="52"/>
      <c r="F49" s="52"/>
      <c r="G49" s="52"/>
      <c r="H49" s="52"/>
      <c r="I49" s="52"/>
      <c r="J49" s="52"/>
      <c r="K49" s="52"/>
      <c r="L49" s="52"/>
      <c r="M49" s="53"/>
    </row>
    <row r="50" spans="1:14" ht="15.75" thickBot="1">
      <c r="A50" s="30"/>
      <c r="B50" s="367"/>
      <c r="C50" s="367"/>
      <c r="D50" s="367"/>
      <c r="E50" s="367"/>
      <c r="F50" s="367"/>
      <c r="G50" s="367"/>
      <c r="H50" s="367"/>
      <c r="I50" s="367"/>
      <c r="J50" s="367"/>
      <c r="K50" s="367"/>
      <c r="L50" s="367"/>
      <c r="M50" s="24"/>
    </row>
    <row r="51" spans="1:14">
      <c r="A51" s="408" t="s">
        <v>91</v>
      </c>
      <c r="B51" s="431"/>
      <c r="C51" s="431"/>
      <c r="D51" s="431"/>
      <c r="E51" s="431"/>
      <c r="F51" s="431"/>
      <c r="G51" s="431"/>
      <c r="H51" s="338" t="s">
        <v>92</v>
      </c>
      <c r="I51" s="344" t="s">
        <v>93</v>
      </c>
      <c r="J51" s="369" t="s">
        <v>94</v>
      </c>
      <c r="K51" s="421" t="s">
        <v>95</v>
      </c>
      <c r="L51" s="424"/>
      <c r="M51" s="44" t="s">
        <v>85</v>
      </c>
    </row>
    <row r="52" spans="1:14">
      <c r="A52" s="539"/>
      <c r="B52" s="540"/>
      <c r="C52" s="540"/>
      <c r="D52" s="540"/>
      <c r="E52" s="540"/>
      <c r="F52" s="540"/>
      <c r="G52" s="540"/>
      <c r="H52" s="61"/>
      <c r="I52" s="55"/>
      <c r="J52" s="61"/>
      <c r="K52" s="428"/>
      <c r="L52" s="429"/>
    </row>
    <row r="53" spans="1:14" ht="15.75" thickBot="1">
      <c r="A53" s="543"/>
      <c r="B53" s="544"/>
      <c r="C53" s="544"/>
      <c r="D53" s="544"/>
      <c r="E53" s="544"/>
      <c r="F53" s="544"/>
      <c r="G53" s="544"/>
      <c r="H53" s="47"/>
      <c r="I53" s="15"/>
      <c r="J53" s="47"/>
      <c r="K53" s="414"/>
      <c r="L53" s="415"/>
      <c r="M53" s="62"/>
    </row>
    <row r="54" spans="1:14" ht="15.75" thickBot="1">
      <c r="A54" s="416" t="s">
        <v>87</v>
      </c>
      <c r="B54" s="417"/>
      <c r="C54" s="417"/>
      <c r="D54" s="417"/>
      <c r="E54" s="417"/>
      <c r="F54" s="417"/>
      <c r="G54" s="417"/>
      <c r="H54" s="417"/>
      <c r="I54" s="417"/>
      <c r="J54" s="417"/>
      <c r="K54" s="417"/>
      <c r="L54" s="418"/>
      <c r="M54" s="63">
        <f>SUM(M53:M53)</f>
        <v>0</v>
      </c>
    </row>
    <row r="55" spans="1:14">
      <c r="A55" s="30"/>
      <c r="B55" s="367"/>
      <c r="C55" s="367"/>
      <c r="D55" s="367"/>
      <c r="E55" s="367"/>
      <c r="F55" s="367"/>
      <c r="G55" s="367"/>
      <c r="H55" s="367"/>
      <c r="I55" s="367"/>
      <c r="J55" s="367"/>
      <c r="K55" s="367"/>
      <c r="L55" s="367"/>
      <c r="M55" s="24"/>
    </row>
    <row r="56" spans="1:14">
      <c r="A56" s="51" t="s">
        <v>96</v>
      </c>
      <c r="B56" s="52"/>
      <c r="C56" s="52"/>
      <c r="D56" s="52"/>
      <c r="E56" s="52"/>
      <c r="F56" s="52"/>
      <c r="G56" s="52"/>
      <c r="H56" s="52"/>
      <c r="I56" s="52"/>
      <c r="J56" s="52"/>
      <c r="K56" s="52"/>
      <c r="L56" s="52"/>
      <c r="M56" s="53"/>
    </row>
    <row r="57" spans="1:14" ht="15.75" thickBot="1">
      <c r="A57" s="30"/>
      <c r="B57" s="367"/>
      <c r="C57" s="367"/>
      <c r="D57" s="367"/>
      <c r="E57" s="367"/>
      <c r="F57" s="367"/>
      <c r="G57" s="367"/>
      <c r="H57" s="367"/>
      <c r="I57" s="367"/>
      <c r="J57" s="367"/>
      <c r="K57" s="367"/>
      <c r="L57" s="367"/>
      <c r="M57" s="24"/>
    </row>
    <row r="58" spans="1:14" ht="26.25">
      <c r="A58" s="453" t="s">
        <v>97</v>
      </c>
      <c r="B58" s="454"/>
      <c r="C58" s="454"/>
      <c r="D58" s="454"/>
      <c r="E58" s="454"/>
      <c r="F58" s="454"/>
      <c r="G58" s="454"/>
      <c r="H58" s="338" t="s">
        <v>98</v>
      </c>
      <c r="I58" s="339" t="s">
        <v>99</v>
      </c>
      <c r="J58" s="339" t="s">
        <v>100</v>
      </c>
      <c r="K58" s="455" t="s">
        <v>84</v>
      </c>
      <c r="L58" s="455"/>
      <c r="M58" s="65" t="s">
        <v>85</v>
      </c>
    </row>
    <row r="59" spans="1:14">
      <c r="A59" s="549" t="s">
        <v>243</v>
      </c>
      <c r="B59" s="550"/>
      <c r="C59" s="550"/>
      <c r="D59" s="550"/>
      <c r="E59" s="550"/>
      <c r="F59" s="550"/>
      <c r="G59" s="550"/>
      <c r="H59" s="1">
        <v>109738.14166566246</v>
      </c>
      <c r="I59" s="2">
        <v>2.2000000000000002</v>
      </c>
      <c r="J59" s="66">
        <f>(I59*H59)</f>
        <v>241423.91166445744</v>
      </c>
      <c r="K59" s="473">
        <v>35</v>
      </c>
      <c r="L59" s="473"/>
      <c r="M59" s="56">
        <f>J59/K59</f>
        <v>6897.8260475559264</v>
      </c>
    </row>
    <row r="60" spans="1:14">
      <c r="A60" s="549"/>
      <c r="B60" s="550"/>
      <c r="C60" s="550"/>
      <c r="D60" s="550"/>
      <c r="E60" s="550"/>
      <c r="F60" s="550"/>
      <c r="G60" s="550"/>
      <c r="H60" s="1"/>
      <c r="I60" s="2"/>
      <c r="J60" s="66"/>
      <c r="K60" s="473"/>
      <c r="L60" s="473"/>
      <c r="M60" s="56"/>
    </row>
    <row r="61" spans="1:14" ht="15.75" thickBot="1">
      <c r="A61" s="551"/>
      <c r="B61" s="552"/>
      <c r="C61" s="552"/>
      <c r="D61" s="552"/>
      <c r="E61" s="552"/>
      <c r="F61" s="552"/>
      <c r="G61" s="552"/>
      <c r="H61" s="3"/>
      <c r="I61" s="4"/>
      <c r="J61" s="67"/>
      <c r="K61" s="434"/>
      <c r="L61" s="434"/>
      <c r="M61" s="68"/>
    </row>
    <row r="62" spans="1:14" ht="15.75" thickBot="1">
      <c r="A62" s="435" t="s">
        <v>87</v>
      </c>
      <c r="B62" s="436"/>
      <c r="C62" s="436"/>
      <c r="D62" s="436"/>
      <c r="E62" s="436"/>
      <c r="F62" s="436"/>
      <c r="G62" s="436"/>
      <c r="H62" s="436"/>
      <c r="I62" s="436"/>
      <c r="J62" s="436"/>
      <c r="K62" s="436"/>
      <c r="L62" s="437"/>
      <c r="M62" s="69">
        <f>ROUND(SUM(M59:M61),0)</f>
        <v>6898</v>
      </c>
    </row>
    <row r="63" spans="1:14" ht="15.75" thickBot="1">
      <c r="A63" s="30"/>
      <c r="B63" s="367"/>
      <c r="C63" s="367"/>
      <c r="D63" s="367"/>
      <c r="E63" s="367"/>
      <c r="F63" s="367"/>
      <c r="G63" s="367"/>
      <c r="H63" s="367"/>
      <c r="I63" s="367"/>
      <c r="J63" s="367"/>
      <c r="K63" s="367"/>
      <c r="L63" s="367"/>
      <c r="M63" s="24"/>
    </row>
    <row r="64" spans="1:14" ht="15.75" thickBot="1">
      <c r="A64" s="416" t="s">
        <v>101</v>
      </c>
      <c r="B64" s="417"/>
      <c r="C64" s="417"/>
      <c r="D64" s="417"/>
      <c r="E64" s="417"/>
      <c r="F64" s="417"/>
      <c r="G64" s="417"/>
      <c r="H64" s="417"/>
      <c r="I64" s="417"/>
      <c r="J64" s="417"/>
      <c r="K64" s="417"/>
      <c r="L64" s="418"/>
      <c r="M64" s="70">
        <f>ROUND(M62+M54+M47+M34,0)</f>
        <v>34161</v>
      </c>
      <c r="N64" s="155"/>
    </row>
    <row r="65" spans="1:13">
      <c r="A65" s="30"/>
      <c r="B65" s="367"/>
      <c r="C65" s="367"/>
      <c r="D65" s="367"/>
      <c r="E65" s="367"/>
      <c r="F65" s="367"/>
      <c r="G65" s="367"/>
      <c r="H65" s="367"/>
      <c r="I65" s="367"/>
      <c r="J65" s="367"/>
      <c r="K65" s="367"/>
      <c r="L65" s="367"/>
      <c r="M65" s="24"/>
    </row>
    <row r="66" spans="1:13">
      <c r="A66" s="51" t="s">
        <v>102</v>
      </c>
      <c r="B66" s="52"/>
      <c r="C66" s="52"/>
      <c r="D66" s="52"/>
      <c r="E66" s="52"/>
      <c r="F66" s="52"/>
      <c r="G66" s="52"/>
      <c r="H66" s="52"/>
      <c r="I66" s="52"/>
      <c r="J66" s="52"/>
      <c r="K66" s="52"/>
      <c r="L66" s="52"/>
      <c r="M66" s="53"/>
    </row>
    <row r="67" spans="1:13" ht="15.75" thickBot="1">
      <c r="A67" s="30"/>
      <c r="B67" s="367"/>
      <c r="C67" s="367"/>
      <c r="D67" s="367"/>
      <c r="E67" s="367"/>
      <c r="F67" s="367"/>
      <c r="G67" s="367"/>
      <c r="H67" s="367"/>
      <c r="I67" s="367"/>
      <c r="J67" s="367"/>
      <c r="K67" s="367"/>
      <c r="L67" s="367"/>
      <c r="M67" s="24"/>
    </row>
    <row r="68" spans="1:13" ht="15.75" thickBot="1">
      <c r="A68" s="438" t="s">
        <v>103</v>
      </c>
      <c r="B68" s="439"/>
      <c r="C68" s="439"/>
      <c r="D68" s="439"/>
      <c r="E68" s="439"/>
      <c r="F68" s="439"/>
      <c r="G68" s="439"/>
      <c r="H68" s="342"/>
      <c r="I68" s="343"/>
      <c r="J68" s="81" t="s">
        <v>104</v>
      </c>
      <c r="K68" s="440" t="s">
        <v>105</v>
      </c>
      <c r="L68" s="441"/>
      <c r="M68" s="82"/>
    </row>
    <row r="69" spans="1:13">
      <c r="A69" s="553" t="s">
        <v>106</v>
      </c>
      <c r="B69" s="554"/>
      <c r="C69" s="554"/>
      <c r="D69" s="554"/>
      <c r="E69" s="554"/>
      <c r="F69" s="554"/>
      <c r="G69" s="554"/>
      <c r="H69" s="83"/>
      <c r="I69" s="84"/>
      <c r="J69" s="84">
        <v>0.19</v>
      </c>
      <c r="K69" s="444">
        <f>M64*J69</f>
        <v>6490.59</v>
      </c>
      <c r="L69" s="444"/>
      <c r="M69" s="86"/>
    </row>
    <row r="70" spans="1:13">
      <c r="A70" s="447" t="s">
        <v>107</v>
      </c>
      <c r="B70" s="448"/>
      <c r="C70" s="448"/>
      <c r="D70" s="448"/>
      <c r="E70" s="448"/>
      <c r="F70" s="448"/>
      <c r="G70" s="449"/>
      <c r="H70" s="77"/>
      <c r="I70" s="78"/>
      <c r="J70" s="78">
        <v>0.01</v>
      </c>
      <c r="K70" s="445">
        <f>M64*J70</f>
        <v>341.61</v>
      </c>
      <c r="L70" s="445"/>
      <c r="M70" s="6"/>
    </row>
    <row r="71" spans="1:13">
      <c r="A71" s="447" t="s">
        <v>108</v>
      </c>
      <c r="B71" s="448"/>
      <c r="C71" s="448"/>
      <c r="D71" s="448"/>
      <c r="E71" s="448"/>
      <c r="F71" s="448"/>
      <c r="G71" s="449"/>
      <c r="H71" s="77"/>
      <c r="I71" s="78"/>
      <c r="J71" s="78">
        <v>0.05</v>
      </c>
      <c r="K71" s="445">
        <f>M64*J71</f>
        <v>1708.0500000000002</v>
      </c>
      <c r="L71" s="445"/>
      <c r="M71" s="6"/>
    </row>
    <row r="72" spans="1:13" ht="15.75" thickBot="1">
      <c r="A72" s="450" t="s">
        <v>117</v>
      </c>
      <c r="B72" s="451"/>
      <c r="C72" s="451"/>
      <c r="D72" s="451"/>
      <c r="E72" s="451"/>
      <c r="F72" s="451"/>
      <c r="G72" s="452"/>
      <c r="H72" s="87"/>
      <c r="I72" s="88"/>
      <c r="J72" s="88">
        <v>0.19</v>
      </c>
      <c r="K72" s="446">
        <f>K71*J72</f>
        <v>324.52950000000004</v>
      </c>
      <c r="L72" s="446"/>
      <c r="M72" s="90"/>
    </row>
    <row r="73" spans="1:13" ht="15.75" thickBot="1">
      <c r="A73" s="435" t="s">
        <v>87</v>
      </c>
      <c r="B73" s="436"/>
      <c r="C73" s="436"/>
      <c r="D73" s="436"/>
      <c r="E73" s="436"/>
      <c r="F73" s="436"/>
      <c r="G73" s="436"/>
      <c r="H73" s="436"/>
      <c r="I73" s="436"/>
      <c r="J73" s="436"/>
      <c r="K73" s="436"/>
      <c r="L73" s="437"/>
      <c r="M73" s="76">
        <f>SUM(K69:L72)</f>
        <v>8864.7795000000006</v>
      </c>
    </row>
    <row r="74" spans="1:13" ht="15.75" thickBot="1">
      <c r="A74" s="30"/>
      <c r="B74" s="367"/>
      <c r="C74" s="367"/>
      <c r="D74" s="367"/>
      <c r="E74" s="367"/>
      <c r="F74" s="367"/>
      <c r="G74" s="367"/>
      <c r="H74" s="367"/>
      <c r="I74" s="367"/>
      <c r="J74" s="367"/>
      <c r="K74" s="367"/>
      <c r="L74" s="367"/>
      <c r="M74" s="24"/>
    </row>
    <row r="75" spans="1:13" ht="15.75" thickBot="1">
      <c r="A75" s="416" t="s">
        <v>109</v>
      </c>
      <c r="B75" s="417"/>
      <c r="C75" s="417"/>
      <c r="D75" s="417"/>
      <c r="E75" s="417"/>
      <c r="F75" s="417"/>
      <c r="G75" s="417"/>
      <c r="H75" s="417"/>
      <c r="I75" s="417"/>
      <c r="J75" s="417"/>
      <c r="K75" s="417"/>
      <c r="L75" s="418"/>
      <c r="M75" s="71">
        <f>ROUND(M64+M73,0)</f>
        <v>43026</v>
      </c>
    </row>
  </sheetData>
  <mergeCells count="94">
    <mergeCell ref="A75:L75"/>
    <mergeCell ref="A68:G68"/>
    <mergeCell ref="K68:L68"/>
    <mergeCell ref="A69:G69"/>
    <mergeCell ref="K69:L69"/>
    <mergeCell ref="A70:G70"/>
    <mergeCell ref="K70:L70"/>
    <mergeCell ref="A71:G71"/>
    <mergeCell ref="K71:L71"/>
    <mergeCell ref="A72:G72"/>
    <mergeCell ref="K72:L72"/>
    <mergeCell ref="A73:L73"/>
    <mergeCell ref="A64:L64"/>
    <mergeCell ref="A53:G53"/>
    <mergeCell ref="K53:L53"/>
    <mergeCell ref="A54:L54"/>
    <mergeCell ref="A58:G58"/>
    <mergeCell ref="K58:L58"/>
    <mergeCell ref="A59:G59"/>
    <mergeCell ref="K59:L59"/>
    <mergeCell ref="A60:G60"/>
    <mergeCell ref="K60:L60"/>
    <mergeCell ref="A61:G61"/>
    <mergeCell ref="K61:L61"/>
    <mergeCell ref="A62:L62"/>
    <mergeCell ref="A47:L47"/>
    <mergeCell ref="O47:V47"/>
    <mergeCell ref="A51:G51"/>
    <mergeCell ref="K51:L51"/>
    <mergeCell ref="A52:G52"/>
    <mergeCell ref="K52:L52"/>
    <mergeCell ref="A45:H45"/>
    <mergeCell ref="K45:L45"/>
    <mergeCell ref="O45:V45"/>
    <mergeCell ref="A46:H46"/>
    <mergeCell ref="K46:L46"/>
    <mergeCell ref="O46:V46"/>
    <mergeCell ref="A44:H44"/>
    <mergeCell ref="K44:L44"/>
    <mergeCell ref="O44:V44"/>
    <mergeCell ref="A40:H40"/>
    <mergeCell ref="K40:L40"/>
    <mergeCell ref="O40:V40"/>
    <mergeCell ref="A41:H41"/>
    <mergeCell ref="K41:L41"/>
    <mergeCell ref="O41:V41"/>
    <mergeCell ref="A42:H42"/>
    <mergeCell ref="K42:L42"/>
    <mergeCell ref="A43:H43"/>
    <mergeCell ref="K43:L43"/>
    <mergeCell ref="O43:V43"/>
    <mergeCell ref="O39:V39"/>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30:E30"/>
    <mergeCell ref="F30:G30"/>
    <mergeCell ref="H30:I30"/>
    <mergeCell ref="K30:L30"/>
    <mergeCell ref="A31:E31"/>
    <mergeCell ref="F31:G31"/>
    <mergeCell ref="H31:I31"/>
    <mergeCell ref="K31:L31"/>
    <mergeCell ref="A21:B21"/>
    <mergeCell ref="A23:M23"/>
    <mergeCell ref="B25:I25"/>
    <mergeCell ref="K25:L25"/>
    <mergeCell ref="B26:I26"/>
    <mergeCell ref="K26:L26"/>
    <mergeCell ref="A20:B20"/>
    <mergeCell ref="C20:M20"/>
    <mergeCell ref="A1:C7"/>
    <mergeCell ref="D1:J3"/>
    <mergeCell ref="K1:M7"/>
    <mergeCell ref="D4:J7"/>
    <mergeCell ref="A9:B9"/>
    <mergeCell ref="C9:H9"/>
    <mergeCell ref="K9:M9"/>
    <mergeCell ref="C12:F12"/>
    <mergeCell ref="H12:I12"/>
    <mergeCell ref="C13:M14"/>
    <mergeCell ref="C16:M16"/>
    <mergeCell ref="C18:M18"/>
  </mergeCells>
  <pageMargins left="0.7" right="0.7" top="0.75" bottom="0.75" header="0.3" footer="0.3"/>
  <pageSetup scale="56"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7"/>
  <sheetViews>
    <sheetView view="pageBreakPreview" topLeftCell="A46" zoomScale="80" zoomScaleNormal="100" zoomScaleSheetLayoutView="80" workbookViewId="0">
      <selection activeCell="M66" sqref="M66"/>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9">
      <c r="A17" s="25"/>
      <c r="B17" s="26"/>
      <c r="C17" s="224"/>
      <c r="D17" s="224"/>
      <c r="E17" s="224"/>
      <c r="F17" s="224"/>
      <c r="G17" s="224"/>
      <c r="H17" s="224"/>
      <c r="I17" s="224"/>
      <c r="J17" s="224"/>
      <c r="K17" s="224"/>
      <c r="L17" s="224"/>
      <c r="M17" s="13"/>
    </row>
    <row r="18" spans="1:19">
      <c r="A18" s="25" t="s">
        <v>74</v>
      </c>
      <c r="B18" s="26"/>
      <c r="C18" s="379"/>
      <c r="D18" s="379"/>
      <c r="E18" s="379"/>
      <c r="F18" s="379"/>
      <c r="G18" s="379"/>
      <c r="H18" s="379"/>
      <c r="I18" s="379"/>
      <c r="J18" s="379"/>
      <c r="K18" s="379"/>
      <c r="L18" s="379"/>
      <c r="M18" s="380"/>
    </row>
    <row r="19" spans="1:19">
      <c r="A19" s="25"/>
      <c r="B19" s="26"/>
      <c r="C19" s="224"/>
      <c r="D19" s="224"/>
      <c r="E19" s="224"/>
      <c r="F19" s="224"/>
      <c r="G19" s="224"/>
      <c r="H19" s="224"/>
      <c r="I19" s="224"/>
      <c r="J19" s="224"/>
      <c r="K19" s="224"/>
      <c r="L19" s="224"/>
      <c r="M19" s="13"/>
    </row>
    <row r="20" spans="1:19" ht="31.5" customHeight="1">
      <c r="A20" s="464" t="s">
        <v>113</v>
      </c>
      <c r="B20" s="465"/>
      <c r="C20" s="379"/>
      <c r="D20" s="379"/>
      <c r="E20" s="379"/>
      <c r="F20" s="379"/>
      <c r="G20" s="379"/>
      <c r="H20" s="379"/>
      <c r="I20" s="379"/>
      <c r="J20" s="379"/>
      <c r="K20" s="379"/>
      <c r="L20" s="379"/>
      <c r="M20" s="380"/>
    </row>
    <row r="21" spans="1:19">
      <c r="A21" s="400"/>
      <c r="B21" s="401"/>
      <c r="C21" s="224"/>
      <c r="D21" s="224"/>
      <c r="E21" s="224"/>
      <c r="F21" s="224"/>
      <c r="G21" s="224"/>
      <c r="H21" s="224"/>
      <c r="I21" s="224"/>
      <c r="J21" s="224"/>
      <c r="K21" s="224"/>
      <c r="L21" s="22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216" t="s">
        <v>78</v>
      </c>
      <c r="K25" s="408" t="s">
        <v>79</v>
      </c>
      <c r="L25" s="409"/>
      <c r="M25" s="31" t="s">
        <v>80</v>
      </c>
    </row>
    <row r="26" spans="1:19" ht="19.5" customHeight="1" thickBot="1">
      <c r="A26" s="33"/>
      <c r="B26" s="509" t="s">
        <v>324</v>
      </c>
      <c r="C26" s="510"/>
      <c r="D26" s="510"/>
      <c r="E26" s="510"/>
      <c r="F26" s="510"/>
      <c r="G26" s="510"/>
      <c r="H26" s="510"/>
      <c r="I26" s="511"/>
      <c r="J26" s="215">
        <v>1</v>
      </c>
      <c r="K26" s="391" t="str">
        <f>'[1]NUEVO DISEÑO'!C89</f>
        <v>M2</v>
      </c>
      <c r="L26" s="393"/>
      <c r="M26" s="35"/>
      <c r="N26" s="230"/>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221" t="s">
        <v>83</v>
      </c>
      <c r="K30" s="421" t="s">
        <v>84</v>
      </c>
      <c r="L30" s="424"/>
      <c r="M30" s="44" t="s">
        <v>85</v>
      </c>
    </row>
    <row r="31" spans="1:19" ht="15.75" thickBot="1">
      <c r="A31" s="425" t="s">
        <v>209</v>
      </c>
      <c r="B31" s="426"/>
      <c r="C31" s="426"/>
      <c r="D31" s="426"/>
      <c r="E31" s="427"/>
      <c r="F31" s="428" t="s">
        <v>210</v>
      </c>
      <c r="G31" s="429"/>
      <c r="H31" s="430" t="s">
        <v>211</v>
      </c>
      <c r="I31" s="427"/>
      <c r="J31" s="72">
        <v>49980</v>
      </c>
      <c r="K31" s="428">
        <v>0.03</v>
      </c>
      <c r="L31" s="429"/>
      <c r="M31" s="231">
        <f>J31*K31</f>
        <v>1499.3999999999999</v>
      </c>
      <c r="N31" s="489"/>
      <c r="O31" s="490"/>
      <c r="P31" s="95"/>
      <c r="Q31" s="96"/>
      <c r="R31" s="97"/>
      <c r="S31" s="98"/>
    </row>
    <row r="32" spans="1:19">
      <c r="A32" s="425" t="s">
        <v>325</v>
      </c>
      <c r="B32" s="426"/>
      <c r="C32" s="426"/>
      <c r="D32" s="426"/>
      <c r="E32" s="427"/>
      <c r="F32" s="428" t="s">
        <v>110</v>
      </c>
      <c r="G32" s="429"/>
      <c r="H32" s="430" t="s">
        <v>211</v>
      </c>
      <c r="I32" s="427"/>
      <c r="J32" s="72">
        <v>40240</v>
      </c>
      <c r="K32" s="428">
        <v>100</v>
      </c>
      <c r="L32" s="429"/>
      <c r="M32" s="231">
        <f>J32/K32</f>
        <v>402.4</v>
      </c>
    </row>
    <row r="33" spans="1:16" ht="15.75" thickBot="1">
      <c r="A33" s="410" t="s">
        <v>124</v>
      </c>
      <c r="B33" s="411"/>
      <c r="C33" s="411"/>
      <c r="D33" s="411"/>
      <c r="E33" s="412"/>
      <c r="F33" s="414" t="s">
        <v>125</v>
      </c>
      <c r="G33" s="415"/>
      <c r="H33" s="413" t="s">
        <v>86</v>
      </c>
      <c r="I33" s="412"/>
      <c r="J33" s="91">
        <v>1045.77</v>
      </c>
      <c r="K33" s="414">
        <v>1</v>
      </c>
      <c r="L33" s="415"/>
      <c r="M33" s="46">
        <f>J33/K33</f>
        <v>1045.77</v>
      </c>
    </row>
    <row r="34" spans="1:16" ht="15.75" thickBot="1">
      <c r="A34" s="416" t="s">
        <v>87</v>
      </c>
      <c r="B34" s="417"/>
      <c r="C34" s="417"/>
      <c r="D34" s="417"/>
      <c r="E34" s="417"/>
      <c r="F34" s="417"/>
      <c r="G34" s="417"/>
      <c r="H34" s="417"/>
      <c r="I34" s="417"/>
      <c r="J34" s="417"/>
      <c r="K34" s="417"/>
      <c r="L34" s="418"/>
      <c r="M34" s="232">
        <f>SUM(M31:M33)</f>
        <v>2947.5699999999997</v>
      </c>
    </row>
    <row r="35" spans="1:16">
      <c r="A35" s="50"/>
      <c r="B35" s="19"/>
      <c r="C35" s="19"/>
      <c r="D35" s="19"/>
      <c r="E35" s="19"/>
      <c r="F35" s="19"/>
      <c r="G35" s="19"/>
      <c r="H35" s="19"/>
      <c r="I35" s="19"/>
      <c r="J35" s="19"/>
      <c r="K35" s="19"/>
      <c r="L35" s="19"/>
      <c r="M35" s="24"/>
    </row>
    <row r="36" spans="1:16">
      <c r="A36" s="51" t="s">
        <v>88</v>
      </c>
      <c r="B36" s="52"/>
      <c r="C36" s="52"/>
      <c r="D36" s="52"/>
      <c r="E36" s="52"/>
      <c r="F36" s="52"/>
      <c r="G36" s="52"/>
      <c r="H36" s="52"/>
      <c r="I36" s="52"/>
      <c r="J36" s="52"/>
      <c r="K36" s="52"/>
      <c r="L36" s="52"/>
      <c r="M36" s="53"/>
    </row>
    <row r="37" spans="1:16" ht="15.75" thickBot="1">
      <c r="A37" s="14"/>
      <c r="B37" s="15"/>
      <c r="C37" s="15"/>
      <c r="D37" s="15"/>
      <c r="E37" s="15"/>
      <c r="F37" s="15"/>
      <c r="G37" s="15"/>
      <c r="H37" s="15"/>
      <c r="I37" s="19"/>
      <c r="J37" s="19"/>
      <c r="K37" s="19"/>
      <c r="L37" s="19"/>
      <c r="M37" s="24"/>
    </row>
    <row r="38" spans="1:16" ht="15.75" thickBot="1">
      <c r="A38" s="517" t="s">
        <v>77</v>
      </c>
      <c r="B38" s="518"/>
      <c r="C38" s="518"/>
      <c r="D38" s="518"/>
      <c r="E38" s="518"/>
      <c r="F38" s="518"/>
      <c r="G38" s="518"/>
      <c r="H38" s="519"/>
      <c r="I38" s="233" t="s">
        <v>79</v>
      </c>
      <c r="J38" s="234" t="s">
        <v>80</v>
      </c>
      <c r="K38" s="520" t="s">
        <v>89</v>
      </c>
      <c r="L38" s="519"/>
      <c r="M38" s="235" t="s">
        <v>85</v>
      </c>
    </row>
    <row r="39" spans="1:16" ht="15" customHeight="1">
      <c r="A39" s="521" t="s">
        <v>326</v>
      </c>
      <c r="B39" s="522"/>
      <c r="C39" s="522"/>
      <c r="D39" s="522"/>
      <c r="E39" s="522"/>
      <c r="F39" s="522"/>
      <c r="G39" s="522"/>
      <c r="H39" s="523"/>
      <c r="I39" s="236" t="s">
        <v>9</v>
      </c>
      <c r="J39" s="237">
        <v>1.05</v>
      </c>
      <c r="K39" s="524">
        <f>10787*1.0562</f>
        <v>11393.2294</v>
      </c>
      <c r="L39" s="525"/>
      <c r="M39" s="238">
        <f>K39*J39</f>
        <v>11962.890870000001</v>
      </c>
      <c r="O39" s="94"/>
    </row>
    <row r="40" spans="1:16" ht="15" customHeight="1">
      <c r="A40" s="484" t="s">
        <v>197</v>
      </c>
      <c r="B40" s="485"/>
      <c r="C40" s="485"/>
      <c r="D40" s="485"/>
      <c r="E40" s="485"/>
      <c r="F40" s="485"/>
      <c r="G40" s="485"/>
      <c r="H40" s="486"/>
      <c r="I40" s="239" t="s">
        <v>233</v>
      </c>
      <c r="J40" s="240">
        <v>0.04</v>
      </c>
      <c r="K40" s="512">
        <f>76735*1.0562</f>
        <v>81047.506999999998</v>
      </c>
      <c r="L40" s="513"/>
      <c r="M40" s="238">
        <f t="shared" ref="M40:M48" si="0">K40*J40</f>
        <v>3241.9002799999998</v>
      </c>
      <c r="P40" s="94"/>
    </row>
    <row r="41" spans="1:16" ht="15" customHeight="1">
      <c r="A41" s="484" t="s">
        <v>327</v>
      </c>
      <c r="B41" s="485"/>
      <c r="C41" s="485"/>
      <c r="D41" s="485"/>
      <c r="E41" s="485"/>
      <c r="F41" s="485"/>
      <c r="G41" s="485"/>
      <c r="H41" s="486"/>
      <c r="I41" s="239" t="s">
        <v>11</v>
      </c>
      <c r="J41" s="240">
        <v>0.45</v>
      </c>
      <c r="K41" s="512">
        <f>4977*1.0562</f>
        <v>5256.7074000000002</v>
      </c>
      <c r="L41" s="513"/>
      <c r="M41" s="238">
        <f t="shared" si="0"/>
        <v>2365.5183300000003</v>
      </c>
    </row>
    <row r="42" spans="1:16" ht="15" customHeight="1">
      <c r="A42" s="425" t="s">
        <v>328</v>
      </c>
      <c r="B42" s="426"/>
      <c r="C42" s="426"/>
      <c r="D42" s="426"/>
      <c r="E42" s="426"/>
      <c r="F42" s="426"/>
      <c r="G42" s="426"/>
      <c r="H42" s="427"/>
      <c r="I42" s="239" t="s">
        <v>11</v>
      </c>
      <c r="J42" s="240">
        <v>3</v>
      </c>
      <c r="K42" s="512">
        <f>129*1.0562</f>
        <v>136.24979999999999</v>
      </c>
      <c r="L42" s="513"/>
      <c r="M42" s="238">
        <f t="shared" si="0"/>
        <v>408.74939999999998</v>
      </c>
    </row>
    <row r="43" spans="1:16">
      <c r="A43" s="425" t="s">
        <v>181</v>
      </c>
      <c r="B43" s="426"/>
      <c r="C43" s="426"/>
      <c r="D43" s="426"/>
      <c r="E43" s="426"/>
      <c r="F43" s="426"/>
      <c r="G43" s="426"/>
      <c r="H43" s="427"/>
      <c r="I43" s="239" t="s">
        <v>11</v>
      </c>
      <c r="J43" s="240">
        <v>7.0000000000000007E-2</v>
      </c>
      <c r="K43" s="512">
        <f>8990*1.0562</f>
        <v>9495.2379999999994</v>
      </c>
      <c r="L43" s="513"/>
      <c r="M43" s="238">
        <f t="shared" si="0"/>
        <v>664.66665999999998</v>
      </c>
    </row>
    <row r="44" spans="1:16">
      <c r="A44" s="516" t="s">
        <v>184</v>
      </c>
      <c r="B44" s="426"/>
      <c r="C44" s="426"/>
      <c r="D44" s="426"/>
      <c r="E44" s="426"/>
      <c r="F44" s="426"/>
      <c r="G44" s="426"/>
      <c r="H44" s="427"/>
      <c r="I44" s="239" t="s">
        <v>233</v>
      </c>
      <c r="J44" s="240">
        <v>0.06</v>
      </c>
      <c r="K44" s="512">
        <f>66019*1.0562</f>
        <v>69729.267800000001</v>
      </c>
      <c r="L44" s="513"/>
      <c r="M44" s="238">
        <f t="shared" si="0"/>
        <v>4183.7560679999997</v>
      </c>
    </row>
    <row r="45" spans="1:16">
      <c r="A45" s="425" t="s">
        <v>183</v>
      </c>
      <c r="B45" s="426"/>
      <c r="C45" s="426"/>
      <c r="D45" s="426"/>
      <c r="E45" s="426"/>
      <c r="F45" s="426"/>
      <c r="G45" s="426"/>
      <c r="H45" s="427"/>
      <c r="I45" s="239" t="s">
        <v>11</v>
      </c>
      <c r="J45" s="240">
        <v>1</v>
      </c>
      <c r="K45" s="512">
        <f>1438*1.0562</f>
        <v>1518.8156000000001</v>
      </c>
      <c r="L45" s="513"/>
      <c r="M45" s="238">
        <f t="shared" si="0"/>
        <v>1518.8156000000001</v>
      </c>
    </row>
    <row r="46" spans="1:16">
      <c r="A46" s="425" t="s">
        <v>329</v>
      </c>
      <c r="B46" s="426"/>
      <c r="C46" s="426"/>
      <c r="D46" s="426"/>
      <c r="E46" s="426"/>
      <c r="F46" s="426"/>
      <c r="G46" s="426"/>
      <c r="H46" s="427"/>
      <c r="I46" s="239" t="s">
        <v>11</v>
      </c>
      <c r="J46" s="240">
        <v>2</v>
      </c>
      <c r="K46" s="512">
        <f>719*1.0562</f>
        <v>759.40780000000007</v>
      </c>
      <c r="L46" s="513"/>
      <c r="M46" s="238">
        <f t="shared" si="0"/>
        <v>1518.8156000000001</v>
      </c>
    </row>
    <row r="47" spans="1:16">
      <c r="A47" s="425" t="s">
        <v>330</v>
      </c>
      <c r="B47" s="426"/>
      <c r="C47" s="426"/>
      <c r="D47" s="426"/>
      <c r="E47" s="426"/>
      <c r="F47" s="426"/>
      <c r="G47" s="426"/>
      <c r="H47" s="427"/>
      <c r="I47" s="239" t="s">
        <v>11</v>
      </c>
      <c r="J47" s="240">
        <v>1.25</v>
      </c>
      <c r="K47" s="512">
        <f>7335*1.0562</f>
        <v>7747.2269999999999</v>
      </c>
      <c r="L47" s="513"/>
      <c r="M47" s="238">
        <f t="shared" si="0"/>
        <v>9684.0337500000005</v>
      </c>
    </row>
    <row r="48" spans="1:16" ht="15.75" thickBot="1">
      <c r="A48" s="410" t="s">
        <v>331</v>
      </c>
      <c r="B48" s="411"/>
      <c r="C48" s="411"/>
      <c r="D48" s="411"/>
      <c r="E48" s="411"/>
      <c r="F48" s="411"/>
      <c r="G48" s="411"/>
      <c r="H48" s="412"/>
      <c r="I48" s="95" t="s">
        <v>8</v>
      </c>
      <c r="J48" s="241">
        <v>0.9</v>
      </c>
      <c r="K48" s="514">
        <f>1934*1.0562</f>
        <v>2042.6908000000001</v>
      </c>
      <c r="L48" s="515"/>
      <c r="M48" s="238">
        <f t="shared" si="0"/>
        <v>1838.4217200000001</v>
      </c>
    </row>
    <row r="49" spans="1:13" ht="15.75" thickBot="1">
      <c r="A49" s="416" t="s">
        <v>87</v>
      </c>
      <c r="B49" s="417"/>
      <c r="C49" s="417"/>
      <c r="D49" s="417"/>
      <c r="E49" s="417"/>
      <c r="F49" s="417"/>
      <c r="G49" s="417"/>
      <c r="H49" s="417"/>
      <c r="I49" s="417"/>
      <c r="J49" s="417"/>
      <c r="K49" s="417"/>
      <c r="L49" s="418"/>
      <c r="M49" s="58">
        <f>SUM(M39:M48)</f>
        <v>37387.568277999999</v>
      </c>
    </row>
    <row r="50" spans="1:13">
      <c r="A50" s="30"/>
      <c r="B50" s="19"/>
      <c r="C50" s="19"/>
      <c r="D50" s="19"/>
      <c r="E50" s="19"/>
      <c r="F50" s="19"/>
      <c r="G50" s="19"/>
      <c r="H50" s="19"/>
      <c r="I50" s="19"/>
      <c r="J50" s="19"/>
      <c r="K50" s="19"/>
      <c r="L50" s="19"/>
      <c r="M50" s="24"/>
    </row>
    <row r="51" spans="1:13">
      <c r="A51" s="51" t="s">
        <v>90</v>
      </c>
      <c r="B51" s="52"/>
      <c r="C51" s="52"/>
      <c r="D51" s="52"/>
      <c r="E51" s="52"/>
      <c r="F51" s="52"/>
      <c r="G51" s="52"/>
      <c r="H51" s="52"/>
      <c r="I51" s="52"/>
      <c r="J51" s="52"/>
      <c r="K51" s="52"/>
      <c r="L51" s="52"/>
      <c r="M51" s="53"/>
    </row>
    <row r="52" spans="1:13" ht="15.75" thickBot="1">
      <c r="A52" s="30"/>
      <c r="B52" s="19"/>
      <c r="C52" s="19"/>
      <c r="D52" s="19"/>
      <c r="E52" s="19"/>
      <c r="F52" s="19"/>
      <c r="G52" s="19"/>
      <c r="H52" s="19"/>
      <c r="I52" s="19"/>
      <c r="J52" s="19"/>
      <c r="K52" s="19"/>
      <c r="L52" s="19"/>
      <c r="M52" s="24"/>
    </row>
    <row r="53" spans="1:13">
      <c r="A53" s="408" t="s">
        <v>91</v>
      </c>
      <c r="B53" s="431"/>
      <c r="C53" s="431"/>
      <c r="D53" s="431"/>
      <c r="E53" s="431"/>
      <c r="F53" s="431"/>
      <c r="G53" s="431"/>
      <c r="H53" s="221" t="s">
        <v>92</v>
      </c>
      <c r="I53" s="218" t="s">
        <v>93</v>
      </c>
      <c r="J53" s="60" t="s">
        <v>94</v>
      </c>
      <c r="K53" s="421" t="s">
        <v>95</v>
      </c>
      <c r="L53" s="424"/>
      <c r="M53" s="44" t="s">
        <v>85</v>
      </c>
    </row>
    <row r="54" spans="1:13">
      <c r="A54" s="425"/>
      <c r="B54" s="426"/>
      <c r="C54" s="426"/>
      <c r="D54" s="426"/>
      <c r="E54" s="426"/>
      <c r="F54" s="426"/>
      <c r="G54" s="426"/>
      <c r="H54" s="61"/>
      <c r="I54" s="55"/>
      <c r="J54" s="61"/>
      <c r="K54" s="428"/>
      <c r="L54" s="429"/>
    </row>
    <row r="55" spans="1:13" ht="15.75" thickBot="1">
      <c r="A55" s="410"/>
      <c r="B55" s="411"/>
      <c r="C55" s="411"/>
      <c r="D55" s="411"/>
      <c r="E55" s="411"/>
      <c r="F55" s="411"/>
      <c r="G55" s="411"/>
      <c r="H55" s="47"/>
      <c r="I55" s="15"/>
      <c r="J55" s="47"/>
      <c r="K55" s="414"/>
      <c r="L55" s="415"/>
      <c r="M55" s="62"/>
    </row>
    <row r="56" spans="1:13" ht="15.75" thickBot="1">
      <c r="A56" s="416" t="s">
        <v>87</v>
      </c>
      <c r="B56" s="417"/>
      <c r="C56" s="417"/>
      <c r="D56" s="417"/>
      <c r="E56" s="417"/>
      <c r="F56" s="417"/>
      <c r="G56" s="417"/>
      <c r="H56" s="417"/>
      <c r="I56" s="417"/>
      <c r="J56" s="417"/>
      <c r="K56" s="417"/>
      <c r="L56" s="418"/>
      <c r="M56" s="63">
        <f>SUM(M55:M55)</f>
        <v>0</v>
      </c>
    </row>
    <row r="57" spans="1:13">
      <c r="A57" s="30"/>
      <c r="B57" s="19"/>
      <c r="C57" s="19"/>
      <c r="D57" s="19"/>
      <c r="E57" s="19"/>
      <c r="F57" s="19"/>
      <c r="G57" s="19"/>
      <c r="H57" s="19"/>
      <c r="I57" s="19"/>
      <c r="J57" s="19"/>
      <c r="K57" s="19"/>
      <c r="L57" s="19"/>
      <c r="M57" s="24"/>
    </row>
    <row r="58" spans="1:13">
      <c r="A58" s="51" t="s">
        <v>96</v>
      </c>
      <c r="B58" s="52"/>
      <c r="C58" s="52"/>
      <c r="D58" s="52"/>
      <c r="E58" s="52"/>
      <c r="F58" s="52"/>
      <c r="G58" s="52"/>
      <c r="H58" s="52"/>
      <c r="I58" s="52"/>
      <c r="J58" s="52"/>
      <c r="K58" s="52"/>
      <c r="L58" s="52"/>
      <c r="M58" s="53"/>
    </row>
    <row r="59" spans="1:13" ht="15.75" thickBot="1">
      <c r="A59" s="30"/>
      <c r="B59" s="19"/>
      <c r="C59" s="19"/>
      <c r="D59" s="19"/>
      <c r="E59" s="19"/>
      <c r="F59" s="19"/>
      <c r="G59" s="19"/>
      <c r="H59" s="19"/>
      <c r="I59" s="19"/>
      <c r="J59" s="19"/>
      <c r="K59" s="19"/>
      <c r="L59" s="19"/>
      <c r="M59" s="24"/>
    </row>
    <row r="60" spans="1:13" ht="26.25">
      <c r="A60" s="453" t="s">
        <v>97</v>
      </c>
      <c r="B60" s="454"/>
      <c r="C60" s="454"/>
      <c r="D60" s="454"/>
      <c r="E60" s="454"/>
      <c r="F60" s="454"/>
      <c r="G60" s="454"/>
      <c r="H60" s="221" t="s">
        <v>98</v>
      </c>
      <c r="I60" s="222" t="s">
        <v>99</v>
      </c>
      <c r="J60" s="222" t="s">
        <v>100</v>
      </c>
      <c r="K60" s="455" t="s">
        <v>84</v>
      </c>
      <c r="L60" s="455"/>
      <c r="M60" s="65" t="s">
        <v>85</v>
      </c>
    </row>
    <row r="61" spans="1:13">
      <c r="A61" s="471" t="s">
        <v>204</v>
      </c>
      <c r="B61" s="472"/>
      <c r="C61" s="472"/>
      <c r="D61" s="472"/>
      <c r="E61" s="472"/>
      <c r="F61" s="472"/>
      <c r="G61" s="472"/>
      <c r="H61" s="1">
        <v>118472</v>
      </c>
      <c r="I61" s="2">
        <v>2.2000000000000002</v>
      </c>
      <c r="J61" s="66">
        <f>(I61*H61)</f>
        <v>260638.40000000002</v>
      </c>
      <c r="K61" s="483">
        <v>11</v>
      </c>
      <c r="L61" s="483"/>
      <c r="M61" s="56">
        <f>J61/K61</f>
        <v>23694.400000000001</v>
      </c>
    </row>
    <row r="62" spans="1:13">
      <c r="A62" s="471"/>
      <c r="B62" s="472"/>
      <c r="C62" s="472"/>
      <c r="D62" s="472"/>
      <c r="E62" s="472"/>
      <c r="F62" s="472"/>
      <c r="G62" s="472"/>
      <c r="H62" s="1"/>
      <c r="I62" s="2"/>
      <c r="J62" s="66"/>
      <c r="K62" s="473"/>
      <c r="L62" s="473"/>
      <c r="M62" s="56"/>
    </row>
    <row r="63" spans="1:13" ht="15.75" thickBot="1">
      <c r="A63" s="432"/>
      <c r="B63" s="433"/>
      <c r="C63" s="433"/>
      <c r="D63" s="433"/>
      <c r="E63" s="433"/>
      <c r="F63" s="433"/>
      <c r="G63" s="433"/>
      <c r="H63" s="3"/>
      <c r="I63" s="4"/>
      <c r="J63" s="67"/>
      <c r="K63" s="434"/>
      <c r="L63" s="434"/>
      <c r="M63" s="68"/>
    </row>
    <row r="64" spans="1:13" ht="15.75" thickBot="1">
      <c r="A64" s="435" t="s">
        <v>87</v>
      </c>
      <c r="B64" s="436"/>
      <c r="C64" s="436"/>
      <c r="D64" s="436"/>
      <c r="E64" s="436"/>
      <c r="F64" s="436"/>
      <c r="G64" s="436"/>
      <c r="H64" s="436"/>
      <c r="I64" s="436"/>
      <c r="J64" s="436"/>
      <c r="K64" s="436"/>
      <c r="L64" s="437"/>
      <c r="M64" s="69">
        <f>SUM(M61:M63)</f>
        <v>23694.400000000001</v>
      </c>
    </row>
    <row r="65" spans="1:13" ht="15.75" thickBot="1">
      <c r="A65" s="30"/>
      <c r="B65" s="19"/>
      <c r="C65" s="19"/>
      <c r="D65" s="19"/>
      <c r="E65" s="19"/>
      <c r="F65" s="19"/>
      <c r="G65" s="19"/>
      <c r="H65" s="19"/>
      <c r="I65" s="19"/>
      <c r="J65" s="19"/>
      <c r="K65" s="19"/>
      <c r="L65" s="19"/>
      <c r="M65" s="24"/>
    </row>
    <row r="66" spans="1:13" ht="15.75" thickBot="1">
      <c r="A66" s="416" t="s">
        <v>101</v>
      </c>
      <c r="B66" s="417"/>
      <c r="C66" s="417"/>
      <c r="D66" s="417"/>
      <c r="E66" s="417"/>
      <c r="F66" s="417"/>
      <c r="G66" s="417"/>
      <c r="H66" s="417"/>
      <c r="I66" s="417"/>
      <c r="J66" s="417"/>
      <c r="K66" s="417"/>
      <c r="L66" s="418"/>
      <c r="M66" s="70">
        <f>ROUND(M64+M56+M49+M34,0)</f>
        <v>64030</v>
      </c>
    </row>
    <row r="67" spans="1:13">
      <c r="A67" s="30"/>
      <c r="B67" s="19"/>
      <c r="C67" s="19"/>
      <c r="D67" s="19"/>
      <c r="E67" s="19"/>
      <c r="F67" s="19"/>
      <c r="G67" s="19"/>
      <c r="H67" s="19"/>
      <c r="I67" s="19"/>
      <c r="J67" s="19"/>
      <c r="K67" s="19"/>
      <c r="L67" s="19"/>
      <c r="M67" s="24"/>
    </row>
    <row r="68" spans="1:13">
      <c r="A68" s="51" t="s">
        <v>102</v>
      </c>
      <c r="B68" s="52"/>
      <c r="C68" s="52"/>
      <c r="D68" s="52"/>
      <c r="E68" s="52"/>
      <c r="F68" s="52"/>
      <c r="G68" s="52"/>
      <c r="H68" s="52"/>
      <c r="I68" s="52"/>
      <c r="J68" s="52"/>
      <c r="K68" s="52"/>
      <c r="L68" s="52"/>
      <c r="M68" s="53"/>
    </row>
    <row r="69" spans="1:13" ht="15.75" thickBot="1">
      <c r="A69" s="30"/>
      <c r="B69" s="19"/>
      <c r="C69" s="19"/>
      <c r="D69" s="19"/>
      <c r="E69" s="19"/>
      <c r="F69" s="19"/>
      <c r="G69" s="19"/>
      <c r="H69" s="19"/>
      <c r="I69" s="19"/>
      <c r="J69" s="19"/>
      <c r="K69" s="19"/>
      <c r="L69" s="19"/>
      <c r="M69" s="24"/>
    </row>
    <row r="70" spans="1:13" ht="15.75" thickBot="1">
      <c r="A70" s="438" t="s">
        <v>103</v>
      </c>
      <c r="B70" s="439"/>
      <c r="C70" s="439"/>
      <c r="D70" s="439"/>
      <c r="E70" s="439"/>
      <c r="F70" s="439"/>
      <c r="G70" s="439"/>
      <c r="H70" s="219"/>
      <c r="I70" s="220"/>
      <c r="J70" s="81" t="s">
        <v>104</v>
      </c>
      <c r="K70" s="440" t="s">
        <v>105</v>
      </c>
      <c r="L70" s="441"/>
      <c r="M70" s="82"/>
    </row>
    <row r="71" spans="1:13">
      <c r="A71" s="442" t="s">
        <v>106</v>
      </c>
      <c r="B71" s="443"/>
      <c r="C71" s="443"/>
      <c r="D71" s="443"/>
      <c r="E71" s="443"/>
      <c r="F71" s="443"/>
      <c r="G71" s="443"/>
      <c r="H71" s="83"/>
      <c r="I71" s="84"/>
      <c r="J71" s="85">
        <v>0.19</v>
      </c>
      <c r="K71" s="444">
        <f>M66*J71</f>
        <v>12165.7</v>
      </c>
      <c r="L71" s="444"/>
      <c r="M71" s="86"/>
    </row>
    <row r="72" spans="1:13">
      <c r="A72" s="447" t="s">
        <v>107</v>
      </c>
      <c r="B72" s="448"/>
      <c r="C72" s="448"/>
      <c r="D72" s="448"/>
      <c r="E72" s="448"/>
      <c r="F72" s="448"/>
      <c r="G72" s="449"/>
      <c r="H72" s="77"/>
      <c r="I72" s="78"/>
      <c r="J72" s="5">
        <v>0.01</v>
      </c>
      <c r="K72" s="445">
        <f>M66*J72</f>
        <v>640.30000000000007</v>
      </c>
      <c r="L72" s="445"/>
      <c r="M72" s="6"/>
    </row>
    <row r="73" spans="1:13">
      <c r="A73" s="447" t="s">
        <v>108</v>
      </c>
      <c r="B73" s="448"/>
      <c r="C73" s="448"/>
      <c r="D73" s="448"/>
      <c r="E73" s="448"/>
      <c r="F73" s="448"/>
      <c r="G73" s="449"/>
      <c r="H73" s="77"/>
      <c r="I73" s="78"/>
      <c r="J73" s="5">
        <v>0.05</v>
      </c>
      <c r="K73" s="445">
        <f>M66*J73</f>
        <v>3201.5</v>
      </c>
      <c r="L73" s="445"/>
      <c r="M73" s="6"/>
    </row>
    <row r="74" spans="1:13" ht="15.75" thickBot="1">
      <c r="A74" s="450" t="s">
        <v>117</v>
      </c>
      <c r="B74" s="451"/>
      <c r="C74" s="451"/>
      <c r="D74" s="451"/>
      <c r="E74" s="451"/>
      <c r="F74" s="451"/>
      <c r="G74" s="452"/>
      <c r="H74" s="87"/>
      <c r="I74" s="88"/>
      <c r="J74" s="89">
        <v>0.19</v>
      </c>
      <c r="K74" s="446">
        <f>K73*J74</f>
        <v>608.28499999999997</v>
      </c>
      <c r="L74" s="446"/>
      <c r="M74" s="90"/>
    </row>
    <row r="75" spans="1:13" ht="15.75" thickBot="1">
      <c r="A75" s="435" t="s">
        <v>87</v>
      </c>
      <c r="B75" s="436"/>
      <c r="C75" s="436"/>
      <c r="D75" s="436"/>
      <c r="E75" s="436"/>
      <c r="F75" s="436"/>
      <c r="G75" s="436"/>
      <c r="H75" s="436"/>
      <c r="I75" s="436"/>
      <c r="J75" s="436"/>
      <c r="K75" s="436"/>
      <c r="L75" s="437"/>
      <c r="M75" s="76">
        <f>SUM(K71:L74)</f>
        <v>16615.785</v>
      </c>
    </row>
    <row r="76" spans="1:13" ht="15.75" thickBot="1">
      <c r="A76" s="30"/>
      <c r="B76" s="19"/>
      <c r="C76" s="19"/>
      <c r="D76" s="19"/>
      <c r="E76" s="19"/>
      <c r="F76" s="19"/>
      <c r="G76" s="19"/>
      <c r="H76" s="19"/>
      <c r="I76" s="19"/>
      <c r="J76" s="19"/>
      <c r="K76" s="19"/>
      <c r="L76" s="19"/>
      <c r="M76" s="24"/>
    </row>
    <row r="77" spans="1:13" ht="15.75" thickBot="1">
      <c r="A77" s="416" t="s">
        <v>109</v>
      </c>
      <c r="B77" s="417"/>
      <c r="C77" s="417"/>
      <c r="D77" s="417"/>
      <c r="E77" s="417"/>
      <c r="F77" s="417"/>
      <c r="G77" s="417"/>
      <c r="H77" s="417"/>
      <c r="I77" s="417"/>
      <c r="J77" s="417"/>
      <c r="K77" s="417"/>
      <c r="L77" s="418"/>
      <c r="M77" s="71">
        <f>ROUND(M66+M75,0)</f>
        <v>80646</v>
      </c>
    </row>
  </sheetData>
  <mergeCells count="90">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H47"/>
    <mergeCell ref="K47:L47"/>
    <mergeCell ref="A48:H48"/>
    <mergeCell ref="K48:L48"/>
    <mergeCell ref="A49:L49"/>
    <mergeCell ref="A53:G53"/>
    <mergeCell ref="K53:L53"/>
    <mergeCell ref="A54:G54"/>
    <mergeCell ref="K54:L54"/>
    <mergeCell ref="A55:G55"/>
    <mergeCell ref="K55:L55"/>
    <mergeCell ref="A56:L56"/>
    <mergeCell ref="A61:G61"/>
    <mergeCell ref="K61:L61"/>
    <mergeCell ref="A62:G62"/>
    <mergeCell ref="K62:L62"/>
    <mergeCell ref="A63:G63"/>
    <mergeCell ref="K63:L63"/>
    <mergeCell ref="A64:L64"/>
    <mergeCell ref="A66:L66"/>
    <mergeCell ref="A70:G70"/>
    <mergeCell ref="K70:L70"/>
    <mergeCell ref="A71:G71"/>
    <mergeCell ref="K71:L71"/>
    <mergeCell ref="A75:L75"/>
    <mergeCell ref="A77:L77"/>
    <mergeCell ref="A72:G72"/>
    <mergeCell ref="K72:L72"/>
    <mergeCell ref="A73:G73"/>
    <mergeCell ref="K73:L73"/>
    <mergeCell ref="A74:G74"/>
    <mergeCell ref="K74:L74"/>
  </mergeCells>
  <pageMargins left="0.7" right="0.7" top="0.75" bottom="0.75" header="0.3" footer="0.3"/>
  <pageSetup scale="56"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7"/>
  <sheetViews>
    <sheetView view="pageBreakPreview" topLeftCell="A52" zoomScale="80" zoomScaleNormal="100" zoomScaleSheetLayoutView="80" workbookViewId="0">
      <selection activeCell="M66" sqref="M66"/>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9">
      <c r="A17" s="25"/>
      <c r="B17" s="26"/>
      <c r="C17" s="224"/>
      <c r="D17" s="224"/>
      <c r="E17" s="224"/>
      <c r="F17" s="224"/>
      <c r="G17" s="224"/>
      <c r="H17" s="224"/>
      <c r="I17" s="224"/>
      <c r="J17" s="224"/>
      <c r="K17" s="224"/>
      <c r="L17" s="224"/>
      <c r="M17" s="13"/>
    </row>
    <row r="18" spans="1:19">
      <c r="A18" s="25" t="s">
        <v>74</v>
      </c>
      <c r="B18" s="26"/>
      <c r="C18" s="379"/>
      <c r="D18" s="379"/>
      <c r="E18" s="379"/>
      <c r="F18" s="379"/>
      <c r="G18" s="379"/>
      <c r="H18" s="379"/>
      <c r="I18" s="379"/>
      <c r="J18" s="379"/>
      <c r="K18" s="379"/>
      <c r="L18" s="379"/>
      <c r="M18" s="380"/>
    </row>
    <row r="19" spans="1:19">
      <c r="A19" s="25"/>
      <c r="B19" s="26"/>
      <c r="C19" s="224"/>
      <c r="D19" s="224"/>
      <c r="E19" s="224"/>
      <c r="F19" s="224"/>
      <c r="G19" s="224"/>
      <c r="H19" s="224"/>
      <c r="I19" s="224"/>
      <c r="J19" s="224"/>
      <c r="K19" s="224"/>
      <c r="L19" s="224"/>
      <c r="M19" s="13"/>
    </row>
    <row r="20" spans="1:19" ht="31.5" customHeight="1">
      <c r="A20" s="464" t="s">
        <v>113</v>
      </c>
      <c r="B20" s="465"/>
      <c r="C20" s="379"/>
      <c r="D20" s="379"/>
      <c r="E20" s="379"/>
      <c r="F20" s="379"/>
      <c r="G20" s="379"/>
      <c r="H20" s="379"/>
      <c r="I20" s="379"/>
      <c r="J20" s="379"/>
      <c r="K20" s="379"/>
      <c r="L20" s="379"/>
      <c r="M20" s="380"/>
    </row>
    <row r="21" spans="1:19">
      <c r="A21" s="400"/>
      <c r="B21" s="401"/>
      <c r="C21" s="224"/>
      <c r="D21" s="224"/>
      <c r="E21" s="224"/>
      <c r="F21" s="224"/>
      <c r="G21" s="224"/>
      <c r="H21" s="224"/>
      <c r="I21" s="224"/>
      <c r="J21" s="224"/>
      <c r="K21" s="224"/>
      <c r="L21" s="22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216" t="s">
        <v>78</v>
      </c>
      <c r="K25" s="408" t="s">
        <v>79</v>
      </c>
      <c r="L25" s="409"/>
      <c r="M25" s="31" t="s">
        <v>80</v>
      </c>
    </row>
    <row r="26" spans="1:19" ht="19.5" customHeight="1" thickBot="1">
      <c r="A26" s="33"/>
      <c r="B26" s="509" t="s">
        <v>332</v>
      </c>
      <c r="C26" s="510"/>
      <c r="D26" s="510"/>
      <c r="E26" s="510"/>
      <c r="F26" s="510"/>
      <c r="G26" s="510"/>
      <c r="H26" s="510"/>
      <c r="I26" s="511"/>
      <c r="J26" s="215">
        <v>1</v>
      </c>
      <c r="K26" s="391" t="s">
        <v>8</v>
      </c>
      <c r="L26" s="393"/>
      <c r="M26" s="35"/>
      <c r="N26" s="230"/>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221" t="s">
        <v>83</v>
      </c>
      <c r="K30" s="421" t="s">
        <v>84</v>
      </c>
      <c r="L30" s="424"/>
      <c r="M30" s="44" t="s">
        <v>85</v>
      </c>
    </row>
    <row r="31" spans="1:19" ht="15.75" thickBot="1">
      <c r="A31" s="425" t="s">
        <v>209</v>
      </c>
      <c r="B31" s="426"/>
      <c r="C31" s="426"/>
      <c r="D31" s="426"/>
      <c r="E31" s="427"/>
      <c r="F31" s="428" t="s">
        <v>210</v>
      </c>
      <c r="G31" s="429"/>
      <c r="H31" s="430" t="s">
        <v>211</v>
      </c>
      <c r="I31" s="427"/>
      <c r="J31" s="72">
        <v>49980</v>
      </c>
      <c r="K31" s="428">
        <f>0.03*60%</f>
        <v>1.7999999999999999E-2</v>
      </c>
      <c r="L31" s="429"/>
      <c r="M31" s="231">
        <f>J31*K31</f>
        <v>899.64</v>
      </c>
      <c r="N31" s="489"/>
      <c r="O31" s="490"/>
      <c r="P31" s="95"/>
      <c r="Q31" s="96"/>
      <c r="R31" s="97"/>
      <c r="S31" s="98"/>
    </row>
    <row r="32" spans="1:19">
      <c r="A32" s="425" t="s">
        <v>325</v>
      </c>
      <c r="B32" s="426"/>
      <c r="C32" s="426"/>
      <c r="D32" s="426"/>
      <c r="E32" s="427"/>
      <c r="F32" s="428" t="s">
        <v>110</v>
      </c>
      <c r="G32" s="429"/>
      <c r="H32" s="430" t="s">
        <v>211</v>
      </c>
      <c r="I32" s="427"/>
      <c r="J32" s="72">
        <v>40240</v>
      </c>
      <c r="K32" s="428">
        <v>150</v>
      </c>
      <c r="L32" s="429"/>
      <c r="M32" s="231">
        <f>J32/K32</f>
        <v>268.26666666666665</v>
      </c>
    </row>
    <row r="33" spans="1:16" ht="15.75" thickBot="1">
      <c r="A33" s="410" t="s">
        <v>124</v>
      </c>
      <c r="B33" s="411"/>
      <c r="C33" s="411"/>
      <c r="D33" s="411"/>
      <c r="E33" s="412"/>
      <c r="F33" s="414" t="s">
        <v>125</v>
      </c>
      <c r="G33" s="415"/>
      <c r="H33" s="413" t="s">
        <v>86</v>
      </c>
      <c r="I33" s="412"/>
      <c r="J33" s="91">
        <f>1045.77*60%</f>
        <v>627.46199999999999</v>
      </c>
      <c r="K33" s="414">
        <v>1</v>
      </c>
      <c r="L33" s="415"/>
      <c r="M33" s="46">
        <f>J33/K33</f>
        <v>627.46199999999999</v>
      </c>
    </row>
    <row r="34" spans="1:16" ht="15.75" thickBot="1">
      <c r="A34" s="416" t="s">
        <v>87</v>
      </c>
      <c r="B34" s="417"/>
      <c r="C34" s="417"/>
      <c r="D34" s="417"/>
      <c r="E34" s="417"/>
      <c r="F34" s="417"/>
      <c r="G34" s="417"/>
      <c r="H34" s="417"/>
      <c r="I34" s="417"/>
      <c r="J34" s="417"/>
      <c r="K34" s="417"/>
      <c r="L34" s="418"/>
      <c r="M34" s="232">
        <f>SUM(M31:M33)</f>
        <v>1795.3686666666667</v>
      </c>
    </row>
    <row r="35" spans="1:16">
      <c r="A35" s="50"/>
      <c r="B35" s="19"/>
      <c r="C35" s="19"/>
      <c r="D35" s="19"/>
      <c r="E35" s="19"/>
      <c r="F35" s="19"/>
      <c r="G35" s="19"/>
      <c r="H35" s="19"/>
      <c r="I35" s="19"/>
      <c r="J35" s="19"/>
      <c r="K35" s="19"/>
      <c r="L35" s="19"/>
      <c r="M35" s="24"/>
    </row>
    <row r="36" spans="1:16">
      <c r="A36" s="51" t="s">
        <v>88</v>
      </c>
      <c r="B36" s="52"/>
      <c r="C36" s="52"/>
      <c r="D36" s="52"/>
      <c r="E36" s="52"/>
      <c r="F36" s="52"/>
      <c r="G36" s="52"/>
      <c r="H36" s="52"/>
      <c r="I36" s="52"/>
      <c r="J36" s="52"/>
      <c r="K36" s="52"/>
      <c r="L36" s="52"/>
      <c r="M36" s="53"/>
    </row>
    <row r="37" spans="1:16" ht="15.75" thickBot="1">
      <c r="A37" s="14"/>
      <c r="B37" s="15"/>
      <c r="C37" s="15"/>
      <c r="D37" s="15"/>
      <c r="E37" s="15"/>
      <c r="F37" s="15"/>
      <c r="G37" s="15"/>
      <c r="H37" s="15"/>
      <c r="I37" s="19"/>
      <c r="J37" s="19"/>
      <c r="K37" s="19"/>
      <c r="L37" s="19"/>
      <c r="M37" s="24"/>
    </row>
    <row r="38" spans="1:16" ht="15.75" thickBot="1">
      <c r="A38" s="517" t="s">
        <v>77</v>
      </c>
      <c r="B38" s="518"/>
      <c r="C38" s="518"/>
      <c r="D38" s="518"/>
      <c r="E38" s="518"/>
      <c r="F38" s="518"/>
      <c r="G38" s="518"/>
      <c r="H38" s="519"/>
      <c r="I38" s="233" t="s">
        <v>79</v>
      </c>
      <c r="J38" s="234" t="s">
        <v>80</v>
      </c>
      <c r="K38" s="520" t="s">
        <v>89</v>
      </c>
      <c r="L38" s="519"/>
      <c r="M38" s="235" t="s">
        <v>85</v>
      </c>
    </row>
    <row r="39" spans="1:16" ht="15" customHeight="1">
      <c r="A39" s="521" t="s">
        <v>326</v>
      </c>
      <c r="B39" s="522"/>
      <c r="C39" s="522"/>
      <c r="D39" s="522"/>
      <c r="E39" s="522"/>
      <c r="F39" s="522"/>
      <c r="G39" s="522"/>
      <c r="H39" s="523"/>
      <c r="I39" s="236" t="s">
        <v>9</v>
      </c>
      <c r="J39" s="237">
        <f>1.05*60%</f>
        <v>0.63</v>
      </c>
      <c r="K39" s="524">
        <f>10787*1.0562</f>
        <v>11393.2294</v>
      </c>
      <c r="L39" s="525"/>
      <c r="M39" s="238">
        <f>K39*J39</f>
        <v>7177.7345219999997</v>
      </c>
      <c r="O39" s="94"/>
    </row>
    <row r="40" spans="1:16" ht="15" customHeight="1">
      <c r="A40" s="484" t="s">
        <v>197</v>
      </c>
      <c r="B40" s="485"/>
      <c r="C40" s="485"/>
      <c r="D40" s="485"/>
      <c r="E40" s="485"/>
      <c r="F40" s="485"/>
      <c r="G40" s="485"/>
      <c r="H40" s="486"/>
      <c r="I40" s="239" t="s">
        <v>233</v>
      </c>
      <c r="J40" s="240">
        <f>0.04*60%</f>
        <v>2.4E-2</v>
      </c>
      <c r="K40" s="512">
        <f>76735*1.0562</f>
        <v>81047.506999999998</v>
      </c>
      <c r="L40" s="513"/>
      <c r="M40" s="238">
        <f t="shared" ref="M40:M48" si="0">K40*J40</f>
        <v>1945.1401679999999</v>
      </c>
      <c r="P40" s="94"/>
    </row>
    <row r="41" spans="1:16" ht="15" customHeight="1">
      <c r="A41" s="484" t="s">
        <v>327</v>
      </c>
      <c r="B41" s="485"/>
      <c r="C41" s="485"/>
      <c r="D41" s="485"/>
      <c r="E41" s="485"/>
      <c r="F41" s="485"/>
      <c r="G41" s="485"/>
      <c r="H41" s="486"/>
      <c r="I41" s="239" t="s">
        <v>11</v>
      </c>
      <c r="J41" s="240">
        <f>0.45*60%</f>
        <v>0.27</v>
      </c>
      <c r="K41" s="512">
        <f>4977*1.0562</f>
        <v>5256.7074000000002</v>
      </c>
      <c r="L41" s="513"/>
      <c r="M41" s="238">
        <f t="shared" si="0"/>
        <v>1419.3109980000002</v>
      </c>
    </row>
    <row r="42" spans="1:16" ht="15" customHeight="1">
      <c r="A42" s="425" t="s">
        <v>328</v>
      </c>
      <c r="B42" s="426"/>
      <c r="C42" s="426"/>
      <c r="D42" s="426"/>
      <c r="E42" s="426"/>
      <c r="F42" s="426"/>
      <c r="G42" s="426"/>
      <c r="H42" s="427"/>
      <c r="I42" s="239" t="s">
        <v>11</v>
      </c>
      <c r="J42" s="240">
        <f>3*60%</f>
        <v>1.7999999999999998</v>
      </c>
      <c r="K42" s="512">
        <f>129*1.0562</f>
        <v>136.24979999999999</v>
      </c>
      <c r="L42" s="513"/>
      <c r="M42" s="238">
        <f t="shared" si="0"/>
        <v>245.24963999999997</v>
      </c>
    </row>
    <row r="43" spans="1:16">
      <c r="A43" s="425" t="s">
        <v>181</v>
      </c>
      <c r="B43" s="426"/>
      <c r="C43" s="426"/>
      <c r="D43" s="426"/>
      <c r="E43" s="426"/>
      <c r="F43" s="426"/>
      <c r="G43" s="426"/>
      <c r="H43" s="427"/>
      <c r="I43" s="239" t="s">
        <v>11</v>
      </c>
      <c r="J43" s="240">
        <f>0.07*60%</f>
        <v>4.2000000000000003E-2</v>
      </c>
      <c r="K43" s="512">
        <f>8990*1.0562</f>
        <v>9495.2379999999994</v>
      </c>
      <c r="L43" s="513"/>
      <c r="M43" s="238">
        <f t="shared" si="0"/>
        <v>398.79999600000002</v>
      </c>
    </row>
    <row r="44" spans="1:16">
      <c r="A44" s="516" t="s">
        <v>184</v>
      </c>
      <c r="B44" s="426"/>
      <c r="C44" s="426"/>
      <c r="D44" s="426"/>
      <c r="E44" s="426"/>
      <c r="F44" s="426"/>
      <c r="G44" s="426"/>
      <c r="H44" s="427"/>
      <c r="I44" s="239" t="s">
        <v>233</v>
      </c>
      <c r="J44" s="240">
        <f>0.06*60%</f>
        <v>3.5999999999999997E-2</v>
      </c>
      <c r="K44" s="512">
        <f>66019*1.0562</f>
        <v>69729.267800000001</v>
      </c>
      <c r="L44" s="513"/>
      <c r="M44" s="238">
        <f t="shared" si="0"/>
        <v>2510.2536408000001</v>
      </c>
    </row>
    <row r="45" spans="1:16">
      <c r="A45" s="425" t="s">
        <v>183</v>
      </c>
      <c r="B45" s="426"/>
      <c r="C45" s="426"/>
      <c r="D45" s="426"/>
      <c r="E45" s="426"/>
      <c r="F45" s="426"/>
      <c r="G45" s="426"/>
      <c r="H45" s="427"/>
      <c r="I45" s="239" t="s">
        <v>11</v>
      </c>
      <c r="J45" s="240">
        <f>1*60%</f>
        <v>0.6</v>
      </c>
      <c r="K45" s="512">
        <f>1438*1.0562</f>
        <v>1518.8156000000001</v>
      </c>
      <c r="L45" s="513"/>
      <c r="M45" s="238">
        <f t="shared" si="0"/>
        <v>911.2893600000001</v>
      </c>
    </row>
    <row r="46" spans="1:16">
      <c r="A46" s="425" t="s">
        <v>329</v>
      </c>
      <c r="B46" s="426"/>
      <c r="C46" s="426"/>
      <c r="D46" s="426"/>
      <c r="E46" s="426"/>
      <c r="F46" s="426"/>
      <c r="G46" s="426"/>
      <c r="H46" s="427"/>
      <c r="I46" s="239" t="s">
        <v>11</v>
      </c>
      <c r="J46" s="240">
        <f>2*60%</f>
        <v>1.2</v>
      </c>
      <c r="K46" s="512">
        <f>719*1.0562</f>
        <v>759.40780000000007</v>
      </c>
      <c r="L46" s="513"/>
      <c r="M46" s="238">
        <f t="shared" si="0"/>
        <v>911.2893600000001</v>
      </c>
    </row>
    <row r="47" spans="1:16">
      <c r="A47" s="425" t="s">
        <v>330</v>
      </c>
      <c r="B47" s="426"/>
      <c r="C47" s="426"/>
      <c r="D47" s="426"/>
      <c r="E47" s="426"/>
      <c r="F47" s="426"/>
      <c r="G47" s="426"/>
      <c r="H47" s="427"/>
      <c r="I47" s="239" t="s">
        <v>11</v>
      </c>
      <c r="J47" s="240">
        <f>1.25*60%</f>
        <v>0.75</v>
      </c>
      <c r="K47" s="512">
        <f>7335*1.0562</f>
        <v>7747.2269999999999</v>
      </c>
      <c r="L47" s="513"/>
      <c r="M47" s="238">
        <f t="shared" si="0"/>
        <v>5810.4202500000001</v>
      </c>
    </row>
    <row r="48" spans="1:16" ht="15.75" thickBot="1">
      <c r="A48" s="410" t="s">
        <v>331</v>
      </c>
      <c r="B48" s="411"/>
      <c r="C48" s="411"/>
      <c r="D48" s="411"/>
      <c r="E48" s="411"/>
      <c r="F48" s="411"/>
      <c r="G48" s="411"/>
      <c r="H48" s="412"/>
      <c r="I48" s="95" t="s">
        <v>8</v>
      </c>
      <c r="J48" s="241">
        <f>0.9*60%</f>
        <v>0.54</v>
      </c>
      <c r="K48" s="514">
        <f>1934*1.0562</f>
        <v>2042.6908000000001</v>
      </c>
      <c r="L48" s="515"/>
      <c r="M48" s="238">
        <f t="shared" si="0"/>
        <v>1103.053032</v>
      </c>
    </row>
    <row r="49" spans="1:13" ht="15.75" thickBot="1">
      <c r="A49" s="416" t="s">
        <v>87</v>
      </c>
      <c r="B49" s="417"/>
      <c r="C49" s="417"/>
      <c r="D49" s="417"/>
      <c r="E49" s="417"/>
      <c r="F49" s="417"/>
      <c r="G49" s="417"/>
      <c r="H49" s="417"/>
      <c r="I49" s="417"/>
      <c r="J49" s="417"/>
      <c r="K49" s="417"/>
      <c r="L49" s="418"/>
      <c r="M49" s="58">
        <f>SUM(M39:M48)</f>
        <v>22432.540966800003</v>
      </c>
    </row>
    <row r="50" spans="1:13">
      <c r="A50" s="30"/>
      <c r="B50" s="19"/>
      <c r="C50" s="19"/>
      <c r="D50" s="19"/>
      <c r="E50" s="19"/>
      <c r="F50" s="19"/>
      <c r="G50" s="19"/>
      <c r="H50" s="19"/>
      <c r="I50" s="19"/>
      <c r="J50" s="19"/>
      <c r="K50" s="19"/>
      <c r="L50" s="19"/>
      <c r="M50" s="24"/>
    </row>
    <row r="51" spans="1:13">
      <c r="A51" s="51" t="s">
        <v>90</v>
      </c>
      <c r="B51" s="52"/>
      <c r="C51" s="52"/>
      <c r="D51" s="52"/>
      <c r="E51" s="52"/>
      <c r="F51" s="52"/>
      <c r="G51" s="52"/>
      <c r="H51" s="52"/>
      <c r="I51" s="52"/>
      <c r="J51" s="52"/>
      <c r="K51" s="52"/>
      <c r="L51" s="52"/>
      <c r="M51" s="53"/>
    </row>
    <row r="52" spans="1:13" ht="15.75" thickBot="1">
      <c r="A52" s="30"/>
      <c r="B52" s="19"/>
      <c r="C52" s="19"/>
      <c r="D52" s="19"/>
      <c r="E52" s="19"/>
      <c r="F52" s="19"/>
      <c r="G52" s="19"/>
      <c r="H52" s="19"/>
      <c r="I52" s="19"/>
      <c r="J52" s="19"/>
      <c r="K52" s="19"/>
      <c r="L52" s="19"/>
      <c r="M52" s="24"/>
    </row>
    <row r="53" spans="1:13">
      <c r="A53" s="408" t="s">
        <v>91</v>
      </c>
      <c r="B53" s="431"/>
      <c r="C53" s="431"/>
      <c r="D53" s="431"/>
      <c r="E53" s="431"/>
      <c r="F53" s="431"/>
      <c r="G53" s="431"/>
      <c r="H53" s="221" t="s">
        <v>92</v>
      </c>
      <c r="I53" s="218" t="s">
        <v>93</v>
      </c>
      <c r="J53" s="60" t="s">
        <v>94</v>
      </c>
      <c r="K53" s="421" t="s">
        <v>95</v>
      </c>
      <c r="L53" s="424"/>
      <c r="M53" s="44" t="s">
        <v>85</v>
      </c>
    </row>
    <row r="54" spans="1:13">
      <c r="A54" s="425"/>
      <c r="B54" s="426"/>
      <c r="C54" s="426"/>
      <c r="D54" s="426"/>
      <c r="E54" s="426"/>
      <c r="F54" s="426"/>
      <c r="G54" s="426"/>
      <c r="H54" s="61"/>
      <c r="I54" s="55"/>
      <c r="J54" s="61"/>
      <c r="K54" s="428"/>
      <c r="L54" s="429"/>
    </row>
    <row r="55" spans="1:13" ht="15.75" thickBot="1">
      <c r="A55" s="410"/>
      <c r="B55" s="411"/>
      <c r="C55" s="411"/>
      <c r="D55" s="411"/>
      <c r="E55" s="411"/>
      <c r="F55" s="411"/>
      <c r="G55" s="411"/>
      <c r="H55" s="47"/>
      <c r="I55" s="15"/>
      <c r="J55" s="47"/>
      <c r="K55" s="414"/>
      <c r="L55" s="415"/>
      <c r="M55" s="62"/>
    </row>
    <row r="56" spans="1:13" ht="15.75" thickBot="1">
      <c r="A56" s="416" t="s">
        <v>87</v>
      </c>
      <c r="B56" s="417"/>
      <c r="C56" s="417"/>
      <c r="D56" s="417"/>
      <c r="E56" s="417"/>
      <c r="F56" s="417"/>
      <c r="G56" s="417"/>
      <c r="H56" s="417"/>
      <c r="I56" s="417"/>
      <c r="J56" s="417"/>
      <c r="K56" s="417"/>
      <c r="L56" s="418"/>
      <c r="M56" s="63">
        <f>SUM(M55:M55)</f>
        <v>0</v>
      </c>
    </row>
    <row r="57" spans="1:13">
      <c r="A57" s="30"/>
      <c r="B57" s="19"/>
      <c r="C57" s="19"/>
      <c r="D57" s="19"/>
      <c r="E57" s="19"/>
      <c r="F57" s="19"/>
      <c r="G57" s="19"/>
      <c r="H57" s="19"/>
      <c r="I57" s="19"/>
      <c r="J57" s="19"/>
      <c r="K57" s="19"/>
      <c r="L57" s="19"/>
      <c r="M57" s="24"/>
    </row>
    <row r="58" spans="1:13">
      <c r="A58" s="51" t="s">
        <v>96</v>
      </c>
      <c r="B58" s="52"/>
      <c r="C58" s="52"/>
      <c r="D58" s="52"/>
      <c r="E58" s="52"/>
      <c r="F58" s="52"/>
      <c r="G58" s="52"/>
      <c r="H58" s="52"/>
      <c r="I58" s="52"/>
      <c r="J58" s="52"/>
      <c r="K58" s="52"/>
      <c r="L58" s="52"/>
      <c r="M58" s="53"/>
    </row>
    <row r="59" spans="1:13" ht="15.75" thickBot="1">
      <c r="A59" s="30"/>
      <c r="B59" s="19"/>
      <c r="C59" s="19"/>
      <c r="D59" s="19"/>
      <c r="E59" s="19"/>
      <c r="F59" s="19"/>
      <c r="G59" s="19"/>
      <c r="H59" s="19"/>
      <c r="I59" s="19"/>
      <c r="J59" s="19"/>
      <c r="K59" s="19"/>
      <c r="L59" s="19"/>
      <c r="M59" s="24"/>
    </row>
    <row r="60" spans="1:13" ht="26.25">
      <c r="A60" s="453" t="s">
        <v>97</v>
      </c>
      <c r="B60" s="454"/>
      <c r="C60" s="454"/>
      <c r="D60" s="454"/>
      <c r="E60" s="454"/>
      <c r="F60" s="454"/>
      <c r="G60" s="454"/>
      <c r="H60" s="221" t="s">
        <v>98</v>
      </c>
      <c r="I60" s="222" t="s">
        <v>99</v>
      </c>
      <c r="J60" s="222" t="s">
        <v>100</v>
      </c>
      <c r="K60" s="455" t="s">
        <v>84</v>
      </c>
      <c r="L60" s="455"/>
      <c r="M60" s="65" t="s">
        <v>85</v>
      </c>
    </row>
    <row r="61" spans="1:13">
      <c r="A61" s="471" t="s">
        <v>204</v>
      </c>
      <c r="B61" s="472"/>
      <c r="C61" s="472"/>
      <c r="D61" s="472"/>
      <c r="E61" s="472"/>
      <c r="F61" s="472"/>
      <c r="G61" s="472"/>
      <c r="H61" s="1">
        <v>118472</v>
      </c>
      <c r="I61" s="2">
        <v>2.2000000000000002</v>
      </c>
      <c r="J61" s="66">
        <f>(I61*H61)</f>
        <v>260638.40000000002</v>
      </c>
      <c r="K61" s="483">
        <v>20</v>
      </c>
      <c r="L61" s="483"/>
      <c r="M61" s="56">
        <f>J61/K61</f>
        <v>13031.920000000002</v>
      </c>
    </row>
    <row r="62" spans="1:13">
      <c r="A62" s="471"/>
      <c r="B62" s="472"/>
      <c r="C62" s="472"/>
      <c r="D62" s="472"/>
      <c r="E62" s="472"/>
      <c r="F62" s="472"/>
      <c r="G62" s="472"/>
      <c r="H62" s="1"/>
      <c r="I62" s="2"/>
      <c r="J62" s="66"/>
      <c r="K62" s="473"/>
      <c r="L62" s="473"/>
      <c r="M62" s="56"/>
    </row>
    <row r="63" spans="1:13" ht="15.75" thickBot="1">
      <c r="A63" s="432"/>
      <c r="B63" s="433"/>
      <c r="C63" s="433"/>
      <c r="D63" s="433"/>
      <c r="E63" s="433"/>
      <c r="F63" s="433"/>
      <c r="G63" s="433"/>
      <c r="H63" s="3"/>
      <c r="I63" s="4"/>
      <c r="J63" s="67"/>
      <c r="K63" s="434"/>
      <c r="L63" s="434"/>
      <c r="M63" s="68"/>
    </row>
    <row r="64" spans="1:13" ht="15.75" thickBot="1">
      <c r="A64" s="435" t="s">
        <v>87</v>
      </c>
      <c r="B64" s="436"/>
      <c r="C64" s="436"/>
      <c r="D64" s="436"/>
      <c r="E64" s="436"/>
      <c r="F64" s="436"/>
      <c r="G64" s="436"/>
      <c r="H64" s="436"/>
      <c r="I64" s="436"/>
      <c r="J64" s="436"/>
      <c r="K64" s="436"/>
      <c r="L64" s="437"/>
      <c r="M64" s="69">
        <f>SUM(M61:M63)</f>
        <v>13031.920000000002</v>
      </c>
    </row>
    <row r="65" spans="1:13" ht="15.75" thickBot="1">
      <c r="A65" s="30"/>
      <c r="B65" s="19"/>
      <c r="C65" s="19"/>
      <c r="D65" s="19"/>
      <c r="E65" s="19"/>
      <c r="F65" s="19"/>
      <c r="G65" s="19"/>
      <c r="H65" s="19"/>
      <c r="I65" s="19"/>
      <c r="J65" s="19"/>
      <c r="K65" s="19"/>
      <c r="L65" s="19"/>
      <c r="M65" s="24"/>
    </row>
    <row r="66" spans="1:13" ht="15.75" thickBot="1">
      <c r="A66" s="416" t="s">
        <v>101</v>
      </c>
      <c r="B66" s="417"/>
      <c r="C66" s="417"/>
      <c r="D66" s="417"/>
      <c r="E66" s="417"/>
      <c r="F66" s="417"/>
      <c r="G66" s="417"/>
      <c r="H66" s="417"/>
      <c r="I66" s="417"/>
      <c r="J66" s="417"/>
      <c r="K66" s="417"/>
      <c r="L66" s="418"/>
      <c r="M66" s="70">
        <f>ROUND(M64+M56+M49+M34,0)</f>
        <v>37260</v>
      </c>
    </row>
    <row r="67" spans="1:13">
      <c r="A67" s="30"/>
      <c r="B67" s="19"/>
      <c r="C67" s="19"/>
      <c r="D67" s="19"/>
      <c r="E67" s="19"/>
      <c r="F67" s="19"/>
      <c r="G67" s="19"/>
      <c r="H67" s="19"/>
      <c r="I67" s="19"/>
      <c r="J67" s="19"/>
      <c r="K67" s="19"/>
      <c r="L67" s="19"/>
      <c r="M67" s="24"/>
    </row>
    <row r="68" spans="1:13">
      <c r="A68" s="51" t="s">
        <v>102</v>
      </c>
      <c r="B68" s="52"/>
      <c r="C68" s="52"/>
      <c r="D68" s="52"/>
      <c r="E68" s="52"/>
      <c r="F68" s="52"/>
      <c r="G68" s="52"/>
      <c r="H68" s="52"/>
      <c r="I68" s="52"/>
      <c r="J68" s="52"/>
      <c r="K68" s="52"/>
      <c r="L68" s="52"/>
      <c r="M68" s="53"/>
    </row>
    <row r="69" spans="1:13" ht="15.75" thickBot="1">
      <c r="A69" s="30"/>
      <c r="B69" s="19"/>
      <c r="C69" s="19"/>
      <c r="D69" s="19"/>
      <c r="E69" s="19"/>
      <c r="F69" s="19"/>
      <c r="G69" s="19"/>
      <c r="H69" s="19"/>
      <c r="I69" s="19"/>
      <c r="J69" s="19"/>
      <c r="K69" s="19"/>
      <c r="L69" s="19"/>
      <c r="M69" s="24"/>
    </row>
    <row r="70" spans="1:13" ht="15.75" thickBot="1">
      <c r="A70" s="438" t="s">
        <v>103</v>
      </c>
      <c r="B70" s="439"/>
      <c r="C70" s="439"/>
      <c r="D70" s="439"/>
      <c r="E70" s="439"/>
      <c r="F70" s="439"/>
      <c r="G70" s="439"/>
      <c r="H70" s="219"/>
      <c r="I70" s="220"/>
      <c r="J70" s="81" t="s">
        <v>104</v>
      </c>
      <c r="K70" s="440" t="s">
        <v>105</v>
      </c>
      <c r="L70" s="441"/>
      <c r="M70" s="82"/>
    </row>
    <row r="71" spans="1:13">
      <c r="A71" s="442" t="s">
        <v>106</v>
      </c>
      <c r="B71" s="443"/>
      <c r="C71" s="443"/>
      <c r="D71" s="443"/>
      <c r="E71" s="443"/>
      <c r="F71" s="443"/>
      <c r="G71" s="443"/>
      <c r="H71" s="83"/>
      <c r="I71" s="84"/>
      <c r="J71" s="85">
        <v>0.19</v>
      </c>
      <c r="K71" s="444">
        <f>M66*J71</f>
        <v>7079.4</v>
      </c>
      <c r="L71" s="444"/>
      <c r="M71" s="86"/>
    </row>
    <row r="72" spans="1:13">
      <c r="A72" s="447" t="s">
        <v>107</v>
      </c>
      <c r="B72" s="448"/>
      <c r="C72" s="448"/>
      <c r="D72" s="448"/>
      <c r="E72" s="448"/>
      <c r="F72" s="448"/>
      <c r="G72" s="449"/>
      <c r="H72" s="77"/>
      <c r="I72" s="78"/>
      <c r="J72" s="5">
        <v>0.01</v>
      </c>
      <c r="K72" s="445">
        <f>M66*J72</f>
        <v>372.6</v>
      </c>
      <c r="L72" s="445"/>
      <c r="M72" s="6"/>
    </row>
    <row r="73" spans="1:13">
      <c r="A73" s="447" t="s">
        <v>108</v>
      </c>
      <c r="B73" s="448"/>
      <c r="C73" s="448"/>
      <c r="D73" s="448"/>
      <c r="E73" s="448"/>
      <c r="F73" s="448"/>
      <c r="G73" s="449"/>
      <c r="H73" s="77"/>
      <c r="I73" s="78"/>
      <c r="J73" s="5">
        <v>0.05</v>
      </c>
      <c r="K73" s="445">
        <f>M66*J73</f>
        <v>1863</v>
      </c>
      <c r="L73" s="445"/>
      <c r="M73" s="6"/>
    </row>
    <row r="74" spans="1:13" ht="15.75" thickBot="1">
      <c r="A74" s="450" t="s">
        <v>117</v>
      </c>
      <c r="B74" s="451"/>
      <c r="C74" s="451"/>
      <c r="D74" s="451"/>
      <c r="E74" s="451"/>
      <c r="F74" s="451"/>
      <c r="G74" s="452"/>
      <c r="H74" s="87"/>
      <c r="I74" s="88"/>
      <c r="J74" s="89">
        <v>0.19</v>
      </c>
      <c r="K74" s="446">
        <f>K73*J74</f>
        <v>353.97</v>
      </c>
      <c r="L74" s="446"/>
      <c r="M74" s="90"/>
    </row>
    <row r="75" spans="1:13" ht="15.75" thickBot="1">
      <c r="A75" s="435" t="s">
        <v>87</v>
      </c>
      <c r="B75" s="436"/>
      <c r="C75" s="436"/>
      <c r="D75" s="436"/>
      <c r="E75" s="436"/>
      <c r="F75" s="436"/>
      <c r="G75" s="436"/>
      <c r="H75" s="436"/>
      <c r="I75" s="436"/>
      <c r="J75" s="436"/>
      <c r="K75" s="436"/>
      <c r="L75" s="437"/>
      <c r="M75" s="76">
        <f>SUM(K71:L74)</f>
        <v>9668.9699999999993</v>
      </c>
    </row>
    <row r="76" spans="1:13" ht="15.75" thickBot="1">
      <c r="A76" s="30"/>
      <c r="B76" s="19"/>
      <c r="C76" s="19"/>
      <c r="D76" s="19"/>
      <c r="E76" s="19"/>
      <c r="F76" s="19"/>
      <c r="G76" s="19"/>
      <c r="H76" s="19"/>
      <c r="I76" s="19"/>
      <c r="J76" s="19"/>
      <c r="K76" s="19"/>
      <c r="L76" s="19"/>
      <c r="M76" s="24"/>
    </row>
    <row r="77" spans="1:13" ht="15.75" thickBot="1">
      <c r="A77" s="416" t="s">
        <v>109</v>
      </c>
      <c r="B77" s="417"/>
      <c r="C77" s="417"/>
      <c r="D77" s="417"/>
      <c r="E77" s="417"/>
      <c r="F77" s="417"/>
      <c r="G77" s="417"/>
      <c r="H77" s="417"/>
      <c r="I77" s="417"/>
      <c r="J77" s="417"/>
      <c r="K77" s="417"/>
      <c r="L77" s="418"/>
      <c r="M77" s="71">
        <f>ROUND(M66+M75,0)</f>
        <v>46929</v>
      </c>
    </row>
  </sheetData>
  <mergeCells count="90">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H47"/>
    <mergeCell ref="K47:L47"/>
    <mergeCell ref="A48:H48"/>
    <mergeCell ref="K48:L48"/>
    <mergeCell ref="A49:L49"/>
    <mergeCell ref="A53:G53"/>
    <mergeCell ref="K53:L53"/>
    <mergeCell ref="A54:G54"/>
    <mergeCell ref="K54:L54"/>
    <mergeCell ref="A55:G55"/>
    <mergeCell ref="K55:L55"/>
    <mergeCell ref="A56:L56"/>
    <mergeCell ref="A61:G61"/>
    <mergeCell ref="K61:L61"/>
    <mergeCell ref="A62:G62"/>
    <mergeCell ref="K62:L62"/>
    <mergeCell ref="A63:G63"/>
    <mergeCell ref="K63:L63"/>
    <mergeCell ref="A64:L64"/>
    <mergeCell ref="A66:L66"/>
    <mergeCell ref="A70:G70"/>
    <mergeCell ref="K70:L70"/>
    <mergeCell ref="A71:G71"/>
    <mergeCell ref="K71:L71"/>
    <mergeCell ref="A75:L75"/>
    <mergeCell ref="A77:L77"/>
    <mergeCell ref="A72:G72"/>
    <mergeCell ref="K72:L72"/>
    <mergeCell ref="A73:G73"/>
    <mergeCell ref="K73:L73"/>
    <mergeCell ref="A74:G74"/>
    <mergeCell ref="K74:L74"/>
  </mergeCells>
  <pageMargins left="0.7" right="0.7" top="0.75" bottom="0.75" header="0.3" footer="0.3"/>
  <pageSetup scale="5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topLeftCell="A40" zoomScale="80" zoomScaleNormal="100" zoomScaleSheetLayoutView="80" workbookViewId="0">
      <selection activeCell="M58" sqref="M58"/>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08"/>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09" t="s">
        <v>71</v>
      </c>
      <c r="H12" s="394"/>
      <c r="I12" s="394"/>
      <c r="J12" s="23"/>
      <c r="K12" s="23"/>
      <c r="L12" s="23"/>
      <c r="M12" s="24"/>
    </row>
    <row r="13" spans="1:13">
      <c r="A13" s="25" t="s">
        <v>72</v>
      </c>
      <c r="B13" s="26"/>
      <c r="C13" s="395" t="s">
        <v>136</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09"/>
      <c r="D17" s="109"/>
      <c r="E17" s="109"/>
      <c r="F17" s="109"/>
      <c r="G17" s="109"/>
      <c r="H17" s="109"/>
      <c r="I17" s="109"/>
      <c r="J17" s="109"/>
      <c r="K17" s="109"/>
      <c r="L17" s="109"/>
      <c r="M17" s="13"/>
    </row>
    <row r="18" spans="1:13">
      <c r="A18" s="25" t="s">
        <v>74</v>
      </c>
      <c r="B18" s="26"/>
      <c r="C18" s="379"/>
      <c r="D18" s="379"/>
      <c r="E18" s="379"/>
      <c r="F18" s="379"/>
      <c r="G18" s="379"/>
      <c r="H18" s="379"/>
      <c r="I18" s="379"/>
      <c r="J18" s="379"/>
      <c r="K18" s="379"/>
      <c r="L18" s="379"/>
      <c r="M18" s="380"/>
    </row>
    <row r="19" spans="1:13">
      <c r="A19" s="25"/>
      <c r="B19" s="26"/>
      <c r="C19" s="109"/>
      <c r="D19" s="109"/>
      <c r="E19" s="109"/>
      <c r="F19" s="109"/>
      <c r="G19" s="109"/>
      <c r="H19" s="109"/>
      <c r="I19" s="109"/>
      <c r="J19" s="109"/>
      <c r="K19" s="109"/>
      <c r="L19" s="109"/>
      <c r="M19" s="13"/>
    </row>
    <row r="20" spans="1:13" ht="31.5" customHeight="1">
      <c r="A20" s="464" t="s">
        <v>113</v>
      </c>
      <c r="B20" s="465"/>
      <c r="C20" s="379"/>
      <c r="D20" s="379"/>
      <c r="E20" s="379"/>
      <c r="F20" s="379"/>
      <c r="G20" s="379"/>
      <c r="H20" s="379"/>
      <c r="I20" s="379"/>
      <c r="J20" s="379"/>
      <c r="K20" s="379"/>
      <c r="L20" s="379"/>
      <c r="M20" s="380"/>
    </row>
    <row r="21" spans="1:13">
      <c r="A21" s="400"/>
      <c r="B21" s="401"/>
      <c r="C21" s="109"/>
      <c r="D21" s="109"/>
      <c r="E21" s="109"/>
      <c r="F21" s="109"/>
      <c r="G21" s="109"/>
      <c r="H21" s="109"/>
      <c r="I21" s="109"/>
      <c r="J21" s="109"/>
      <c r="K21" s="109"/>
      <c r="L21" s="109"/>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03" t="s">
        <v>78</v>
      </c>
      <c r="K25" s="408" t="s">
        <v>79</v>
      </c>
      <c r="L25" s="409"/>
      <c r="M25" s="31" t="s">
        <v>80</v>
      </c>
    </row>
    <row r="26" spans="1:13" ht="15.75" thickBot="1">
      <c r="A26" s="33"/>
      <c r="B26" s="391" t="s">
        <v>142</v>
      </c>
      <c r="C26" s="392"/>
      <c r="D26" s="392"/>
      <c r="E26" s="392"/>
      <c r="F26" s="392"/>
      <c r="G26" s="392"/>
      <c r="H26" s="392"/>
      <c r="I26" s="393"/>
      <c r="J26" s="100">
        <v>1</v>
      </c>
      <c r="K26" s="391" t="s">
        <v>9</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10" t="s">
        <v>83</v>
      </c>
      <c r="K30" s="421" t="s">
        <v>84</v>
      </c>
      <c r="L30" s="424"/>
      <c r="M30" s="44" t="s">
        <v>85</v>
      </c>
    </row>
    <row r="31" spans="1:13">
      <c r="A31" s="425" t="s">
        <v>134</v>
      </c>
      <c r="B31" s="426"/>
      <c r="C31" s="426"/>
      <c r="D31" s="426"/>
      <c r="E31" s="427"/>
      <c r="F31" s="428" t="s">
        <v>123</v>
      </c>
      <c r="G31" s="429"/>
      <c r="H31" s="430" t="s">
        <v>86</v>
      </c>
      <c r="I31" s="427"/>
      <c r="J31" s="72">
        <v>70067</v>
      </c>
      <c r="K31" s="468">
        <v>91.527703934992815</v>
      </c>
      <c r="L31" s="469"/>
      <c r="M31" s="46">
        <f>J31/K31</f>
        <v>765.52777997976227</v>
      </c>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765.52777997976227</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05" t="s">
        <v>79</v>
      </c>
      <c r="J37" s="110" t="s">
        <v>80</v>
      </c>
      <c r="K37" s="421" t="s">
        <v>89</v>
      </c>
      <c r="L37" s="424"/>
      <c r="M37" s="44" t="s">
        <v>85</v>
      </c>
    </row>
    <row r="38" spans="1:13">
      <c r="A38" s="425"/>
      <c r="B38" s="426"/>
      <c r="C38" s="426"/>
      <c r="D38" s="426"/>
      <c r="E38" s="426"/>
      <c r="F38" s="426"/>
      <c r="G38" s="426"/>
      <c r="H38" s="427"/>
      <c r="I38" s="73"/>
      <c r="J38" s="45"/>
      <c r="K38" s="456"/>
      <c r="L38" s="457"/>
      <c r="M38" s="56"/>
    </row>
    <row r="39" spans="1:13">
      <c r="A39" s="425"/>
      <c r="B39" s="426"/>
      <c r="C39" s="426"/>
      <c r="D39" s="426"/>
      <c r="E39" s="426"/>
      <c r="F39" s="426"/>
      <c r="G39" s="426"/>
      <c r="H39" s="427"/>
      <c r="I39" s="73"/>
      <c r="J39" s="45"/>
      <c r="K39" s="456"/>
      <c r="L39" s="457"/>
      <c r="M39" s="56"/>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ht="15.75" thickBot="1">
      <c r="A42" s="410"/>
      <c r="B42" s="411"/>
      <c r="C42" s="411"/>
      <c r="D42" s="411"/>
      <c r="E42" s="411"/>
      <c r="F42" s="411"/>
      <c r="G42" s="411"/>
      <c r="H42" s="412"/>
      <c r="I42" s="74"/>
      <c r="J42" s="57"/>
      <c r="K42" s="466"/>
      <c r="L42" s="467"/>
      <c r="M42" s="75"/>
    </row>
    <row r="43" spans="1:13" ht="15.75" thickBot="1">
      <c r="A43" s="416" t="s">
        <v>87</v>
      </c>
      <c r="B43" s="417"/>
      <c r="C43" s="417"/>
      <c r="D43" s="417"/>
      <c r="E43" s="417"/>
      <c r="F43" s="417"/>
      <c r="G43" s="417"/>
      <c r="H43" s="417"/>
      <c r="I43" s="417"/>
      <c r="J43" s="417"/>
      <c r="K43" s="417"/>
      <c r="L43" s="418"/>
      <c r="M43" s="58">
        <f>SUM(M38:M42)</f>
        <v>0</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110" t="s">
        <v>92</v>
      </c>
      <c r="I47" s="104" t="s">
        <v>93</v>
      </c>
      <c r="J47" s="60" t="s">
        <v>94</v>
      </c>
      <c r="K47" s="421" t="s">
        <v>95</v>
      </c>
      <c r="L47" s="424"/>
      <c r="M47" s="44" t="s">
        <v>85</v>
      </c>
    </row>
    <row r="48" spans="1:13">
      <c r="A48" s="425"/>
      <c r="B48" s="426"/>
      <c r="C48" s="426"/>
      <c r="D48" s="426"/>
      <c r="E48" s="426"/>
      <c r="F48" s="426"/>
      <c r="G48" s="426"/>
      <c r="H48" s="61"/>
      <c r="I48" s="55"/>
      <c r="J48" s="61"/>
      <c r="K48" s="428"/>
      <c r="L48" s="429"/>
      <c r="M48" s="62"/>
    </row>
    <row r="49" spans="1:15" ht="15.75" thickBot="1">
      <c r="A49" s="410"/>
      <c r="B49" s="411"/>
      <c r="C49" s="411"/>
      <c r="D49" s="411"/>
      <c r="E49" s="411"/>
      <c r="F49" s="411"/>
      <c r="G49" s="411"/>
      <c r="H49" s="47"/>
      <c r="I49" s="15"/>
      <c r="J49" s="47"/>
      <c r="K49" s="414"/>
      <c r="L49" s="415"/>
      <c r="M49" s="48"/>
    </row>
    <row r="50" spans="1:15" ht="15.75" thickBot="1">
      <c r="A50" s="416" t="s">
        <v>87</v>
      </c>
      <c r="B50" s="417"/>
      <c r="C50" s="417"/>
      <c r="D50" s="417"/>
      <c r="E50" s="417"/>
      <c r="F50" s="417"/>
      <c r="G50" s="417"/>
      <c r="H50" s="417"/>
      <c r="I50" s="417"/>
      <c r="J50" s="417"/>
      <c r="K50" s="417"/>
      <c r="L50" s="418"/>
      <c r="M50" s="63">
        <f>SUM(M48:M49)</f>
        <v>0</v>
      </c>
    </row>
    <row r="51" spans="1:15">
      <c r="A51" s="30"/>
      <c r="B51" s="19"/>
      <c r="C51" s="19"/>
      <c r="D51" s="19"/>
      <c r="E51" s="19"/>
      <c r="F51" s="19"/>
      <c r="G51" s="19"/>
      <c r="H51" s="19"/>
      <c r="I51" s="19"/>
      <c r="J51" s="19"/>
      <c r="K51" s="19"/>
      <c r="L51" s="19"/>
      <c r="M51" s="24"/>
    </row>
    <row r="52" spans="1:15">
      <c r="A52" s="51" t="s">
        <v>96</v>
      </c>
      <c r="B52" s="52"/>
      <c r="C52" s="52"/>
      <c r="D52" s="52"/>
      <c r="E52" s="52"/>
      <c r="F52" s="52"/>
      <c r="G52" s="52"/>
      <c r="H52" s="52"/>
      <c r="I52" s="52"/>
      <c r="J52" s="52"/>
      <c r="K52" s="52"/>
      <c r="L52" s="52"/>
      <c r="M52" s="53"/>
    </row>
    <row r="53" spans="1:15" ht="15.75" thickBot="1">
      <c r="A53" s="30"/>
      <c r="B53" s="19"/>
      <c r="C53" s="19"/>
      <c r="D53" s="19"/>
      <c r="E53" s="19"/>
      <c r="F53" s="19"/>
      <c r="G53" s="19"/>
      <c r="H53" s="19"/>
      <c r="I53" s="19"/>
      <c r="J53" s="19"/>
      <c r="K53" s="19"/>
      <c r="L53" s="19"/>
      <c r="M53" s="24"/>
    </row>
    <row r="54" spans="1:15" ht="26.25">
      <c r="A54" s="453" t="s">
        <v>97</v>
      </c>
      <c r="B54" s="454"/>
      <c r="C54" s="454"/>
      <c r="D54" s="454"/>
      <c r="E54" s="454"/>
      <c r="F54" s="454"/>
      <c r="G54" s="454"/>
      <c r="H54" s="110" t="s">
        <v>98</v>
      </c>
      <c r="I54" s="111" t="s">
        <v>99</v>
      </c>
      <c r="J54" s="111" t="s">
        <v>100</v>
      </c>
      <c r="K54" s="455" t="s">
        <v>84</v>
      </c>
      <c r="L54" s="455"/>
      <c r="M54" s="65" t="s">
        <v>85</v>
      </c>
    </row>
    <row r="55" spans="1:15" ht="15.75" thickBot="1">
      <c r="A55" s="432" t="s">
        <v>122</v>
      </c>
      <c r="B55" s="433"/>
      <c r="C55" s="433"/>
      <c r="D55" s="433"/>
      <c r="E55" s="433"/>
      <c r="F55" s="433"/>
      <c r="G55" s="433"/>
      <c r="H55" s="3">
        <v>85839.318181818162</v>
      </c>
      <c r="I55" s="4">
        <v>2.2000000000000002</v>
      </c>
      <c r="J55" s="67">
        <f>(I55*H55)</f>
        <v>188846.49999999997</v>
      </c>
      <c r="K55" s="434">
        <v>18</v>
      </c>
      <c r="L55" s="434"/>
      <c r="M55" s="68">
        <f>J55/K55</f>
        <v>10491.472222222221</v>
      </c>
    </row>
    <row r="56" spans="1:15" ht="15.75" thickBot="1">
      <c r="A56" s="435" t="s">
        <v>87</v>
      </c>
      <c r="B56" s="436"/>
      <c r="C56" s="436"/>
      <c r="D56" s="436"/>
      <c r="E56" s="436"/>
      <c r="F56" s="436"/>
      <c r="G56" s="436"/>
      <c r="H56" s="436"/>
      <c r="I56" s="436"/>
      <c r="J56" s="436"/>
      <c r="K56" s="436"/>
      <c r="L56" s="437"/>
      <c r="M56" s="69">
        <f>SUM(M55:M55)</f>
        <v>10491.472222222221</v>
      </c>
      <c r="O56" s="155"/>
    </row>
    <row r="57" spans="1:15" ht="15.75" thickBot="1">
      <c r="A57" s="30"/>
      <c r="B57" s="19"/>
      <c r="C57" s="19"/>
      <c r="D57" s="19"/>
      <c r="E57" s="19"/>
      <c r="F57" s="19"/>
      <c r="G57" s="19"/>
      <c r="H57" s="19"/>
      <c r="I57" s="19"/>
      <c r="J57" s="19"/>
      <c r="K57" s="19"/>
      <c r="L57" s="19"/>
      <c r="M57" s="24"/>
    </row>
    <row r="58" spans="1:15" ht="15.75" thickBot="1">
      <c r="A58" s="416" t="s">
        <v>101</v>
      </c>
      <c r="B58" s="417"/>
      <c r="C58" s="417"/>
      <c r="D58" s="417"/>
      <c r="E58" s="417"/>
      <c r="F58" s="417"/>
      <c r="G58" s="417"/>
      <c r="H58" s="417"/>
      <c r="I58" s="417"/>
      <c r="J58" s="417"/>
      <c r="K58" s="417"/>
      <c r="L58" s="418"/>
      <c r="M58" s="70">
        <f>ROUND(M56+M50+M43+M33,0)</f>
        <v>11257</v>
      </c>
      <c r="N58" s="155"/>
    </row>
    <row r="59" spans="1:15">
      <c r="A59" s="30"/>
      <c r="B59" s="19"/>
      <c r="C59" s="19"/>
      <c r="D59" s="19"/>
      <c r="E59" s="19"/>
      <c r="F59" s="19"/>
      <c r="G59" s="19"/>
      <c r="H59" s="19"/>
      <c r="I59" s="19"/>
      <c r="J59" s="19"/>
      <c r="K59" s="19"/>
      <c r="L59" s="19"/>
      <c r="M59" s="24"/>
    </row>
    <row r="60" spans="1:15">
      <c r="A60" s="51" t="s">
        <v>102</v>
      </c>
      <c r="B60" s="52"/>
      <c r="C60" s="52"/>
      <c r="D60" s="52"/>
      <c r="E60" s="52"/>
      <c r="F60" s="52"/>
      <c r="G60" s="52"/>
      <c r="H60" s="52"/>
      <c r="I60" s="52"/>
      <c r="J60" s="52"/>
      <c r="K60" s="52"/>
      <c r="L60" s="52"/>
      <c r="M60" s="53"/>
    </row>
    <row r="61" spans="1:15" ht="15.75" thickBot="1">
      <c r="A61" s="30"/>
      <c r="B61" s="19"/>
      <c r="C61" s="19"/>
      <c r="D61" s="19"/>
      <c r="E61" s="19"/>
      <c r="F61" s="19"/>
      <c r="G61" s="19"/>
      <c r="H61" s="19"/>
      <c r="I61" s="19"/>
      <c r="J61" s="19"/>
      <c r="K61" s="19"/>
      <c r="L61" s="19"/>
      <c r="M61" s="24"/>
    </row>
    <row r="62" spans="1:15" ht="15.75" thickBot="1">
      <c r="A62" s="438" t="s">
        <v>103</v>
      </c>
      <c r="B62" s="439"/>
      <c r="C62" s="439"/>
      <c r="D62" s="439"/>
      <c r="E62" s="439"/>
      <c r="F62" s="439"/>
      <c r="G62" s="439"/>
      <c r="H62" s="106"/>
      <c r="I62" s="107"/>
      <c r="J62" s="81" t="s">
        <v>104</v>
      </c>
      <c r="K62" s="440" t="s">
        <v>105</v>
      </c>
      <c r="L62" s="441"/>
      <c r="M62" s="82"/>
    </row>
    <row r="63" spans="1:15">
      <c r="A63" s="442" t="s">
        <v>106</v>
      </c>
      <c r="B63" s="443"/>
      <c r="C63" s="443"/>
      <c r="D63" s="443"/>
      <c r="E63" s="443"/>
      <c r="F63" s="443"/>
      <c r="G63" s="443"/>
      <c r="H63" s="83"/>
      <c r="I63" s="84"/>
      <c r="J63" s="85">
        <v>0.19</v>
      </c>
      <c r="K63" s="444">
        <f>M58*J63</f>
        <v>2138.83</v>
      </c>
      <c r="L63" s="444"/>
      <c r="M63" s="86"/>
    </row>
    <row r="64" spans="1:15">
      <c r="A64" s="447" t="s">
        <v>107</v>
      </c>
      <c r="B64" s="448"/>
      <c r="C64" s="448"/>
      <c r="D64" s="448"/>
      <c r="E64" s="448"/>
      <c r="F64" s="448"/>
      <c r="G64" s="449"/>
      <c r="H64" s="77"/>
      <c r="I64" s="78"/>
      <c r="J64" s="5">
        <v>0.01</v>
      </c>
      <c r="K64" s="445">
        <f>M58*J64</f>
        <v>112.57000000000001</v>
      </c>
      <c r="L64" s="445"/>
      <c r="M64" s="6"/>
    </row>
    <row r="65" spans="1:13">
      <c r="A65" s="447" t="s">
        <v>108</v>
      </c>
      <c r="B65" s="448"/>
      <c r="C65" s="448"/>
      <c r="D65" s="448"/>
      <c r="E65" s="448"/>
      <c r="F65" s="448"/>
      <c r="G65" s="449"/>
      <c r="H65" s="77"/>
      <c r="I65" s="78"/>
      <c r="J65" s="5">
        <v>0.05</v>
      </c>
      <c r="K65" s="445">
        <f>M58*J65</f>
        <v>562.85</v>
      </c>
      <c r="L65" s="445"/>
      <c r="M65" s="6"/>
    </row>
    <row r="66" spans="1:13" ht="15.75" thickBot="1">
      <c r="A66" s="450" t="s">
        <v>117</v>
      </c>
      <c r="B66" s="451"/>
      <c r="C66" s="451"/>
      <c r="D66" s="451"/>
      <c r="E66" s="451"/>
      <c r="F66" s="451"/>
      <c r="G66" s="452"/>
      <c r="H66" s="87"/>
      <c r="I66" s="88"/>
      <c r="J66" s="89">
        <v>0.19</v>
      </c>
      <c r="K66" s="446">
        <f>K65*J66</f>
        <v>106.9415</v>
      </c>
      <c r="L66" s="446"/>
      <c r="M66" s="90"/>
    </row>
    <row r="67" spans="1:13" ht="15.75" thickBot="1">
      <c r="A67" s="435" t="s">
        <v>87</v>
      </c>
      <c r="B67" s="436"/>
      <c r="C67" s="436"/>
      <c r="D67" s="436"/>
      <c r="E67" s="436"/>
      <c r="F67" s="436"/>
      <c r="G67" s="436"/>
      <c r="H67" s="436"/>
      <c r="I67" s="436"/>
      <c r="J67" s="436"/>
      <c r="K67" s="436"/>
      <c r="L67" s="437"/>
      <c r="M67" s="76">
        <f>SUM(K63:L66)</f>
        <v>2921.1914999999999</v>
      </c>
    </row>
    <row r="68" spans="1:13" ht="15.75" thickBot="1">
      <c r="A68" s="30"/>
      <c r="B68" s="19"/>
      <c r="C68" s="19"/>
      <c r="D68" s="19"/>
      <c r="E68" s="19"/>
      <c r="F68" s="19"/>
      <c r="G68" s="19"/>
      <c r="H68" s="19"/>
      <c r="I68" s="19"/>
      <c r="J68" s="19"/>
      <c r="K68" s="19"/>
      <c r="L68" s="19"/>
      <c r="M68" s="24"/>
    </row>
    <row r="69" spans="1:13" ht="15.75" thickBot="1">
      <c r="A69" s="416" t="s">
        <v>109</v>
      </c>
      <c r="B69" s="417"/>
      <c r="C69" s="417"/>
      <c r="D69" s="417"/>
      <c r="E69" s="417"/>
      <c r="F69" s="417"/>
      <c r="G69" s="417"/>
      <c r="H69" s="417"/>
      <c r="I69" s="417"/>
      <c r="J69" s="417"/>
      <c r="K69" s="417"/>
      <c r="L69" s="418"/>
      <c r="M69" s="71">
        <f>ROUND(M58+M67,0)</f>
        <v>14178</v>
      </c>
    </row>
  </sheetData>
  <mergeCells count="71">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L56"/>
    <mergeCell ref="A58:L58"/>
    <mergeCell ref="A62:G62"/>
    <mergeCell ref="K62:L62"/>
    <mergeCell ref="A66:G66"/>
    <mergeCell ref="K66:L66"/>
    <mergeCell ref="A67:L67"/>
    <mergeCell ref="A69:L69"/>
    <mergeCell ref="A63:G63"/>
    <mergeCell ref="K63:L63"/>
    <mergeCell ref="A64:G64"/>
    <mergeCell ref="K64:L64"/>
    <mergeCell ref="A65:G65"/>
    <mergeCell ref="K65:L65"/>
  </mergeCells>
  <pageMargins left="0.7" right="0.7" top="0.75" bottom="0.75" header="0.3" footer="0.3"/>
  <pageSetup scale="57"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
  <sheetViews>
    <sheetView view="pageBreakPreview" topLeftCell="A49" zoomScale="80" zoomScaleNormal="100" zoomScaleSheetLayoutView="80" workbookViewId="0">
      <selection activeCell="M64" sqref="M64"/>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224"/>
      <c r="D17" s="224"/>
      <c r="E17" s="224"/>
      <c r="F17" s="224"/>
      <c r="G17" s="224"/>
      <c r="H17" s="224"/>
      <c r="I17" s="224"/>
      <c r="J17" s="224"/>
      <c r="K17" s="224"/>
      <c r="L17" s="224"/>
      <c r="M17" s="13"/>
    </row>
    <row r="18" spans="1:13">
      <c r="A18" s="25" t="s">
        <v>74</v>
      </c>
      <c r="B18" s="26"/>
      <c r="C18" s="379"/>
      <c r="D18" s="379"/>
      <c r="E18" s="379"/>
      <c r="F18" s="379"/>
      <c r="G18" s="379"/>
      <c r="H18" s="379"/>
      <c r="I18" s="379"/>
      <c r="J18" s="379"/>
      <c r="K18" s="379"/>
      <c r="L18" s="379"/>
      <c r="M18" s="380"/>
    </row>
    <row r="19" spans="1:13">
      <c r="A19" s="25"/>
      <c r="B19" s="26"/>
      <c r="C19" s="224"/>
      <c r="D19" s="224"/>
      <c r="E19" s="224"/>
      <c r="F19" s="224"/>
      <c r="G19" s="224"/>
      <c r="H19" s="224"/>
      <c r="I19" s="224"/>
      <c r="J19" s="224"/>
      <c r="K19" s="224"/>
      <c r="L19" s="224"/>
      <c r="M19" s="13"/>
    </row>
    <row r="20" spans="1:13" ht="31.5" customHeight="1">
      <c r="A20" s="464" t="s">
        <v>113</v>
      </c>
      <c r="B20" s="465"/>
      <c r="C20" s="379"/>
      <c r="D20" s="379"/>
      <c r="E20" s="379"/>
      <c r="F20" s="379"/>
      <c r="G20" s="379"/>
      <c r="H20" s="379"/>
      <c r="I20" s="379"/>
      <c r="J20" s="379"/>
      <c r="K20" s="379"/>
      <c r="L20" s="379"/>
      <c r="M20" s="380"/>
    </row>
    <row r="21" spans="1:13">
      <c r="A21" s="400"/>
      <c r="B21" s="401"/>
      <c r="C21" s="224"/>
      <c r="D21" s="224"/>
      <c r="E21" s="224"/>
      <c r="F21" s="224"/>
      <c r="G21" s="224"/>
      <c r="H21" s="224"/>
      <c r="I21" s="224"/>
      <c r="J21" s="224"/>
      <c r="K21" s="224"/>
      <c r="L21" s="224"/>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216" t="s">
        <v>78</v>
      </c>
      <c r="K25" s="408" t="s">
        <v>79</v>
      </c>
      <c r="L25" s="409"/>
      <c r="M25" s="31" t="s">
        <v>80</v>
      </c>
    </row>
    <row r="26" spans="1:13" ht="15.75" thickBot="1">
      <c r="A26" s="33"/>
      <c r="B26" s="391" t="s">
        <v>333</v>
      </c>
      <c r="C26" s="392"/>
      <c r="D26" s="392"/>
      <c r="E26" s="392"/>
      <c r="F26" s="392"/>
      <c r="G26" s="392"/>
      <c r="H26" s="392"/>
      <c r="I26" s="393"/>
      <c r="J26" s="215">
        <v>1</v>
      </c>
      <c r="K26" s="391" t="str">
        <f>'[1]NUEVO DISEÑO'!C65</f>
        <v>M2</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221" t="s">
        <v>83</v>
      </c>
      <c r="K30" s="421" t="s">
        <v>84</v>
      </c>
      <c r="L30" s="424"/>
      <c r="M30" s="44" t="s">
        <v>85</v>
      </c>
    </row>
    <row r="31" spans="1:13">
      <c r="A31" s="425" t="s">
        <v>124</v>
      </c>
      <c r="B31" s="426"/>
      <c r="C31" s="426"/>
      <c r="D31" s="426"/>
      <c r="E31" s="427"/>
      <c r="F31" s="428" t="s">
        <v>125</v>
      </c>
      <c r="G31" s="429"/>
      <c r="H31" s="430" t="s">
        <v>86</v>
      </c>
      <c r="I31" s="427"/>
      <c r="J31" s="72">
        <v>3257.98</v>
      </c>
      <c r="K31" s="428">
        <v>1</v>
      </c>
      <c r="L31" s="429"/>
      <c r="M31" s="46">
        <f>J31/K31</f>
        <v>3257.98</v>
      </c>
    </row>
    <row r="32" spans="1:13" ht="15.75" thickBot="1">
      <c r="A32" s="410"/>
      <c r="B32" s="411"/>
      <c r="C32" s="411"/>
      <c r="D32" s="411"/>
      <c r="E32" s="412"/>
      <c r="F32" s="413"/>
      <c r="G32" s="412"/>
      <c r="H32" s="413"/>
      <c r="I32" s="412"/>
      <c r="J32" s="47"/>
      <c r="K32" s="414"/>
      <c r="L32" s="415"/>
      <c r="M32" s="48"/>
    </row>
    <row r="33" spans="1:16" ht="15.75" thickBot="1">
      <c r="A33" s="416" t="s">
        <v>87</v>
      </c>
      <c r="B33" s="417"/>
      <c r="C33" s="417"/>
      <c r="D33" s="417"/>
      <c r="E33" s="417"/>
      <c r="F33" s="417"/>
      <c r="G33" s="417"/>
      <c r="H33" s="417"/>
      <c r="I33" s="417"/>
      <c r="J33" s="417"/>
      <c r="K33" s="417"/>
      <c r="L33" s="418"/>
      <c r="M33" s="49">
        <f>SUM(M31:M32)</f>
        <v>3257.98</v>
      </c>
    </row>
    <row r="34" spans="1:16">
      <c r="A34" s="50"/>
      <c r="B34" s="19"/>
      <c r="C34" s="19"/>
      <c r="D34" s="19"/>
      <c r="E34" s="19"/>
      <c r="F34" s="19"/>
      <c r="G34" s="19"/>
      <c r="H34" s="19"/>
      <c r="I34" s="19"/>
      <c r="J34" s="19"/>
      <c r="K34" s="19"/>
      <c r="L34" s="19"/>
      <c r="M34" s="24"/>
    </row>
    <row r="35" spans="1:16">
      <c r="A35" s="51" t="s">
        <v>88</v>
      </c>
      <c r="B35" s="52"/>
      <c r="C35" s="52"/>
      <c r="D35" s="52"/>
      <c r="E35" s="52"/>
      <c r="F35" s="52"/>
      <c r="G35" s="52"/>
      <c r="H35" s="52"/>
      <c r="I35" s="52"/>
      <c r="J35" s="52"/>
      <c r="K35" s="52"/>
      <c r="L35" s="52"/>
      <c r="M35" s="53"/>
    </row>
    <row r="36" spans="1:16" ht="15.75" thickBot="1">
      <c r="A36" s="14"/>
      <c r="B36" s="15"/>
      <c r="C36" s="15"/>
      <c r="D36" s="15"/>
      <c r="E36" s="15"/>
      <c r="F36" s="15"/>
      <c r="G36" s="15"/>
      <c r="H36" s="15"/>
      <c r="I36" s="19"/>
      <c r="J36" s="19"/>
      <c r="K36" s="19"/>
      <c r="L36" s="19"/>
      <c r="M36" s="24"/>
    </row>
    <row r="37" spans="1:16">
      <c r="A37" s="408" t="s">
        <v>77</v>
      </c>
      <c r="B37" s="431"/>
      <c r="C37" s="431"/>
      <c r="D37" s="431"/>
      <c r="E37" s="431"/>
      <c r="F37" s="431"/>
      <c r="G37" s="431"/>
      <c r="H37" s="424"/>
      <c r="I37" s="217" t="s">
        <v>79</v>
      </c>
      <c r="J37" s="221" t="s">
        <v>80</v>
      </c>
      <c r="K37" s="421" t="s">
        <v>89</v>
      </c>
      <c r="L37" s="424"/>
      <c r="M37" s="44" t="s">
        <v>85</v>
      </c>
    </row>
    <row r="38" spans="1:16" ht="15" customHeight="1">
      <c r="A38" s="484" t="s">
        <v>334</v>
      </c>
      <c r="B38" s="485"/>
      <c r="C38" s="485"/>
      <c r="D38" s="485"/>
      <c r="E38" s="485"/>
      <c r="F38" s="485"/>
      <c r="G38" s="485"/>
      <c r="H38" s="486"/>
      <c r="I38" s="73" t="s">
        <v>25</v>
      </c>
      <c r="J38" s="92">
        <v>7</v>
      </c>
      <c r="K38" s="487">
        <v>1208</v>
      </c>
      <c r="L38" s="488"/>
      <c r="M38" s="56">
        <f>K38*J38</f>
        <v>8456</v>
      </c>
      <c r="O38" s="94"/>
    </row>
    <row r="39" spans="1:16" ht="15" customHeight="1">
      <c r="A39" s="484" t="s">
        <v>129</v>
      </c>
      <c r="B39" s="485"/>
      <c r="C39" s="485"/>
      <c r="D39" s="485"/>
      <c r="E39" s="485"/>
      <c r="F39" s="485"/>
      <c r="G39" s="485"/>
      <c r="H39" s="486"/>
      <c r="I39" s="73" t="s">
        <v>127</v>
      </c>
      <c r="J39" s="93">
        <v>2.85</v>
      </c>
      <c r="K39" s="487">
        <v>58</v>
      </c>
      <c r="L39" s="488"/>
      <c r="M39" s="56">
        <f>K39*J39</f>
        <v>165.3</v>
      </c>
      <c r="P39" s="94"/>
    </row>
    <row r="40" spans="1:16" ht="15" customHeight="1">
      <c r="A40" s="484" t="s">
        <v>335</v>
      </c>
      <c r="B40" s="485"/>
      <c r="C40" s="485"/>
      <c r="D40" s="485"/>
      <c r="E40" s="485"/>
      <c r="F40" s="485"/>
      <c r="G40" s="485"/>
      <c r="H40" s="486"/>
      <c r="I40" s="73" t="s">
        <v>9</v>
      </c>
      <c r="J40" s="93">
        <v>1.05</v>
      </c>
      <c r="K40" s="487">
        <v>81500</v>
      </c>
      <c r="L40" s="488"/>
      <c r="M40" s="56">
        <f>K40*J40</f>
        <v>85575</v>
      </c>
    </row>
    <row r="41" spans="1:16">
      <c r="A41" s="425" t="s">
        <v>322</v>
      </c>
      <c r="B41" s="426"/>
      <c r="C41" s="426"/>
      <c r="D41" s="426"/>
      <c r="E41" s="426"/>
      <c r="F41" s="426"/>
      <c r="G41" s="426"/>
      <c r="H41" s="427"/>
      <c r="I41" s="73" t="s">
        <v>25</v>
      </c>
      <c r="J41" s="45">
        <v>0.51</v>
      </c>
      <c r="K41" s="456">
        <v>2468</v>
      </c>
      <c r="L41" s="457"/>
      <c r="M41" s="56">
        <f t="shared" ref="M41:M45" si="0">K41*J41</f>
        <v>1258.68</v>
      </c>
    </row>
    <row r="42" spans="1:16">
      <c r="A42" s="425"/>
      <c r="B42" s="426"/>
      <c r="C42" s="426"/>
      <c r="D42" s="426"/>
      <c r="E42" s="426"/>
      <c r="F42" s="426"/>
      <c r="G42" s="426"/>
      <c r="H42" s="427"/>
      <c r="I42" s="73"/>
      <c r="J42" s="45"/>
      <c r="K42" s="456"/>
      <c r="L42" s="457"/>
      <c r="M42" s="56">
        <f t="shared" si="0"/>
        <v>0</v>
      </c>
    </row>
    <row r="43" spans="1:16">
      <c r="A43" s="425"/>
      <c r="B43" s="426"/>
      <c r="C43" s="426"/>
      <c r="D43" s="426"/>
      <c r="E43" s="426"/>
      <c r="F43" s="426"/>
      <c r="G43" s="426"/>
      <c r="H43" s="427"/>
      <c r="I43" s="73"/>
      <c r="J43" s="45"/>
      <c r="K43" s="456"/>
      <c r="L43" s="457"/>
      <c r="M43" s="56">
        <f t="shared" si="0"/>
        <v>0</v>
      </c>
    </row>
    <row r="44" spans="1:16">
      <c r="A44" s="425"/>
      <c r="B44" s="426"/>
      <c r="C44" s="426"/>
      <c r="D44" s="426"/>
      <c r="E44" s="426"/>
      <c r="F44" s="426"/>
      <c r="G44" s="426"/>
      <c r="H44" s="427"/>
      <c r="I44" s="73"/>
      <c r="J44" s="45"/>
      <c r="K44" s="456"/>
      <c r="L44" s="457"/>
      <c r="M44" s="56">
        <f t="shared" si="0"/>
        <v>0</v>
      </c>
    </row>
    <row r="45" spans="1:16">
      <c r="A45" s="425"/>
      <c r="B45" s="426"/>
      <c r="C45" s="426"/>
      <c r="D45" s="426"/>
      <c r="E45" s="426"/>
      <c r="F45" s="426"/>
      <c r="G45" s="426"/>
      <c r="H45" s="427"/>
      <c r="I45" s="73"/>
      <c r="J45" s="45"/>
      <c r="K45" s="456"/>
      <c r="L45" s="457"/>
      <c r="M45" s="56">
        <f t="shared" si="0"/>
        <v>0</v>
      </c>
    </row>
    <row r="46" spans="1:16" ht="15.75" thickBot="1">
      <c r="A46" s="410"/>
      <c r="B46" s="411"/>
      <c r="C46" s="411"/>
      <c r="D46" s="411"/>
      <c r="E46" s="411"/>
      <c r="F46" s="411"/>
      <c r="G46" s="411"/>
      <c r="H46" s="412"/>
      <c r="I46" s="74"/>
      <c r="J46" s="57"/>
      <c r="K46" s="466"/>
      <c r="L46" s="467"/>
      <c r="M46" s="75"/>
    </row>
    <row r="47" spans="1:16" ht="15.75" thickBot="1">
      <c r="A47" s="416" t="s">
        <v>87</v>
      </c>
      <c r="B47" s="417"/>
      <c r="C47" s="417"/>
      <c r="D47" s="417"/>
      <c r="E47" s="417"/>
      <c r="F47" s="417"/>
      <c r="G47" s="417"/>
      <c r="H47" s="417"/>
      <c r="I47" s="417"/>
      <c r="J47" s="417"/>
      <c r="K47" s="417"/>
      <c r="L47" s="418"/>
      <c r="M47" s="58">
        <f>SUM(M38:M46)</f>
        <v>95454.98</v>
      </c>
    </row>
    <row r="48" spans="1:16">
      <c r="A48" s="30"/>
      <c r="B48" s="19"/>
      <c r="C48" s="19"/>
      <c r="D48" s="19"/>
      <c r="E48" s="19"/>
      <c r="F48" s="19"/>
      <c r="G48" s="19"/>
      <c r="H48" s="19"/>
      <c r="I48" s="19"/>
      <c r="J48" s="19"/>
      <c r="K48" s="19"/>
      <c r="L48" s="19"/>
      <c r="M48" s="24"/>
    </row>
    <row r="49" spans="1:13">
      <c r="A49" s="51" t="s">
        <v>90</v>
      </c>
      <c r="B49" s="52"/>
      <c r="C49" s="52"/>
      <c r="D49" s="52"/>
      <c r="E49" s="52"/>
      <c r="F49" s="52"/>
      <c r="G49" s="52"/>
      <c r="H49" s="52"/>
      <c r="I49" s="52"/>
      <c r="J49" s="52"/>
      <c r="K49" s="52"/>
      <c r="L49" s="52"/>
      <c r="M49" s="53"/>
    </row>
    <row r="50" spans="1:13" ht="15.75" thickBot="1">
      <c r="A50" s="30"/>
      <c r="B50" s="19"/>
      <c r="C50" s="19"/>
      <c r="D50" s="19"/>
      <c r="E50" s="19"/>
      <c r="F50" s="19"/>
      <c r="G50" s="19"/>
      <c r="H50" s="19"/>
      <c r="I50" s="19"/>
      <c r="J50" s="19"/>
      <c r="K50" s="19"/>
      <c r="L50" s="19"/>
      <c r="M50" s="24"/>
    </row>
    <row r="51" spans="1:13">
      <c r="A51" s="408" t="s">
        <v>91</v>
      </c>
      <c r="B51" s="431"/>
      <c r="C51" s="431"/>
      <c r="D51" s="431"/>
      <c r="E51" s="431"/>
      <c r="F51" s="431"/>
      <c r="G51" s="431"/>
      <c r="H51" s="221" t="s">
        <v>92</v>
      </c>
      <c r="I51" s="218" t="s">
        <v>93</v>
      </c>
      <c r="J51" s="60" t="s">
        <v>94</v>
      </c>
      <c r="K51" s="421" t="s">
        <v>95</v>
      </c>
      <c r="L51" s="424"/>
      <c r="M51" s="44" t="s">
        <v>85</v>
      </c>
    </row>
    <row r="52" spans="1:13">
      <c r="A52" s="425"/>
      <c r="B52" s="426"/>
      <c r="C52" s="426"/>
      <c r="D52" s="426"/>
      <c r="E52" s="426"/>
      <c r="F52" s="426"/>
      <c r="G52" s="426"/>
      <c r="H52" s="61"/>
      <c r="I52" s="55"/>
      <c r="J52" s="61"/>
      <c r="K52" s="428"/>
      <c r="L52" s="429"/>
    </row>
    <row r="53" spans="1:13" ht="15.75" thickBot="1">
      <c r="A53" s="410"/>
      <c r="B53" s="411"/>
      <c r="C53" s="411"/>
      <c r="D53" s="411"/>
      <c r="E53" s="411"/>
      <c r="F53" s="411"/>
      <c r="G53" s="411"/>
      <c r="H53" s="47"/>
      <c r="I53" s="15"/>
      <c r="J53" s="47"/>
      <c r="K53" s="414"/>
      <c r="L53" s="415"/>
      <c r="M53" s="62"/>
    </row>
    <row r="54" spans="1:13" ht="15.75" thickBot="1">
      <c r="A54" s="416" t="s">
        <v>87</v>
      </c>
      <c r="B54" s="417"/>
      <c r="C54" s="417"/>
      <c r="D54" s="417"/>
      <c r="E54" s="417"/>
      <c r="F54" s="417"/>
      <c r="G54" s="417"/>
      <c r="H54" s="417"/>
      <c r="I54" s="417"/>
      <c r="J54" s="417"/>
      <c r="K54" s="417"/>
      <c r="L54" s="418"/>
      <c r="M54" s="63">
        <f>SUM(M53:M53)</f>
        <v>0</v>
      </c>
    </row>
    <row r="55" spans="1:13">
      <c r="A55" s="30"/>
      <c r="B55" s="19"/>
      <c r="C55" s="19"/>
      <c r="D55" s="19"/>
      <c r="E55" s="19"/>
      <c r="F55" s="19"/>
      <c r="G55" s="19"/>
      <c r="H55" s="19"/>
      <c r="I55" s="19"/>
      <c r="J55" s="19"/>
      <c r="K55" s="19"/>
      <c r="L55" s="19"/>
      <c r="M55" s="24"/>
    </row>
    <row r="56" spans="1:13">
      <c r="A56" s="51" t="s">
        <v>96</v>
      </c>
      <c r="B56" s="52"/>
      <c r="C56" s="52"/>
      <c r="D56" s="52"/>
      <c r="E56" s="52"/>
      <c r="F56" s="52"/>
      <c r="G56" s="52"/>
      <c r="H56" s="52"/>
      <c r="I56" s="52"/>
      <c r="J56" s="52"/>
      <c r="K56" s="52"/>
      <c r="L56" s="52"/>
      <c r="M56" s="53"/>
    </row>
    <row r="57" spans="1:13" ht="15.75" thickBot="1">
      <c r="A57" s="30"/>
      <c r="B57" s="19"/>
      <c r="C57" s="19"/>
      <c r="D57" s="19"/>
      <c r="E57" s="19"/>
      <c r="F57" s="19"/>
      <c r="G57" s="19"/>
      <c r="H57" s="19"/>
      <c r="I57" s="19"/>
      <c r="J57" s="19"/>
      <c r="K57" s="19"/>
      <c r="L57" s="19"/>
      <c r="M57" s="24"/>
    </row>
    <row r="58" spans="1:13" ht="26.25">
      <c r="A58" s="453" t="s">
        <v>97</v>
      </c>
      <c r="B58" s="454"/>
      <c r="C58" s="454"/>
      <c r="D58" s="454"/>
      <c r="E58" s="454"/>
      <c r="F58" s="454"/>
      <c r="G58" s="454"/>
      <c r="H58" s="221" t="s">
        <v>98</v>
      </c>
      <c r="I58" s="222" t="s">
        <v>99</v>
      </c>
      <c r="J58" s="222" t="s">
        <v>100</v>
      </c>
      <c r="K58" s="455" t="s">
        <v>84</v>
      </c>
      <c r="L58" s="455"/>
      <c r="M58" s="65" t="s">
        <v>85</v>
      </c>
    </row>
    <row r="59" spans="1:13">
      <c r="A59" s="471" t="s">
        <v>126</v>
      </c>
      <c r="B59" s="472"/>
      <c r="C59" s="472"/>
      <c r="D59" s="472"/>
      <c r="E59" s="472"/>
      <c r="F59" s="472"/>
      <c r="G59" s="472"/>
      <c r="H59" s="1">
        <v>112923.49999999999</v>
      </c>
      <c r="I59" s="2">
        <v>2.2000000000000002</v>
      </c>
      <c r="J59" s="66">
        <f>(I59*H59)</f>
        <v>248431.69999999998</v>
      </c>
      <c r="K59" s="483">
        <v>15</v>
      </c>
      <c r="L59" s="483"/>
      <c r="M59" s="56">
        <f>J59/K59</f>
        <v>16562.113333333331</v>
      </c>
    </row>
    <row r="60" spans="1:13">
      <c r="A60" s="471"/>
      <c r="B60" s="472"/>
      <c r="C60" s="472"/>
      <c r="D60" s="472"/>
      <c r="E60" s="472"/>
      <c r="F60" s="472"/>
      <c r="G60" s="472"/>
      <c r="H60" s="1"/>
      <c r="I60" s="2"/>
      <c r="J60" s="66"/>
      <c r="K60" s="473"/>
      <c r="L60" s="473"/>
      <c r="M60" s="56"/>
    </row>
    <row r="61" spans="1:13" ht="15.75" thickBot="1">
      <c r="A61" s="432"/>
      <c r="B61" s="433"/>
      <c r="C61" s="433"/>
      <c r="D61" s="433"/>
      <c r="E61" s="433"/>
      <c r="F61" s="433"/>
      <c r="G61" s="433"/>
      <c r="H61" s="3"/>
      <c r="I61" s="4"/>
      <c r="J61" s="67"/>
      <c r="K61" s="434"/>
      <c r="L61" s="434"/>
      <c r="M61" s="68"/>
    </row>
    <row r="62" spans="1:13" ht="15.75" thickBot="1">
      <c r="A62" s="435" t="s">
        <v>87</v>
      </c>
      <c r="B62" s="436"/>
      <c r="C62" s="436"/>
      <c r="D62" s="436"/>
      <c r="E62" s="436"/>
      <c r="F62" s="436"/>
      <c r="G62" s="436"/>
      <c r="H62" s="436"/>
      <c r="I62" s="436"/>
      <c r="J62" s="436"/>
      <c r="K62" s="436"/>
      <c r="L62" s="437"/>
      <c r="M62" s="69">
        <f>SUM(M59:M61)</f>
        <v>16562.113333333331</v>
      </c>
    </row>
    <row r="63" spans="1:13" ht="15.75" thickBot="1">
      <c r="A63" s="30"/>
      <c r="B63" s="19"/>
      <c r="C63" s="19"/>
      <c r="D63" s="19"/>
      <c r="E63" s="19"/>
      <c r="F63" s="19"/>
      <c r="G63" s="19"/>
      <c r="H63" s="19"/>
      <c r="I63" s="19"/>
      <c r="J63" s="19"/>
      <c r="K63" s="19"/>
      <c r="L63" s="19"/>
      <c r="M63" s="24"/>
    </row>
    <row r="64" spans="1:13" ht="15.75" thickBot="1">
      <c r="A64" s="416" t="s">
        <v>101</v>
      </c>
      <c r="B64" s="417"/>
      <c r="C64" s="417"/>
      <c r="D64" s="417"/>
      <c r="E64" s="417"/>
      <c r="F64" s="417"/>
      <c r="G64" s="417"/>
      <c r="H64" s="417"/>
      <c r="I64" s="417"/>
      <c r="J64" s="417"/>
      <c r="K64" s="417"/>
      <c r="L64" s="418"/>
      <c r="M64" s="70">
        <f>ROUND(M62+M54+M47+M33,0)</f>
        <v>115275</v>
      </c>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219"/>
      <c r="I68" s="220"/>
      <c r="J68" s="81" t="s">
        <v>104</v>
      </c>
      <c r="K68" s="440" t="s">
        <v>105</v>
      </c>
      <c r="L68" s="441"/>
      <c r="M68" s="82"/>
    </row>
    <row r="69" spans="1:13">
      <c r="A69" s="442" t="s">
        <v>106</v>
      </c>
      <c r="B69" s="443"/>
      <c r="C69" s="443"/>
      <c r="D69" s="443"/>
      <c r="E69" s="443"/>
      <c r="F69" s="443"/>
      <c r="G69" s="443"/>
      <c r="H69" s="83"/>
      <c r="I69" s="84"/>
      <c r="J69" s="85">
        <v>0.19</v>
      </c>
      <c r="K69" s="444">
        <f>M64*J69</f>
        <v>21902.25</v>
      </c>
      <c r="L69" s="444"/>
      <c r="M69" s="86"/>
    </row>
    <row r="70" spans="1:13">
      <c r="A70" s="447" t="s">
        <v>107</v>
      </c>
      <c r="B70" s="448"/>
      <c r="C70" s="448"/>
      <c r="D70" s="448"/>
      <c r="E70" s="448"/>
      <c r="F70" s="448"/>
      <c r="G70" s="449"/>
      <c r="H70" s="77"/>
      <c r="I70" s="78"/>
      <c r="J70" s="5">
        <v>0.01</v>
      </c>
      <c r="K70" s="445">
        <f>M64*J70</f>
        <v>1152.75</v>
      </c>
      <c r="L70" s="445"/>
      <c r="M70" s="6"/>
    </row>
    <row r="71" spans="1:13">
      <c r="A71" s="447" t="s">
        <v>108</v>
      </c>
      <c r="B71" s="448"/>
      <c r="C71" s="448"/>
      <c r="D71" s="448"/>
      <c r="E71" s="448"/>
      <c r="F71" s="448"/>
      <c r="G71" s="449"/>
      <c r="H71" s="77"/>
      <c r="I71" s="78"/>
      <c r="J71" s="5">
        <v>0.05</v>
      </c>
      <c r="K71" s="445">
        <f>M64*J71</f>
        <v>5763.75</v>
      </c>
      <c r="L71" s="445"/>
      <c r="M71" s="6"/>
    </row>
    <row r="72" spans="1:13" ht="15.75" thickBot="1">
      <c r="A72" s="450" t="s">
        <v>117</v>
      </c>
      <c r="B72" s="451"/>
      <c r="C72" s="451"/>
      <c r="D72" s="451"/>
      <c r="E72" s="451"/>
      <c r="F72" s="451"/>
      <c r="G72" s="452"/>
      <c r="H72" s="87"/>
      <c r="I72" s="88"/>
      <c r="J72" s="89">
        <v>0.19</v>
      </c>
      <c r="K72" s="446">
        <f>K71*J72</f>
        <v>1095.1125</v>
      </c>
      <c r="L72" s="446"/>
      <c r="M72" s="90"/>
    </row>
    <row r="73" spans="1:13" ht="15.75" thickBot="1">
      <c r="A73" s="435" t="s">
        <v>87</v>
      </c>
      <c r="B73" s="436"/>
      <c r="C73" s="436"/>
      <c r="D73" s="436"/>
      <c r="E73" s="436"/>
      <c r="F73" s="436"/>
      <c r="G73" s="436"/>
      <c r="H73" s="436"/>
      <c r="I73" s="436"/>
      <c r="J73" s="436"/>
      <c r="K73" s="436"/>
      <c r="L73" s="437"/>
      <c r="M73" s="76">
        <f>SUM(K69:L72)</f>
        <v>29913.862499999999</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145189</v>
      </c>
    </row>
  </sheetData>
  <mergeCells count="83">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61:G61"/>
    <mergeCell ref="K61:L61"/>
    <mergeCell ref="A62:L62"/>
    <mergeCell ref="A64:L64"/>
    <mergeCell ref="A68:G68"/>
    <mergeCell ref="K68:L68"/>
    <mergeCell ref="A72:G72"/>
    <mergeCell ref="K72:L72"/>
    <mergeCell ref="A73:L73"/>
    <mergeCell ref="A75:L75"/>
    <mergeCell ref="A69:G69"/>
    <mergeCell ref="K69:L69"/>
    <mergeCell ref="A70:G70"/>
    <mergeCell ref="K70:L70"/>
    <mergeCell ref="A71:G71"/>
    <mergeCell ref="K71:L71"/>
  </mergeCells>
  <pageMargins left="0.7" right="0.7" top="0.75" bottom="0.75" header="0.3" footer="0.3"/>
  <pageSetup scale="56"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
  <sheetViews>
    <sheetView view="pageBreakPreview" topLeftCell="A46" zoomScale="80" zoomScaleNormal="100" zoomScaleSheetLayoutView="80" workbookViewId="0">
      <selection activeCell="M64" sqref="M64"/>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224"/>
      <c r="D17" s="224"/>
      <c r="E17" s="224"/>
      <c r="F17" s="224"/>
      <c r="G17" s="224"/>
      <c r="H17" s="224"/>
      <c r="I17" s="224"/>
      <c r="J17" s="224"/>
      <c r="K17" s="224"/>
      <c r="L17" s="224"/>
      <c r="M17" s="13"/>
    </row>
    <row r="18" spans="1:13">
      <c r="A18" s="25" t="s">
        <v>74</v>
      </c>
      <c r="B18" s="26"/>
      <c r="C18" s="379"/>
      <c r="D18" s="379"/>
      <c r="E18" s="379"/>
      <c r="F18" s="379"/>
      <c r="G18" s="379"/>
      <c r="H18" s="379"/>
      <c r="I18" s="379"/>
      <c r="J18" s="379"/>
      <c r="K18" s="379"/>
      <c r="L18" s="379"/>
      <c r="M18" s="380"/>
    </row>
    <row r="19" spans="1:13">
      <c r="A19" s="25"/>
      <c r="B19" s="26"/>
      <c r="C19" s="224"/>
      <c r="D19" s="224"/>
      <c r="E19" s="224"/>
      <c r="F19" s="224"/>
      <c r="G19" s="224"/>
      <c r="H19" s="224"/>
      <c r="I19" s="224"/>
      <c r="J19" s="224"/>
      <c r="K19" s="224"/>
      <c r="L19" s="224"/>
      <c r="M19" s="13"/>
    </row>
    <row r="20" spans="1:13" ht="31.5" customHeight="1">
      <c r="A20" s="464" t="s">
        <v>113</v>
      </c>
      <c r="B20" s="465"/>
      <c r="C20" s="379"/>
      <c r="D20" s="379"/>
      <c r="E20" s="379"/>
      <c r="F20" s="379"/>
      <c r="G20" s="379"/>
      <c r="H20" s="379"/>
      <c r="I20" s="379"/>
      <c r="J20" s="379"/>
      <c r="K20" s="379"/>
      <c r="L20" s="379"/>
      <c r="M20" s="380"/>
    </row>
    <row r="21" spans="1:13">
      <c r="A21" s="400"/>
      <c r="B21" s="401"/>
      <c r="C21" s="224"/>
      <c r="D21" s="224"/>
      <c r="E21" s="224"/>
      <c r="F21" s="224"/>
      <c r="G21" s="224"/>
      <c r="H21" s="224"/>
      <c r="I21" s="224"/>
      <c r="J21" s="224"/>
      <c r="K21" s="224"/>
      <c r="L21" s="224"/>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216" t="s">
        <v>78</v>
      </c>
      <c r="K25" s="408" t="s">
        <v>79</v>
      </c>
      <c r="L25" s="409"/>
      <c r="M25" s="31" t="s">
        <v>80</v>
      </c>
    </row>
    <row r="26" spans="1:13" ht="15.75" thickBot="1">
      <c r="A26" s="33"/>
      <c r="B26" s="391" t="s">
        <v>336</v>
      </c>
      <c r="C26" s="392"/>
      <c r="D26" s="392"/>
      <c r="E26" s="392"/>
      <c r="F26" s="392"/>
      <c r="G26" s="392"/>
      <c r="H26" s="392"/>
      <c r="I26" s="393"/>
      <c r="J26" s="215">
        <v>1</v>
      </c>
      <c r="K26" s="391" t="str">
        <f>'[1]NUEVO DISEÑO'!C65</f>
        <v>M2</v>
      </c>
      <c r="L26" s="393"/>
      <c r="M26" s="35">
        <f>'[1]NUEVO DISEÑO'!D65</f>
        <v>77</v>
      </c>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221" t="s">
        <v>83</v>
      </c>
      <c r="K30" s="421" t="s">
        <v>84</v>
      </c>
      <c r="L30" s="424"/>
      <c r="M30" s="44" t="s">
        <v>85</v>
      </c>
    </row>
    <row r="31" spans="1:13">
      <c r="A31" s="425" t="s">
        <v>124</v>
      </c>
      <c r="B31" s="426"/>
      <c r="C31" s="426"/>
      <c r="D31" s="426"/>
      <c r="E31" s="427"/>
      <c r="F31" s="428" t="s">
        <v>125</v>
      </c>
      <c r="G31" s="429"/>
      <c r="H31" s="430" t="s">
        <v>86</v>
      </c>
      <c r="I31" s="427"/>
      <c r="J31" s="72">
        <v>3257.98</v>
      </c>
      <c r="K31" s="428">
        <v>1</v>
      </c>
      <c r="L31" s="429"/>
      <c r="M31" s="46">
        <f>J31/K31</f>
        <v>3257.98</v>
      </c>
    </row>
    <row r="32" spans="1:13" ht="15.75" thickBot="1">
      <c r="A32" s="410"/>
      <c r="B32" s="411"/>
      <c r="C32" s="411"/>
      <c r="D32" s="411"/>
      <c r="E32" s="412"/>
      <c r="F32" s="413"/>
      <c r="G32" s="412"/>
      <c r="H32" s="413"/>
      <c r="I32" s="412"/>
      <c r="J32" s="47"/>
      <c r="K32" s="414"/>
      <c r="L32" s="415"/>
      <c r="M32" s="48"/>
    </row>
    <row r="33" spans="1:16" ht="15.75" thickBot="1">
      <c r="A33" s="416" t="s">
        <v>87</v>
      </c>
      <c r="B33" s="417"/>
      <c r="C33" s="417"/>
      <c r="D33" s="417"/>
      <c r="E33" s="417"/>
      <c r="F33" s="417"/>
      <c r="G33" s="417"/>
      <c r="H33" s="417"/>
      <c r="I33" s="417"/>
      <c r="J33" s="417"/>
      <c r="K33" s="417"/>
      <c r="L33" s="418"/>
      <c r="M33" s="49">
        <f>SUM(M31:M32)</f>
        <v>3257.98</v>
      </c>
    </row>
    <row r="34" spans="1:16">
      <c r="A34" s="50"/>
      <c r="B34" s="19"/>
      <c r="C34" s="19"/>
      <c r="D34" s="19"/>
      <c r="E34" s="19"/>
      <c r="F34" s="19"/>
      <c r="G34" s="19"/>
      <c r="H34" s="19"/>
      <c r="I34" s="19"/>
      <c r="J34" s="19"/>
      <c r="K34" s="19"/>
      <c r="L34" s="19"/>
      <c r="M34" s="24"/>
    </row>
    <row r="35" spans="1:16">
      <c r="A35" s="51" t="s">
        <v>88</v>
      </c>
      <c r="B35" s="52"/>
      <c r="C35" s="52"/>
      <c r="D35" s="52"/>
      <c r="E35" s="52"/>
      <c r="F35" s="52"/>
      <c r="G35" s="52"/>
      <c r="H35" s="52"/>
      <c r="I35" s="52"/>
      <c r="J35" s="52"/>
      <c r="K35" s="52"/>
      <c r="L35" s="52"/>
      <c r="M35" s="53"/>
    </row>
    <row r="36" spans="1:16" ht="15.75" thickBot="1">
      <c r="A36" s="14"/>
      <c r="B36" s="15"/>
      <c r="C36" s="15"/>
      <c r="D36" s="15"/>
      <c r="E36" s="15"/>
      <c r="F36" s="15"/>
      <c r="G36" s="15"/>
      <c r="H36" s="15"/>
      <c r="I36" s="19"/>
      <c r="J36" s="19"/>
      <c r="K36" s="19"/>
      <c r="L36" s="19"/>
      <c r="M36" s="24"/>
    </row>
    <row r="37" spans="1:16">
      <c r="A37" s="408" t="s">
        <v>77</v>
      </c>
      <c r="B37" s="431"/>
      <c r="C37" s="431"/>
      <c r="D37" s="431"/>
      <c r="E37" s="431"/>
      <c r="F37" s="431"/>
      <c r="G37" s="431"/>
      <c r="H37" s="424"/>
      <c r="I37" s="217" t="s">
        <v>79</v>
      </c>
      <c r="J37" s="221" t="s">
        <v>80</v>
      </c>
      <c r="K37" s="421" t="s">
        <v>89</v>
      </c>
      <c r="L37" s="424"/>
      <c r="M37" s="44" t="s">
        <v>85</v>
      </c>
    </row>
    <row r="38" spans="1:16" ht="15" customHeight="1">
      <c r="A38" s="484" t="s">
        <v>334</v>
      </c>
      <c r="B38" s="485"/>
      <c r="C38" s="485"/>
      <c r="D38" s="485"/>
      <c r="E38" s="485"/>
      <c r="F38" s="485"/>
      <c r="G38" s="485"/>
      <c r="H38" s="486"/>
      <c r="I38" s="73" t="s">
        <v>25</v>
      </c>
      <c r="J38" s="92">
        <v>7</v>
      </c>
      <c r="K38" s="487">
        <v>1208</v>
      </c>
      <c r="L38" s="488"/>
      <c r="M38" s="56">
        <f>K38*J38</f>
        <v>8456</v>
      </c>
      <c r="O38" s="94"/>
    </row>
    <row r="39" spans="1:16" ht="15" customHeight="1">
      <c r="A39" s="484" t="s">
        <v>129</v>
      </c>
      <c r="B39" s="485"/>
      <c r="C39" s="485"/>
      <c r="D39" s="485"/>
      <c r="E39" s="485"/>
      <c r="F39" s="485"/>
      <c r="G39" s="485"/>
      <c r="H39" s="486"/>
      <c r="I39" s="73" t="s">
        <v>127</v>
      </c>
      <c r="J39" s="93">
        <v>2.85</v>
      </c>
      <c r="K39" s="487">
        <v>58</v>
      </c>
      <c r="L39" s="488"/>
      <c r="M39" s="56">
        <f>K39*J39</f>
        <v>165.3</v>
      </c>
      <c r="P39" s="94"/>
    </row>
    <row r="40" spans="1:16" ht="15" customHeight="1">
      <c r="A40" s="484" t="s">
        <v>347</v>
      </c>
      <c r="B40" s="485"/>
      <c r="C40" s="485"/>
      <c r="D40" s="485"/>
      <c r="E40" s="485"/>
      <c r="F40" s="485"/>
      <c r="G40" s="485"/>
      <c r="H40" s="486"/>
      <c r="I40" s="73" t="s">
        <v>9</v>
      </c>
      <c r="J40" s="93">
        <v>1.05</v>
      </c>
      <c r="K40" s="487">
        <v>32900</v>
      </c>
      <c r="L40" s="488"/>
      <c r="M40" s="56">
        <f>K40*J40</f>
        <v>34545</v>
      </c>
    </row>
    <row r="41" spans="1:16">
      <c r="A41" s="425" t="s">
        <v>322</v>
      </c>
      <c r="B41" s="426"/>
      <c r="C41" s="426"/>
      <c r="D41" s="426"/>
      <c r="E41" s="426"/>
      <c r="F41" s="426"/>
      <c r="G41" s="426"/>
      <c r="H41" s="427"/>
      <c r="I41" s="73" t="s">
        <v>25</v>
      </c>
      <c r="J41" s="225">
        <v>0.51</v>
      </c>
      <c r="K41" s="456">
        <v>2468</v>
      </c>
      <c r="L41" s="457"/>
      <c r="M41" s="56">
        <f t="shared" ref="M41:M45" si="0">K41*J41</f>
        <v>1258.68</v>
      </c>
    </row>
    <row r="42" spans="1:16">
      <c r="A42" s="425"/>
      <c r="B42" s="426"/>
      <c r="C42" s="426"/>
      <c r="D42" s="426"/>
      <c r="E42" s="426"/>
      <c r="F42" s="426"/>
      <c r="G42" s="426"/>
      <c r="H42" s="427"/>
      <c r="I42" s="73"/>
      <c r="J42" s="225"/>
      <c r="K42" s="456"/>
      <c r="L42" s="457"/>
      <c r="M42" s="56">
        <f t="shared" si="0"/>
        <v>0</v>
      </c>
    </row>
    <row r="43" spans="1:16">
      <c r="A43" s="425"/>
      <c r="B43" s="426"/>
      <c r="C43" s="426"/>
      <c r="D43" s="426"/>
      <c r="E43" s="426"/>
      <c r="F43" s="426"/>
      <c r="G43" s="426"/>
      <c r="H43" s="427"/>
      <c r="I43" s="73"/>
      <c r="J43" s="45"/>
      <c r="K43" s="456"/>
      <c r="L43" s="457"/>
      <c r="M43" s="56">
        <f t="shared" si="0"/>
        <v>0</v>
      </c>
    </row>
    <row r="44" spans="1:16">
      <c r="A44" s="425"/>
      <c r="B44" s="426"/>
      <c r="C44" s="426"/>
      <c r="D44" s="426"/>
      <c r="E44" s="426"/>
      <c r="F44" s="426"/>
      <c r="G44" s="426"/>
      <c r="H44" s="427"/>
      <c r="I44" s="73"/>
      <c r="J44" s="45"/>
      <c r="K44" s="456"/>
      <c r="L44" s="457"/>
      <c r="M44" s="56">
        <f t="shared" si="0"/>
        <v>0</v>
      </c>
    </row>
    <row r="45" spans="1:16">
      <c r="A45" s="425"/>
      <c r="B45" s="426"/>
      <c r="C45" s="426"/>
      <c r="D45" s="426"/>
      <c r="E45" s="426"/>
      <c r="F45" s="426"/>
      <c r="G45" s="426"/>
      <c r="H45" s="427"/>
      <c r="I45" s="73"/>
      <c r="J45" s="45"/>
      <c r="K45" s="456"/>
      <c r="L45" s="457"/>
      <c r="M45" s="56">
        <f t="shared" si="0"/>
        <v>0</v>
      </c>
    </row>
    <row r="46" spans="1:16" ht="15.75" thickBot="1">
      <c r="A46" s="410"/>
      <c r="B46" s="411"/>
      <c r="C46" s="411"/>
      <c r="D46" s="411"/>
      <c r="E46" s="411"/>
      <c r="F46" s="411"/>
      <c r="G46" s="411"/>
      <c r="H46" s="412"/>
      <c r="I46" s="74"/>
      <c r="J46" s="57"/>
      <c r="K46" s="466"/>
      <c r="L46" s="467"/>
      <c r="M46" s="75"/>
    </row>
    <row r="47" spans="1:16" ht="15.75" thickBot="1">
      <c r="A47" s="416" t="s">
        <v>87</v>
      </c>
      <c r="B47" s="417"/>
      <c r="C47" s="417"/>
      <c r="D47" s="417"/>
      <c r="E47" s="417"/>
      <c r="F47" s="417"/>
      <c r="G47" s="417"/>
      <c r="H47" s="417"/>
      <c r="I47" s="417"/>
      <c r="J47" s="417"/>
      <c r="K47" s="417"/>
      <c r="L47" s="418"/>
      <c r="M47" s="58">
        <f>SUM(M38:M46)</f>
        <v>44424.98</v>
      </c>
    </row>
    <row r="48" spans="1:16">
      <c r="A48" s="30"/>
      <c r="B48" s="19"/>
      <c r="C48" s="19"/>
      <c r="D48" s="19"/>
      <c r="E48" s="19"/>
      <c r="F48" s="19"/>
      <c r="G48" s="19"/>
      <c r="H48" s="19"/>
      <c r="I48" s="19"/>
      <c r="J48" s="19"/>
      <c r="K48" s="19"/>
      <c r="L48" s="19"/>
      <c r="M48" s="24"/>
    </row>
    <row r="49" spans="1:13">
      <c r="A49" s="51" t="s">
        <v>90</v>
      </c>
      <c r="B49" s="52"/>
      <c r="C49" s="52"/>
      <c r="D49" s="52"/>
      <c r="E49" s="52"/>
      <c r="F49" s="52"/>
      <c r="G49" s="52"/>
      <c r="H49" s="52"/>
      <c r="I49" s="52"/>
      <c r="J49" s="52"/>
      <c r="K49" s="52"/>
      <c r="L49" s="52"/>
      <c r="M49" s="53"/>
    </row>
    <row r="50" spans="1:13" ht="15.75" thickBot="1">
      <c r="A50" s="30"/>
      <c r="B50" s="19"/>
      <c r="C50" s="19"/>
      <c r="D50" s="19"/>
      <c r="E50" s="19"/>
      <c r="F50" s="19"/>
      <c r="G50" s="19"/>
      <c r="H50" s="19"/>
      <c r="I50" s="19"/>
      <c r="J50" s="19"/>
      <c r="K50" s="19"/>
      <c r="L50" s="19"/>
      <c r="M50" s="24"/>
    </row>
    <row r="51" spans="1:13">
      <c r="A51" s="408" t="s">
        <v>91</v>
      </c>
      <c r="B51" s="431"/>
      <c r="C51" s="431"/>
      <c r="D51" s="431"/>
      <c r="E51" s="431"/>
      <c r="F51" s="431"/>
      <c r="G51" s="431"/>
      <c r="H51" s="221" t="s">
        <v>92</v>
      </c>
      <c r="I51" s="218" t="s">
        <v>93</v>
      </c>
      <c r="J51" s="60" t="s">
        <v>94</v>
      </c>
      <c r="K51" s="421" t="s">
        <v>95</v>
      </c>
      <c r="L51" s="424"/>
      <c r="M51" s="44" t="s">
        <v>85</v>
      </c>
    </row>
    <row r="52" spans="1:13">
      <c r="A52" s="425"/>
      <c r="B52" s="426"/>
      <c r="C52" s="426"/>
      <c r="D52" s="426"/>
      <c r="E52" s="426"/>
      <c r="F52" s="426"/>
      <c r="G52" s="426"/>
      <c r="H52" s="61"/>
      <c r="I52" s="55"/>
      <c r="J52" s="61"/>
      <c r="K52" s="428"/>
      <c r="L52" s="429"/>
    </row>
    <row r="53" spans="1:13" ht="15.75" thickBot="1">
      <c r="A53" s="410"/>
      <c r="B53" s="411"/>
      <c r="C53" s="411"/>
      <c r="D53" s="411"/>
      <c r="E53" s="411"/>
      <c r="F53" s="411"/>
      <c r="G53" s="411"/>
      <c r="H53" s="47"/>
      <c r="I53" s="15"/>
      <c r="J53" s="47"/>
      <c r="K53" s="414"/>
      <c r="L53" s="415"/>
      <c r="M53" s="62"/>
    </row>
    <row r="54" spans="1:13" ht="15.75" thickBot="1">
      <c r="A54" s="416" t="s">
        <v>87</v>
      </c>
      <c r="B54" s="417"/>
      <c r="C54" s="417"/>
      <c r="D54" s="417"/>
      <c r="E54" s="417"/>
      <c r="F54" s="417"/>
      <c r="G54" s="417"/>
      <c r="H54" s="417"/>
      <c r="I54" s="417"/>
      <c r="J54" s="417"/>
      <c r="K54" s="417"/>
      <c r="L54" s="418"/>
      <c r="M54" s="63">
        <f>SUM(M53:M53)</f>
        <v>0</v>
      </c>
    </row>
    <row r="55" spans="1:13">
      <c r="A55" s="30"/>
      <c r="B55" s="19"/>
      <c r="C55" s="19"/>
      <c r="D55" s="19"/>
      <c r="E55" s="19"/>
      <c r="F55" s="19"/>
      <c r="G55" s="19"/>
      <c r="H55" s="19"/>
      <c r="I55" s="19"/>
      <c r="J55" s="19"/>
      <c r="K55" s="19"/>
      <c r="L55" s="19"/>
      <c r="M55" s="24"/>
    </row>
    <row r="56" spans="1:13">
      <c r="A56" s="51" t="s">
        <v>96</v>
      </c>
      <c r="B56" s="52"/>
      <c r="C56" s="52"/>
      <c r="D56" s="52"/>
      <c r="E56" s="52"/>
      <c r="F56" s="52"/>
      <c r="G56" s="52"/>
      <c r="H56" s="52"/>
      <c r="I56" s="52"/>
      <c r="J56" s="52"/>
      <c r="K56" s="52"/>
      <c r="L56" s="52"/>
      <c r="M56" s="53"/>
    </row>
    <row r="57" spans="1:13" ht="15.75" thickBot="1">
      <c r="A57" s="30"/>
      <c r="B57" s="19"/>
      <c r="C57" s="19"/>
      <c r="D57" s="19"/>
      <c r="E57" s="19"/>
      <c r="F57" s="19"/>
      <c r="G57" s="19"/>
      <c r="H57" s="19"/>
      <c r="I57" s="19"/>
      <c r="J57" s="19"/>
      <c r="K57" s="19"/>
      <c r="L57" s="19"/>
      <c r="M57" s="24"/>
    </row>
    <row r="58" spans="1:13" ht="26.25">
      <c r="A58" s="453" t="s">
        <v>97</v>
      </c>
      <c r="B58" s="454"/>
      <c r="C58" s="454"/>
      <c r="D58" s="454"/>
      <c r="E58" s="454"/>
      <c r="F58" s="454"/>
      <c r="G58" s="454"/>
      <c r="H58" s="221" t="s">
        <v>98</v>
      </c>
      <c r="I58" s="222" t="s">
        <v>99</v>
      </c>
      <c r="J58" s="222" t="s">
        <v>100</v>
      </c>
      <c r="K58" s="455" t="s">
        <v>84</v>
      </c>
      <c r="L58" s="455"/>
      <c r="M58" s="65" t="s">
        <v>85</v>
      </c>
    </row>
    <row r="59" spans="1:13">
      <c r="A59" s="425" t="s">
        <v>126</v>
      </c>
      <c r="B59" s="426"/>
      <c r="C59" s="426"/>
      <c r="D59" s="426"/>
      <c r="E59" s="426"/>
      <c r="F59" s="426"/>
      <c r="G59" s="427"/>
      <c r="H59" s="1">
        <v>112923.49999999999</v>
      </c>
      <c r="I59" s="2">
        <v>2.2000000000000002</v>
      </c>
      <c r="J59" s="66">
        <f>(I59*H59)</f>
        <v>248431.69999999998</v>
      </c>
      <c r="K59" s="483">
        <v>12</v>
      </c>
      <c r="L59" s="483"/>
      <c r="M59" s="56">
        <f>J59/K59</f>
        <v>20702.641666666666</v>
      </c>
    </row>
    <row r="60" spans="1:13">
      <c r="A60" s="471"/>
      <c r="B60" s="472"/>
      <c r="C60" s="472"/>
      <c r="D60" s="472"/>
      <c r="E60" s="472"/>
      <c r="F60" s="472"/>
      <c r="G60" s="472"/>
      <c r="H60" s="1"/>
      <c r="I60" s="2"/>
      <c r="J60" s="66"/>
      <c r="K60" s="473"/>
      <c r="L60" s="473"/>
      <c r="M60" s="56"/>
    </row>
    <row r="61" spans="1:13" ht="15.75" thickBot="1">
      <c r="A61" s="432"/>
      <c r="B61" s="433"/>
      <c r="C61" s="433"/>
      <c r="D61" s="433"/>
      <c r="E61" s="433"/>
      <c r="F61" s="433"/>
      <c r="G61" s="433"/>
      <c r="H61" s="3"/>
      <c r="I61" s="4"/>
      <c r="J61" s="67"/>
      <c r="K61" s="434"/>
      <c r="L61" s="434"/>
      <c r="M61" s="68"/>
    </row>
    <row r="62" spans="1:13" ht="15.75" thickBot="1">
      <c r="A62" s="435" t="s">
        <v>87</v>
      </c>
      <c r="B62" s="436"/>
      <c r="C62" s="436"/>
      <c r="D62" s="436"/>
      <c r="E62" s="436"/>
      <c r="F62" s="436"/>
      <c r="G62" s="436"/>
      <c r="H62" s="436"/>
      <c r="I62" s="436"/>
      <c r="J62" s="436"/>
      <c r="K62" s="436"/>
      <c r="L62" s="437"/>
      <c r="M62" s="69">
        <f>SUM(M59:M61)</f>
        <v>20702.641666666666</v>
      </c>
    </row>
    <row r="63" spans="1:13" ht="15.75" thickBot="1">
      <c r="A63" s="30"/>
      <c r="B63" s="19"/>
      <c r="C63" s="19"/>
      <c r="D63" s="19"/>
      <c r="E63" s="19"/>
      <c r="F63" s="19"/>
      <c r="G63" s="19"/>
      <c r="H63" s="19"/>
      <c r="I63" s="19"/>
      <c r="J63" s="19"/>
      <c r="K63" s="19"/>
      <c r="L63" s="19"/>
      <c r="M63" s="24"/>
    </row>
    <row r="64" spans="1:13" ht="15.75" thickBot="1">
      <c r="A64" s="416" t="s">
        <v>101</v>
      </c>
      <c r="B64" s="417"/>
      <c r="C64" s="417"/>
      <c r="D64" s="417"/>
      <c r="E64" s="417"/>
      <c r="F64" s="417"/>
      <c r="G64" s="417"/>
      <c r="H64" s="417"/>
      <c r="I64" s="417"/>
      <c r="J64" s="417"/>
      <c r="K64" s="417"/>
      <c r="L64" s="418"/>
      <c r="M64" s="70">
        <f>ROUND(M62+M54+M47+M33,0)</f>
        <v>68386</v>
      </c>
    </row>
    <row r="65" spans="1:13">
      <c r="A65" s="30"/>
      <c r="B65" s="19"/>
      <c r="C65" s="19"/>
      <c r="D65" s="19"/>
      <c r="E65" s="19"/>
      <c r="F65" s="19"/>
      <c r="G65" s="19"/>
      <c r="H65" s="19"/>
      <c r="I65" s="19"/>
      <c r="J65" s="19"/>
      <c r="K65" s="19"/>
      <c r="L65" s="19"/>
      <c r="M65" s="24"/>
    </row>
    <row r="66" spans="1:13">
      <c r="A66" s="51" t="s">
        <v>102</v>
      </c>
      <c r="B66" s="52"/>
      <c r="C66" s="52"/>
      <c r="D66" s="52"/>
      <c r="E66" s="52"/>
      <c r="F66" s="52"/>
      <c r="G66" s="52"/>
      <c r="H66" s="52"/>
      <c r="I66" s="52"/>
      <c r="J66" s="52"/>
      <c r="K66" s="52"/>
      <c r="L66" s="52"/>
      <c r="M66" s="53"/>
    </row>
    <row r="67" spans="1:13" ht="15.75" thickBot="1">
      <c r="A67" s="30"/>
      <c r="B67" s="19"/>
      <c r="C67" s="19"/>
      <c r="D67" s="19"/>
      <c r="E67" s="19"/>
      <c r="F67" s="19"/>
      <c r="G67" s="19"/>
      <c r="H67" s="19"/>
      <c r="I67" s="19"/>
      <c r="J67" s="19"/>
      <c r="K67" s="19"/>
      <c r="L67" s="19"/>
      <c r="M67" s="24"/>
    </row>
    <row r="68" spans="1:13" ht="15.75" thickBot="1">
      <c r="A68" s="438" t="s">
        <v>103</v>
      </c>
      <c r="B68" s="439"/>
      <c r="C68" s="439"/>
      <c r="D68" s="439"/>
      <c r="E68" s="439"/>
      <c r="F68" s="439"/>
      <c r="G68" s="439"/>
      <c r="H68" s="219"/>
      <c r="I68" s="220"/>
      <c r="J68" s="81" t="s">
        <v>104</v>
      </c>
      <c r="K68" s="440" t="s">
        <v>105</v>
      </c>
      <c r="L68" s="441"/>
      <c r="M68" s="82"/>
    </row>
    <row r="69" spans="1:13">
      <c r="A69" s="442" t="s">
        <v>106</v>
      </c>
      <c r="B69" s="443"/>
      <c r="C69" s="443"/>
      <c r="D69" s="443"/>
      <c r="E69" s="443"/>
      <c r="F69" s="443"/>
      <c r="G69" s="443"/>
      <c r="H69" s="83"/>
      <c r="I69" s="84"/>
      <c r="J69" s="85">
        <v>0.19</v>
      </c>
      <c r="K69" s="444">
        <f>M64*J69</f>
        <v>12993.34</v>
      </c>
      <c r="L69" s="444"/>
      <c r="M69" s="86"/>
    </row>
    <row r="70" spans="1:13">
      <c r="A70" s="447" t="s">
        <v>107</v>
      </c>
      <c r="B70" s="448"/>
      <c r="C70" s="448"/>
      <c r="D70" s="448"/>
      <c r="E70" s="448"/>
      <c r="F70" s="448"/>
      <c r="G70" s="449"/>
      <c r="H70" s="77"/>
      <c r="I70" s="78"/>
      <c r="J70" s="5">
        <v>0.01</v>
      </c>
      <c r="K70" s="445">
        <f>M64*J70</f>
        <v>683.86</v>
      </c>
      <c r="L70" s="445"/>
      <c r="M70" s="6"/>
    </row>
    <row r="71" spans="1:13">
      <c r="A71" s="447" t="s">
        <v>108</v>
      </c>
      <c r="B71" s="448"/>
      <c r="C71" s="448"/>
      <c r="D71" s="448"/>
      <c r="E71" s="448"/>
      <c r="F71" s="448"/>
      <c r="G71" s="449"/>
      <c r="H71" s="77"/>
      <c r="I71" s="78"/>
      <c r="J71" s="5">
        <v>0.05</v>
      </c>
      <c r="K71" s="445">
        <f>M64*J71</f>
        <v>3419.3</v>
      </c>
      <c r="L71" s="445"/>
      <c r="M71" s="6"/>
    </row>
    <row r="72" spans="1:13" ht="15.75" thickBot="1">
      <c r="A72" s="450" t="s">
        <v>117</v>
      </c>
      <c r="B72" s="451"/>
      <c r="C72" s="451"/>
      <c r="D72" s="451"/>
      <c r="E72" s="451"/>
      <c r="F72" s="451"/>
      <c r="G72" s="452"/>
      <c r="H72" s="87"/>
      <c r="I72" s="88"/>
      <c r="J72" s="89">
        <v>0.19</v>
      </c>
      <c r="K72" s="446">
        <f>K71*J72</f>
        <v>649.66700000000003</v>
      </c>
      <c r="L72" s="446"/>
      <c r="M72" s="90"/>
    </row>
    <row r="73" spans="1:13" ht="15.75" thickBot="1">
      <c r="A73" s="435" t="s">
        <v>87</v>
      </c>
      <c r="B73" s="436"/>
      <c r="C73" s="436"/>
      <c r="D73" s="436"/>
      <c r="E73" s="436"/>
      <c r="F73" s="436"/>
      <c r="G73" s="436"/>
      <c r="H73" s="436"/>
      <c r="I73" s="436"/>
      <c r="J73" s="436"/>
      <c r="K73" s="436"/>
      <c r="L73" s="437"/>
      <c r="M73" s="76">
        <f>SUM(K69:L72)</f>
        <v>17746.167000000001</v>
      </c>
    </row>
    <row r="74" spans="1:13" ht="15.75" thickBot="1">
      <c r="A74" s="30"/>
      <c r="B74" s="19"/>
      <c r="C74" s="19"/>
      <c r="D74" s="19"/>
      <c r="E74" s="19"/>
      <c r="F74" s="19"/>
      <c r="G74" s="19"/>
      <c r="H74" s="19"/>
      <c r="I74" s="19"/>
      <c r="J74" s="19"/>
      <c r="K74" s="19"/>
      <c r="L74" s="19"/>
      <c r="M74" s="24"/>
    </row>
    <row r="75" spans="1:13" ht="15.75" thickBot="1">
      <c r="A75" s="416" t="s">
        <v>109</v>
      </c>
      <c r="B75" s="417"/>
      <c r="C75" s="417"/>
      <c r="D75" s="417"/>
      <c r="E75" s="417"/>
      <c r="F75" s="417"/>
      <c r="G75" s="417"/>
      <c r="H75" s="417"/>
      <c r="I75" s="417"/>
      <c r="J75" s="417"/>
      <c r="K75" s="417"/>
      <c r="L75" s="418"/>
      <c r="M75" s="71">
        <f>ROUND(M64+M73,0)</f>
        <v>86132</v>
      </c>
    </row>
  </sheetData>
  <mergeCells count="83">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41:H41"/>
    <mergeCell ref="K41:L41"/>
    <mergeCell ref="A42:H42"/>
    <mergeCell ref="K42:L42"/>
    <mergeCell ref="A43:H43"/>
    <mergeCell ref="K43:L43"/>
    <mergeCell ref="A44:H44"/>
    <mergeCell ref="K44:L44"/>
    <mergeCell ref="A45:H45"/>
    <mergeCell ref="K45:L45"/>
    <mergeCell ref="A46:H46"/>
    <mergeCell ref="K46:L46"/>
    <mergeCell ref="A60:G60"/>
    <mergeCell ref="K60:L60"/>
    <mergeCell ref="A47:L47"/>
    <mergeCell ref="A51:G51"/>
    <mergeCell ref="K51:L51"/>
    <mergeCell ref="A52:G52"/>
    <mergeCell ref="K52:L52"/>
    <mergeCell ref="A53:G53"/>
    <mergeCell ref="K53:L53"/>
    <mergeCell ref="A54:L54"/>
    <mergeCell ref="A58:G58"/>
    <mergeCell ref="K58:L58"/>
    <mergeCell ref="A59:G59"/>
    <mergeCell ref="K59:L59"/>
    <mergeCell ref="A61:G61"/>
    <mergeCell ref="K61:L61"/>
    <mergeCell ref="A62:L62"/>
    <mergeCell ref="A64:L64"/>
    <mergeCell ref="A68:G68"/>
    <mergeCell ref="K68:L68"/>
    <mergeCell ref="A72:G72"/>
    <mergeCell ref="K72:L72"/>
    <mergeCell ref="A73:L73"/>
    <mergeCell ref="A75:L75"/>
    <mergeCell ref="A69:G69"/>
    <mergeCell ref="K69:L69"/>
    <mergeCell ref="A70:G70"/>
    <mergeCell ref="K70:L70"/>
    <mergeCell ref="A71:G71"/>
    <mergeCell ref="K71:L71"/>
  </mergeCells>
  <pageMargins left="0.7" right="0.7" top="0.75" bottom="0.75" header="0.3" footer="0.3"/>
  <pageSetup scale="56"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view="pageBreakPreview" topLeftCell="A49" zoomScale="80" zoomScaleNormal="100" zoomScaleSheetLayoutView="80" workbookViewId="0">
      <selection activeCell="M65" sqref="M65"/>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9">
      <c r="A17" s="25"/>
      <c r="B17" s="26"/>
      <c r="C17" s="224"/>
      <c r="D17" s="224"/>
      <c r="E17" s="224"/>
      <c r="F17" s="224"/>
      <c r="G17" s="224"/>
      <c r="H17" s="224"/>
      <c r="I17" s="224"/>
      <c r="J17" s="224"/>
      <c r="K17" s="224"/>
      <c r="L17" s="224"/>
      <c r="M17" s="13"/>
    </row>
    <row r="18" spans="1:19">
      <c r="A18" s="25" t="s">
        <v>74</v>
      </c>
      <c r="B18" s="26"/>
      <c r="C18" s="379"/>
      <c r="D18" s="379"/>
      <c r="E18" s="379"/>
      <c r="F18" s="379"/>
      <c r="G18" s="379"/>
      <c r="H18" s="379"/>
      <c r="I18" s="379"/>
      <c r="J18" s="379"/>
      <c r="K18" s="379"/>
      <c r="L18" s="379"/>
      <c r="M18" s="380"/>
    </row>
    <row r="19" spans="1:19">
      <c r="A19" s="25"/>
      <c r="B19" s="26"/>
      <c r="C19" s="224"/>
      <c r="D19" s="224"/>
      <c r="E19" s="224"/>
      <c r="F19" s="224"/>
      <c r="G19" s="224"/>
      <c r="H19" s="224"/>
      <c r="I19" s="224"/>
      <c r="J19" s="224"/>
      <c r="K19" s="224"/>
      <c r="L19" s="224"/>
      <c r="M19" s="13"/>
    </row>
    <row r="20" spans="1:19" ht="31.5" customHeight="1">
      <c r="A20" s="464" t="s">
        <v>113</v>
      </c>
      <c r="B20" s="465"/>
      <c r="C20" s="379"/>
      <c r="D20" s="379"/>
      <c r="E20" s="379"/>
      <c r="F20" s="379"/>
      <c r="G20" s="379"/>
      <c r="H20" s="379"/>
      <c r="I20" s="379"/>
      <c r="J20" s="379"/>
      <c r="K20" s="379"/>
      <c r="L20" s="379"/>
      <c r="M20" s="380"/>
    </row>
    <row r="21" spans="1:19">
      <c r="A21" s="400"/>
      <c r="B21" s="401"/>
      <c r="C21" s="224"/>
      <c r="D21" s="224"/>
      <c r="E21" s="224"/>
      <c r="F21" s="224"/>
      <c r="G21" s="224"/>
      <c r="H21" s="224"/>
      <c r="I21" s="224"/>
      <c r="J21" s="224"/>
      <c r="K21" s="224"/>
      <c r="L21" s="22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216" t="s">
        <v>78</v>
      </c>
      <c r="K25" s="408" t="s">
        <v>79</v>
      </c>
      <c r="L25" s="409"/>
      <c r="M25" s="31" t="s">
        <v>80</v>
      </c>
    </row>
    <row r="26" spans="1:19" ht="15.75" thickBot="1">
      <c r="A26" s="33"/>
      <c r="B26" s="391" t="s">
        <v>337</v>
      </c>
      <c r="C26" s="392"/>
      <c r="D26" s="392"/>
      <c r="E26" s="392"/>
      <c r="F26" s="392"/>
      <c r="G26" s="392"/>
      <c r="H26" s="392"/>
      <c r="I26" s="393"/>
      <c r="J26" s="215">
        <v>1</v>
      </c>
      <c r="K26" s="391" t="str">
        <f>'[1]NUEVO DISEÑO'!C68</f>
        <v>ML</v>
      </c>
      <c r="L26" s="393"/>
      <c r="M26" s="35"/>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221" t="s">
        <v>83</v>
      </c>
      <c r="K30" s="421" t="s">
        <v>84</v>
      </c>
      <c r="L30" s="424"/>
      <c r="M30" s="44" t="s">
        <v>85</v>
      </c>
    </row>
    <row r="31" spans="1:19" ht="15.75" thickBot="1">
      <c r="A31" s="425" t="s">
        <v>124</v>
      </c>
      <c r="B31" s="426"/>
      <c r="C31" s="426"/>
      <c r="D31" s="426"/>
      <c r="E31" s="427"/>
      <c r="F31" s="428" t="s">
        <v>125</v>
      </c>
      <c r="G31" s="429"/>
      <c r="H31" s="430" t="s">
        <v>86</v>
      </c>
      <c r="I31" s="427"/>
      <c r="J31" s="72">
        <v>3257.98</v>
      </c>
      <c r="K31" s="428">
        <v>1</v>
      </c>
      <c r="L31" s="429"/>
      <c r="M31" s="46">
        <f>J31/K31</f>
        <v>3257.98</v>
      </c>
      <c r="N31" s="489"/>
      <c r="O31" s="490"/>
      <c r="P31" s="95"/>
      <c r="Q31" s="96"/>
      <c r="R31" s="97"/>
      <c r="S31" s="98"/>
    </row>
    <row r="32" spans="1:19">
      <c r="A32" s="425" t="s">
        <v>219</v>
      </c>
      <c r="B32" s="426"/>
      <c r="C32" s="426"/>
      <c r="D32" s="426"/>
      <c r="E32" s="427"/>
      <c r="F32" s="428" t="s">
        <v>110</v>
      </c>
      <c r="G32" s="429"/>
      <c r="H32" s="430" t="s">
        <v>86</v>
      </c>
      <c r="I32" s="427"/>
      <c r="J32" s="72">
        <v>19000</v>
      </c>
      <c r="K32" s="428">
        <v>4</v>
      </c>
      <c r="L32" s="429"/>
      <c r="M32" s="46">
        <f>J32/K32</f>
        <v>4750</v>
      </c>
    </row>
    <row r="33" spans="1:16" ht="15.75" thickBot="1">
      <c r="A33" s="410" t="s">
        <v>338</v>
      </c>
      <c r="B33" s="411"/>
      <c r="C33" s="411"/>
      <c r="D33" s="411"/>
      <c r="E33" s="412"/>
      <c r="F33" s="414" t="s">
        <v>339</v>
      </c>
      <c r="G33" s="415"/>
      <c r="H33" s="413" t="s">
        <v>86</v>
      </c>
      <c r="I33" s="412"/>
      <c r="J33" s="91">
        <v>24000</v>
      </c>
      <c r="K33" s="414">
        <v>10.73</v>
      </c>
      <c r="L33" s="415"/>
      <c r="M33" s="46">
        <f>J33/K33</f>
        <v>2236.7194780987884</v>
      </c>
    </row>
    <row r="34" spans="1:16" ht="15.75" thickBot="1">
      <c r="A34" s="416" t="s">
        <v>87</v>
      </c>
      <c r="B34" s="417"/>
      <c r="C34" s="417"/>
      <c r="D34" s="417"/>
      <c r="E34" s="417"/>
      <c r="F34" s="417"/>
      <c r="G34" s="417"/>
      <c r="H34" s="417"/>
      <c r="I34" s="417"/>
      <c r="J34" s="417"/>
      <c r="K34" s="417"/>
      <c r="L34" s="418"/>
      <c r="M34" s="49">
        <f>SUM(M31:M33)</f>
        <v>10244.699478098788</v>
      </c>
    </row>
    <row r="35" spans="1:16">
      <c r="A35" s="50"/>
      <c r="B35" s="19"/>
      <c r="C35" s="19"/>
      <c r="D35" s="19"/>
      <c r="E35" s="19"/>
      <c r="F35" s="19"/>
      <c r="G35" s="19"/>
      <c r="H35" s="19"/>
      <c r="I35" s="19"/>
      <c r="J35" s="19"/>
      <c r="K35" s="19"/>
      <c r="L35" s="19"/>
      <c r="M35" s="24"/>
    </row>
    <row r="36" spans="1:16">
      <c r="A36" s="51" t="s">
        <v>88</v>
      </c>
      <c r="B36" s="52"/>
      <c r="C36" s="52"/>
      <c r="D36" s="52"/>
      <c r="E36" s="52"/>
      <c r="F36" s="52"/>
      <c r="G36" s="52"/>
      <c r="H36" s="52"/>
      <c r="I36" s="52"/>
      <c r="J36" s="52"/>
      <c r="K36" s="52"/>
      <c r="L36" s="52"/>
      <c r="M36" s="53"/>
    </row>
    <row r="37" spans="1:16" ht="15.75" thickBot="1">
      <c r="A37" s="14"/>
      <c r="B37" s="15"/>
      <c r="C37" s="15"/>
      <c r="D37" s="15"/>
      <c r="E37" s="15"/>
      <c r="F37" s="15"/>
      <c r="G37" s="15"/>
      <c r="H37" s="15"/>
      <c r="I37" s="19"/>
      <c r="J37" s="19"/>
      <c r="K37" s="19"/>
      <c r="L37" s="19"/>
      <c r="M37" s="24"/>
    </row>
    <row r="38" spans="1:16">
      <c r="A38" s="408" t="s">
        <v>77</v>
      </c>
      <c r="B38" s="431"/>
      <c r="C38" s="431"/>
      <c r="D38" s="431"/>
      <c r="E38" s="431"/>
      <c r="F38" s="431"/>
      <c r="G38" s="431"/>
      <c r="H38" s="424"/>
      <c r="I38" s="217" t="s">
        <v>79</v>
      </c>
      <c r="J38" s="221" t="s">
        <v>80</v>
      </c>
      <c r="K38" s="421" t="s">
        <v>89</v>
      </c>
      <c r="L38" s="424"/>
      <c r="M38" s="44" t="s">
        <v>85</v>
      </c>
    </row>
    <row r="39" spans="1:16" ht="15" customHeight="1">
      <c r="A39" s="484" t="s">
        <v>340</v>
      </c>
      <c r="B39" s="485"/>
      <c r="C39" s="485"/>
      <c r="D39" s="485"/>
      <c r="E39" s="485"/>
      <c r="F39" s="485"/>
      <c r="G39" s="485"/>
      <c r="H39" s="486"/>
      <c r="I39" s="73" t="s">
        <v>8</v>
      </c>
      <c r="J39" s="92">
        <v>1</v>
      </c>
      <c r="K39" s="487">
        <f>301907*1.0562</f>
        <v>318874.17340000003</v>
      </c>
      <c r="L39" s="488"/>
      <c r="M39" s="56">
        <f>K39*J39</f>
        <v>318874.17340000003</v>
      </c>
      <c r="O39" s="94"/>
    </row>
    <row r="40" spans="1:16" ht="15" customHeight="1">
      <c r="A40" s="484"/>
      <c r="B40" s="485"/>
      <c r="C40" s="485"/>
      <c r="D40" s="485"/>
      <c r="E40" s="485"/>
      <c r="F40" s="485"/>
      <c r="G40" s="485"/>
      <c r="H40" s="486"/>
      <c r="I40" s="73"/>
      <c r="J40" s="93"/>
      <c r="K40" s="487"/>
      <c r="L40" s="488"/>
      <c r="M40" s="56"/>
      <c r="P40" s="94"/>
    </row>
    <row r="41" spans="1:16" ht="15" customHeight="1">
      <c r="A41" s="484"/>
      <c r="B41" s="485"/>
      <c r="C41" s="485"/>
      <c r="D41" s="485"/>
      <c r="E41" s="485"/>
      <c r="F41" s="485"/>
      <c r="G41" s="485"/>
      <c r="H41" s="486"/>
      <c r="I41" s="73"/>
      <c r="J41" s="93"/>
      <c r="K41" s="487"/>
      <c r="L41" s="488"/>
      <c r="M41" s="56"/>
    </row>
    <row r="42" spans="1:16">
      <c r="A42" s="425"/>
      <c r="B42" s="426"/>
      <c r="C42" s="426"/>
      <c r="D42" s="426"/>
      <c r="E42" s="426"/>
      <c r="F42" s="426"/>
      <c r="G42" s="426"/>
      <c r="H42" s="427"/>
      <c r="I42" s="73"/>
      <c r="J42" s="225"/>
      <c r="K42" s="456"/>
      <c r="L42" s="457"/>
      <c r="M42" s="56"/>
    </row>
    <row r="43" spans="1:16">
      <c r="A43" s="425"/>
      <c r="B43" s="426"/>
      <c r="C43" s="426"/>
      <c r="D43" s="426"/>
      <c r="E43" s="426"/>
      <c r="F43" s="426"/>
      <c r="G43" s="426"/>
      <c r="H43" s="427"/>
      <c r="I43" s="73"/>
      <c r="J43" s="225"/>
      <c r="K43" s="456"/>
      <c r="L43" s="457"/>
      <c r="M43" s="56"/>
    </row>
    <row r="44" spans="1:16">
      <c r="A44" s="425"/>
      <c r="B44" s="426"/>
      <c r="C44" s="426"/>
      <c r="D44" s="426"/>
      <c r="E44" s="426"/>
      <c r="F44" s="426"/>
      <c r="G44" s="426"/>
      <c r="H44" s="427"/>
      <c r="I44" s="73"/>
      <c r="J44" s="45"/>
      <c r="K44" s="456"/>
      <c r="L44" s="457"/>
      <c r="M44" s="56">
        <f t="shared" ref="M44:M46" si="0">K44*J44</f>
        <v>0</v>
      </c>
    </row>
    <row r="45" spans="1:16">
      <c r="A45" s="425"/>
      <c r="B45" s="426"/>
      <c r="C45" s="426"/>
      <c r="D45" s="426"/>
      <c r="E45" s="426"/>
      <c r="F45" s="426"/>
      <c r="G45" s="426"/>
      <c r="H45" s="427"/>
      <c r="I45" s="73"/>
      <c r="J45" s="45"/>
      <c r="K45" s="456"/>
      <c r="L45" s="457"/>
      <c r="M45" s="56">
        <f t="shared" si="0"/>
        <v>0</v>
      </c>
    </row>
    <row r="46" spans="1:16">
      <c r="A46" s="425"/>
      <c r="B46" s="426"/>
      <c r="C46" s="426"/>
      <c r="D46" s="426"/>
      <c r="E46" s="426"/>
      <c r="F46" s="426"/>
      <c r="G46" s="426"/>
      <c r="H46" s="427"/>
      <c r="I46" s="73"/>
      <c r="J46" s="45"/>
      <c r="K46" s="456"/>
      <c r="L46" s="457"/>
      <c r="M46" s="56">
        <f t="shared" si="0"/>
        <v>0</v>
      </c>
    </row>
    <row r="47" spans="1:16" ht="15.75" thickBot="1">
      <c r="A47" s="410"/>
      <c r="B47" s="411"/>
      <c r="C47" s="411"/>
      <c r="D47" s="411"/>
      <c r="E47" s="411"/>
      <c r="F47" s="411"/>
      <c r="G47" s="411"/>
      <c r="H47" s="412"/>
      <c r="I47" s="74"/>
      <c r="J47" s="57"/>
      <c r="K47" s="466"/>
      <c r="L47" s="467"/>
      <c r="M47" s="75"/>
    </row>
    <row r="48" spans="1:16" ht="15.75" thickBot="1">
      <c r="A48" s="416" t="s">
        <v>87</v>
      </c>
      <c r="B48" s="417"/>
      <c r="C48" s="417"/>
      <c r="D48" s="417"/>
      <c r="E48" s="417"/>
      <c r="F48" s="417"/>
      <c r="G48" s="417"/>
      <c r="H48" s="417"/>
      <c r="I48" s="417"/>
      <c r="J48" s="417"/>
      <c r="K48" s="417"/>
      <c r="L48" s="418"/>
      <c r="M48" s="58">
        <f>SUM(M39:M47)</f>
        <v>318874.17340000003</v>
      </c>
    </row>
    <row r="49" spans="1:13">
      <c r="A49" s="30"/>
      <c r="B49" s="19"/>
      <c r="C49" s="19"/>
      <c r="D49" s="19"/>
      <c r="E49" s="19"/>
      <c r="F49" s="19"/>
      <c r="G49" s="19"/>
      <c r="H49" s="19"/>
      <c r="I49" s="19"/>
      <c r="J49" s="19"/>
      <c r="K49" s="19"/>
      <c r="L49" s="19"/>
      <c r="M49" s="24"/>
    </row>
    <row r="50" spans="1:13">
      <c r="A50" s="51" t="s">
        <v>90</v>
      </c>
      <c r="B50" s="52"/>
      <c r="C50" s="52"/>
      <c r="D50" s="52"/>
      <c r="E50" s="52"/>
      <c r="F50" s="52"/>
      <c r="G50" s="52"/>
      <c r="H50" s="52"/>
      <c r="I50" s="52"/>
      <c r="J50" s="52"/>
      <c r="K50" s="52"/>
      <c r="L50" s="52"/>
      <c r="M50" s="53"/>
    </row>
    <row r="51" spans="1:13" ht="15.75" thickBot="1">
      <c r="A51" s="30"/>
      <c r="B51" s="19"/>
      <c r="C51" s="19"/>
      <c r="D51" s="19"/>
      <c r="E51" s="19"/>
      <c r="F51" s="19"/>
      <c r="G51" s="19"/>
      <c r="H51" s="19"/>
      <c r="I51" s="19"/>
      <c r="J51" s="19"/>
      <c r="K51" s="19"/>
      <c r="L51" s="19"/>
      <c r="M51" s="24"/>
    </row>
    <row r="52" spans="1:13">
      <c r="A52" s="408" t="s">
        <v>91</v>
      </c>
      <c r="B52" s="431"/>
      <c r="C52" s="431"/>
      <c r="D52" s="431"/>
      <c r="E52" s="431"/>
      <c r="F52" s="431"/>
      <c r="G52" s="431"/>
      <c r="H52" s="221" t="s">
        <v>92</v>
      </c>
      <c r="I52" s="218" t="s">
        <v>93</v>
      </c>
      <c r="J52" s="60" t="s">
        <v>94</v>
      </c>
      <c r="K52" s="421" t="s">
        <v>95</v>
      </c>
      <c r="L52" s="424"/>
      <c r="M52" s="44" t="s">
        <v>85</v>
      </c>
    </row>
    <row r="53" spans="1:13">
      <c r="A53" s="425"/>
      <c r="B53" s="426"/>
      <c r="C53" s="426"/>
      <c r="D53" s="426"/>
      <c r="E53" s="426"/>
      <c r="F53" s="426"/>
      <c r="G53" s="426"/>
      <c r="H53" s="61"/>
      <c r="I53" s="55"/>
      <c r="J53" s="61"/>
      <c r="K53" s="428"/>
      <c r="L53" s="429"/>
    </row>
    <row r="54" spans="1:13" ht="15.75" thickBot="1">
      <c r="A54" s="410"/>
      <c r="B54" s="411"/>
      <c r="C54" s="411"/>
      <c r="D54" s="411"/>
      <c r="E54" s="411"/>
      <c r="F54" s="411"/>
      <c r="G54" s="411"/>
      <c r="H54" s="47"/>
      <c r="I54" s="15"/>
      <c r="J54" s="47"/>
      <c r="K54" s="414"/>
      <c r="L54" s="415"/>
      <c r="M54" s="62"/>
    </row>
    <row r="55" spans="1:13" ht="15.75" thickBot="1">
      <c r="A55" s="416" t="s">
        <v>87</v>
      </c>
      <c r="B55" s="417"/>
      <c r="C55" s="417"/>
      <c r="D55" s="417"/>
      <c r="E55" s="417"/>
      <c r="F55" s="417"/>
      <c r="G55" s="417"/>
      <c r="H55" s="417"/>
      <c r="I55" s="417"/>
      <c r="J55" s="417"/>
      <c r="K55" s="417"/>
      <c r="L55" s="418"/>
      <c r="M55" s="63">
        <f>SUM(M54:M54)</f>
        <v>0</v>
      </c>
    </row>
    <row r="56" spans="1:13">
      <c r="A56" s="30"/>
      <c r="B56" s="19"/>
      <c r="C56" s="19"/>
      <c r="D56" s="19"/>
      <c r="E56" s="19"/>
      <c r="F56" s="19"/>
      <c r="G56" s="19"/>
      <c r="H56" s="19"/>
      <c r="I56" s="19"/>
      <c r="J56" s="19"/>
      <c r="K56" s="19"/>
      <c r="L56" s="19"/>
      <c r="M56" s="24"/>
    </row>
    <row r="57" spans="1:13">
      <c r="A57" s="51" t="s">
        <v>96</v>
      </c>
      <c r="B57" s="52"/>
      <c r="C57" s="52"/>
      <c r="D57" s="52"/>
      <c r="E57" s="52"/>
      <c r="F57" s="52"/>
      <c r="G57" s="52"/>
      <c r="H57" s="52"/>
      <c r="I57" s="52"/>
      <c r="J57" s="52"/>
      <c r="K57" s="52"/>
      <c r="L57" s="52"/>
      <c r="M57" s="53"/>
    </row>
    <row r="58" spans="1:13" ht="15.75" thickBot="1">
      <c r="A58" s="30"/>
      <c r="B58" s="19"/>
      <c r="C58" s="19"/>
      <c r="D58" s="19"/>
      <c r="E58" s="19"/>
      <c r="F58" s="19"/>
      <c r="G58" s="19"/>
      <c r="H58" s="19"/>
      <c r="I58" s="19"/>
      <c r="J58" s="19"/>
      <c r="K58" s="19"/>
      <c r="L58" s="19"/>
      <c r="M58" s="24"/>
    </row>
    <row r="59" spans="1:13" ht="26.25">
      <c r="A59" s="453" t="s">
        <v>97</v>
      </c>
      <c r="B59" s="454"/>
      <c r="C59" s="454"/>
      <c r="D59" s="454"/>
      <c r="E59" s="454"/>
      <c r="F59" s="454"/>
      <c r="G59" s="454"/>
      <c r="H59" s="221" t="s">
        <v>98</v>
      </c>
      <c r="I59" s="222" t="s">
        <v>99</v>
      </c>
      <c r="J59" s="222" t="s">
        <v>100</v>
      </c>
      <c r="K59" s="455" t="s">
        <v>84</v>
      </c>
      <c r="L59" s="455"/>
      <c r="M59" s="65" t="s">
        <v>85</v>
      </c>
    </row>
    <row r="60" spans="1:13">
      <c r="A60" s="425" t="s">
        <v>126</v>
      </c>
      <c r="B60" s="426"/>
      <c r="C60" s="426"/>
      <c r="D60" s="426"/>
      <c r="E60" s="426"/>
      <c r="F60" s="426"/>
      <c r="G60" s="427"/>
      <c r="H60" s="1">
        <v>112923.49999999999</v>
      </c>
      <c r="I60" s="2">
        <v>2.2000000000000002</v>
      </c>
      <c r="J60" s="66">
        <f>(I60*H60)</f>
        <v>248431.69999999998</v>
      </c>
      <c r="K60" s="483">
        <v>8</v>
      </c>
      <c r="L60" s="483"/>
      <c r="M60" s="56">
        <f>J60/K60</f>
        <v>31053.962499999998</v>
      </c>
    </row>
    <row r="61" spans="1:13">
      <c r="A61" s="471"/>
      <c r="B61" s="472"/>
      <c r="C61" s="472"/>
      <c r="D61" s="472"/>
      <c r="E61" s="472"/>
      <c r="F61" s="472"/>
      <c r="G61" s="472"/>
      <c r="H61" s="1"/>
      <c r="I61" s="2"/>
      <c r="J61" s="66"/>
      <c r="K61" s="473"/>
      <c r="L61" s="473"/>
      <c r="M61" s="56"/>
    </row>
    <row r="62" spans="1:13" ht="15.75" thickBot="1">
      <c r="A62" s="432"/>
      <c r="B62" s="433"/>
      <c r="C62" s="433"/>
      <c r="D62" s="433"/>
      <c r="E62" s="433"/>
      <c r="F62" s="433"/>
      <c r="G62" s="433"/>
      <c r="H62" s="3"/>
      <c r="I62" s="4"/>
      <c r="J62" s="67"/>
      <c r="K62" s="434"/>
      <c r="L62" s="434"/>
      <c r="M62" s="68"/>
    </row>
    <row r="63" spans="1:13" ht="15.75" thickBot="1">
      <c r="A63" s="435" t="s">
        <v>87</v>
      </c>
      <c r="B63" s="436"/>
      <c r="C63" s="436"/>
      <c r="D63" s="436"/>
      <c r="E63" s="436"/>
      <c r="F63" s="436"/>
      <c r="G63" s="436"/>
      <c r="H63" s="436"/>
      <c r="I63" s="436"/>
      <c r="J63" s="436"/>
      <c r="K63" s="436"/>
      <c r="L63" s="437"/>
      <c r="M63" s="69">
        <f>SUM(M60:M62)</f>
        <v>31053.962499999998</v>
      </c>
    </row>
    <row r="64" spans="1:13" ht="15.75" thickBot="1">
      <c r="A64" s="30"/>
      <c r="B64" s="19"/>
      <c r="C64" s="19"/>
      <c r="D64" s="19"/>
      <c r="E64" s="19"/>
      <c r="F64" s="19"/>
      <c r="G64" s="19"/>
      <c r="H64" s="19"/>
      <c r="I64" s="19"/>
      <c r="J64" s="19"/>
      <c r="K64" s="19"/>
      <c r="L64" s="19"/>
      <c r="M64" s="24"/>
    </row>
    <row r="65" spans="1:13" ht="15.75" thickBot="1">
      <c r="A65" s="416" t="s">
        <v>101</v>
      </c>
      <c r="B65" s="417"/>
      <c r="C65" s="417"/>
      <c r="D65" s="417"/>
      <c r="E65" s="417"/>
      <c r="F65" s="417"/>
      <c r="G65" s="417"/>
      <c r="H65" s="417"/>
      <c r="I65" s="417"/>
      <c r="J65" s="417"/>
      <c r="K65" s="417"/>
      <c r="L65" s="418"/>
      <c r="M65" s="70">
        <f>ROUND(M63+M55+M48+M34,0)</f>
        <v>360173</v>
      </c>
    </row>
    <row r="66" spans="1:13">
      <c r="A66" s="30"/>
      <c r="B66" s="19"/>
      <c r="C66" s="19"/>
      <c r="D66" s="19"/>
      <c r="E66" s="19"/>
      <c r="F66" s="19"/>
      <c r="G66" s="19"/>
      <c r="H66" s="19"/>
      <c r="I66" s="19"/>
      <c r="J66" s="19"/>
      <c r="K66" s="19"/>
      <c r="L66" s="19"/>
      <c r="M66" s="24"/>
    </row>
    <row r="67" spans="1:13">
      <c r="A67" s="51" t="s">
        <v>102</v>
      </c>
      <c r="B67" s="52"/>
      <c r="C67" s="52"/>
      <c r="D67" s="52"/>
      <c r="E67" s="52"/>
      <c r="F67" s="52"/>
      <c r="G67" s="52"/>
      <c r="H67" s="52"/>
      <c r="I67" s="52"/>
      <c r="J67" s="52"/>
      <c r="K67" s="52"/>
      <c r="L67" s="52"/>
      <c r="M67" s="53"/>
    </row>
    <row r="68" spans="1:13" ht="15.75" thickBot="1">
      <c r="A68" s="30"/>
      <c r="B68" s="19"/>
      <c r="C68" s="19"/>
      <c r="D68" s="19"/>
      <c r="E68" s="19"/>
      <c r="F68" s="19"/>
      <c r="G68" s="19"/>
      <c r="H68" s="19"/>
      <c r="I68" s="19"/>
      <c r="J68" s="19"/>
      <c r="K68" s="19"/>
      <c r="L68" s="19"/>
      <c r="M68" s="24"/>
    </row>
    <row r="69" spans="1:13" ht="15.75" thickBot="1">
      <c r="A69" s="438" t="s">
        <v>103</v>
      </c>
      <c r="B69" s="439"/>
      <c r="C69" s="439"/>
      <c r="D69" s="439"/>
      <c r="E69" s="439"/>
      <c r="F69" s="439"/>
      <c r="G69" s="439"/>
      <c r="H69" s="219"/>
      <c r="I69" s="220"/>
      <c r="J69" s="81" t="s">
        <v>104</v>
      </c>
      <c r="K69" s="440" t="s">
        <v>105</v>
      </c>
      <c r="L69" s="441"/>
      <c r="M69" s="82"/>
    </row>
    <row r="70" spans="1:13">
      <c r="A70" s="442" t="s">
        <v>106</v>
      </c>
      <c r="B70" s="443"/>
      <c r="C70" s="443"/>
      <c r="D70" s="443"/>
      <c r="E70" s="443"/>
      <c r="F70" s="443"/>
      <c r="G70" s="443"/>
      <c r="H70" s="83"/>
      <c r="I70" s="84"/>
      <c r="J70" s="85">
        <v>0.19</v>
      </c>
      <c r="K70" s="444">
        <f>M65*J70</f>
        <v>68432.87</v>
      </c>
      <c r="L70" s="444"/>
      <c r="M70" s="86"/>
    </row>
    <row r="71" spans="1:13">
      <c r="A71" s="447" t="s">
        <v>107</v>
      </c>
      <c r="B71" s="448"/>
      <c r="C71" s="448"/>
      <c r="D71" s="448"/>
      <c r="E71" s="448"/>
      <c r="F71" s="448"/>
      <c r="G71" s="449"/>
      <c r="H71" s="77"/>
      <c r="I71" s="78"/>
      <c r="J71" s="5">
        <v>0.01</v>
      </c>
      <c r="K71" s="445">
        <f>M65*J71</f>
        <v>3601.73</v>
      </c>
      <c r="L71" s="445"/>
      <c r="M71" s="6"/>
    </row>
    <row r="72" spans="1:13">
      <c r="A72" s="447" t="s">
        <v>108</v>
      </c>
      <c r="B72" s="448"/>
      <c r="C72" s="448"/>
      <c r="D72" s="448"/>
      <c r="E72" s="448"/>
      <c r="F72" s="448"/>
      <c r="G72" s="449"/>
      <c r="H72" s="77"/>
      <c r="I72" s="78"/>
      <c r="J72" s="5">
        <v>0.05</v>
      </c>
      <c r="K72" s="445">
        <f>M65*J72</f>
        <v>18008.650000000001</v>
      </c>
      <c r="L72" s="445"/>
      <c r="M72" s="6"/>
    </row>
    <row r="73" spans="1:13" ht="15.75" thickBot="1">
      <c r="A73" s="450" t="s">
        <v>117</v>
      </c>
      <c r="B73" s="451"/>
      <c r="C73" s="451"/>
      <c r="D73" s="451"/>
      <c r="E73" s="451"/>
      <c r="F73" s="451"/>
      <c r="G73" s="452"/>
      <c r="H73" s="87"/>
      <c r="I73" s="88"/>
      <c r="J73" s="89">
        <v>0.19</v>
      </c>
      <c r="K73" s="446">
        <f>K72*J73</f>
        <v>3421.6435000000001</v>
      </c>
      <c r="L73" s="446"/>
      <c r="M73" s="90"/>
    </row>
    <row r="74" spans="1:13" ht="15.75" thickBot="1">
      <c r="A74" s="435" t="s">
        <v>87</v>
      </c>
      <c r="B74" s="436"/>
      <c r="C74" s="436"/>
      <c r="D74" s="436"/>
      <c r="E74" s="436"/>
      <c r="F74" s="436"/>
      <c r="G74" s="436"/>
      <c r="H74" s="436"/>
      <c r="I74" s="436"/>
      <c r="J74" s="436"/>
      <c r="K74" s="436"/>
      <c r="L74" s="437"/>
      <c r="M74" s="76">
        <f>SUM(K70:L73)</f>
        <v>93464.893500000006</v>
      </c>
    </row>
    <row r="75" spans="1:13" ht="15.75" thickBot="1">
      <c r="A75" s="30"/>
      <c r="B75" s="19"/>
      <c r="C75" s="19"/>
      <c r="D75" s="19"/>
      <c r="E75" s="19"/>
      <c r="F75" s="19"/>
      <c r="G75" s="19"/>
      <c r="H75" s="19"/>
      <c r="I75" s="19"/>
      <c r="J75" s="19"/>
      <c r="K75" s="19"/>
      <c r="L75" s="19"/>
      <c r="M75" s="24"/>
    </row>
    <row r="76" spans="1:13" ht="15.75" thickBot="1">
      <c r="A76" s="416" t="s">
        <v>109</v>
      </c>
      <c r="B76" s="417"/>
      <c r="C76" s="417"/>
      <c r="D76" s="417"/>
      <c r="E76" s="417"/>
      <c r="F76" s="417"/>
      <c r="G76" s="417"/>
      <c r="H76" s="417"/>
      <c r="I76" s="417"/>
      <c r="J76" s="417"/>
      <c r="K76" s="417"/>
      <c r="L76" s="418"/>
      <c r="M76" s="71">
        <f>ROUND(M65+M74,0)</f>
        <v>453638</v>
      </c>
    </row>
  </sheetData>
  <mergeCells count="8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41:H41"/>
    <mergeCell ref="K41:L41"/>
    <mergeCell ref="A42:H42"/>
    <mergeCell ref="K42:L42"/>
    <mergeCell ref="A43:H43"/>
    <mergeCell ref="K43:L43"/>
    <mergeCell ref="A53:G53"/>
    <mergeCell ref="K53:L53"/>
    <mergeCell ref="A44:H44"/>
    <mergeCell ref="K44:L44"/>
    <mergeCell ref="A45:H45"/>
    <mergeCell ref="K45:L45"/>
    <mergeCell ref="A46:H46"/>
    <mergeCell ref="K46:L46"/>
    <mergeCell ref="A47:H47"/>
    <mergeCell ref="K47:L47"/>
    <mergeCell ref="A48:L48"/>
    <mergeCell ref="A52:G52"/>
    <mergeCell ref="K52:L52"/>
    <mergeCell ref="A65:L65"/>
    <mergeCell ref="A54:G54"/>
    <mergeCell ref="K54:L54"/>
    <mergeCell ref="A55:L55"/>
    <mergeCell ref="A59:G59"/>
    <mergeCell ref="K59:L59"/>
    <mergeCell ref="A60:G60"/>
    <mergeCell ref="K60:L60"/>
    <mergeCell ref="A61:G61"/>
    <mergeCell ref="K61:L61"/>
    <mergeCell ref="A62:G62"/>
    <mergeCell ref="K62:L62"/>
    <mergeCell ref="A63:L63"/>
    <mergeCell ref="A76:L76"/>
    <mergeCell ref="A69:G69"/>
    <mergeCell ref="K69:L69"/>
    <mergeCell ref="A70:G70"/>
    <mergeCell ref="K70:L70"/>
    <mergeCell ref="A71:G71"/>
    <mergeCell ref="K71:L71"/>
    <mergeCell ref="A72:G72"/>
    <mergeCell ref="K72:L72"/>
    <mergeCell ref="A73:G73"/>
    <mergeCell ref="K73:L73"/>
    <mergeCell ref="A74:L74"/>
  </mergeCells>
  <pageMargins left="0.7" right="0.7" top="0.75" bottom="0.75" header="0.3" footer="0.3"/>
  <pageSetup scale="56"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view="pageBreakPreview" topLeftCell="A49" zoomScale="80" zoomScaleNormal="100" zoomScaleSheetLayoutView="80" workbookViewId="0">
      <selection activeCell="M66" sqref="M66"/>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t="s">
        <v>153</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9">
      <c r="A17" s="25"/>
      <c r="B17" s="26"/>
      <c r="C17" s="224"/>
      <c r="D17" s="224"/>
      <c r="E17" s="224"/>
      <c r="F17" s="224"/>
      <c r="G17" s="224"/>
      <c r="H17" s="224"/>
      <c r="I17" s="224"/>
      <c r="J17" s="224"/>
      <c r="K17" s="224"/>
      <c r="L17" s="224"/>
      <c r="M17" s="13"/>
    </row>
    <row r="18" spans="1:19">
      <c r="A18" s="25" t="s">
        <v>74</v>
      </c>
      <c r="B18" s="26"/>
      <c r="C18" s="379"/>
      <c r="D18" s="379"/>
      <c r="E18" s="379"/>
      <c r="F18" s="379"/>
      <c r="G18" s="379"/>
      <c r="H18" s="379"/>
      <c r="I18" s="379"/>
      <c r="J18" s="379"/>
      <c r="K18" s="379"/>
      <c r="L18" s="379"/>
      <c r="M18" s="380"/>
    </row>
    <row r="19" spans="1:19">
      <c r="A19" s="25"/>
      <c r="B19" s="26"/>
      <c r="C19" s="224"/>
      <c r="D19" s="224"/>
      <c r="E19" s="224"/>
      <c r="F19" s="224"/>
      <c r="G19" s="224"/>
      <c r="H19" s="224"/>
      <c r="I19" s="224"/>
      <c r="J19" s="224"/>
      <c r="K19" s="224"/>
      <c r="L19" s="224"/>
      <c r="M19" s="13"/>
    </row>
    <row r="20" spans="1:19" ht="31.5" customHeight="1">
      <c r="A20" s="464" t="s">
        <v>113</v>
      </c>
      <c r="B20" s="465"/>
      <c r="C20" s="379"/>
      <c r="D20" s="379"/>
      <c r="E20" s="379"/>
      <c r="F20" s="379"/>
      <c r="G20" s="379"/>
      <c r="H20" s="379"/>
      <c r="I20" s="379"/>
      <c r="J20" s="379"/>
      <c r="K20" s="379"/>
      <c r="L20" s="379"/>
      <c r="M20" s="380"/>
    </row>
    <row r="21" spans="1:19">
      <c r="A21" s="400"/>
      <c r="B21" s="401"/>
      <c r="C21" s="224"/>
      <c r="D21" s="224"/>
      <c r="E21" s="224"/>
      <c r="F21" s="224"/>
      <c r="G21" s="224"/>
      <c r="H21" s="224"/>
      <c r="I21" s="224"/>
      <c r="J21" s="224"/>
      <c r="K21" s="224"/>
      <c r="L21" s="22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216" t="s">
        <v>78</v>
      </c>
      <c r="K25" s="408" t="s">
        <v>79</v>
      </c>
      <c r="L25" s="409"/>
      <c r="M25" s="31" t="s">
        <v>80</v>
      </c>
    </row>
    <row r="26" spans="1:19" ht="15.75" thickBot="1">
      <c r="A26" s="33"/>
      <c r="B26" s="391" t="s">
        <v>341</v>
      </c>
      <c r="C26" s="392"/>
      <c r="D26" s="392"/>
      <c r="E26" s="392"/>
      <c r="F26" s="392"/>
      <c r="G26" s="392"/>
      <c r="H26" s="392"/>
      <c r="I26" s="393"/>
      <c r="J26" s="215">
        <v>1</v>
      </c>
      <c r="K26" s="391" t="str">
        <f>'[1]NUEVO DISEÑO'!C71</f>
        <v>M3</v>
      </c>
      <c r="L26" s="393"/>
      <c r="M26" s="35"/>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221" t="s">
        <v>83</v>
      </c>
      <c r="K30" s="421" t="s">
        <v>84</v>
      </c>
      <c r="L30" s="424"/>
      <c r="M30" s="44" t="s">
        <v>85</v>
      </c>
    </row>
    <row r="31" spans="1:19" ht="15.75" thickBot="1">
      <c r="A31" s="425"/>
      <c r="B31" s="426"/>
      <c r="C31" s="426"/>
      <c r="D31" s="426"/>
      <c r="E31" s="427"/>
      <c r="F31" s="428"/>
      <c r="G31" s="429"/>
      <c r="H31" s="430"/>
      <c r="I31" s="427"/>
      <c r="J31" s="72"/>
      <c r="K31" s="428"/>
      <c r="L31" s="429"/>
      <c r="M31" s="46"/>
      <c r="N31" s="489"/>
      <c r="O31" s="490"/>
      <c r="P31" s="95"/>
      <c r="Q31" s="96"/>
      <c r="R31" s="97"/>
      <c r="S31" s="98"/>
    </row>
    <row r="32" spans="1:19">
      <c r="A32" s="425"/>
      <c r="B32" s="426"/>
      <c r="C32" s="426"/>
      <c r="D32" s="426"/>
      <c r="E32" s="427"/>
      <c r="F32" s="428"/>
      <c r="G32" s="429"/>
      <c r="H32" s="430"/>
      <c r="I32" s="427"/>
      <c r="J32" s="72"/>
      <c r="K32" s="428"/>
      <c r="L32" s="429"/>
      <c r="M32" s="46"/>
    </row>
    <row r="33" spans="1:16" ht="15.75" thickBot="1">
      <c r="A33" s="410"/>
      <c r="B33" s="411"/>
      <c r="C33" s="411"/>
      <c r="D33" s="411"/>
      <c r="E33" s="412"/>
      <c r="F33" s="414"/>
      <c r="G33" s="415"/>
      <c r="H33" s="413"/>
      <c r="I33" s="412"/>
      <c r="J33" s="91"/>
      <c r="K33" s="414"/>
      <c r="L33" s="415"/>
      <c r="M33" s="46"/>
    </row>
    <row r="34" spans="1:16" ht="15.75" thickBot="1">
      <c r="A34" s="416" t="s">
        <v>87</v>
      </c>
      <c r="B34" s="417"/>
      <c r="C34" s="417"/>
      <c r="D34" s="417"/>
      <c r="E34" s="417"/>
      <c r="F34" s="417"/>
      <c r="G34" s="417"/>
      <c r="H34" s="417"/>
      <c r="I34" s="417"/>
      <c r="J34" s="417"/>
      <c r="K34" s="417"/>
      <c r="L34" s="418"/>
      <c r="M34" s="49">
        <f>SUM(M31:M33)</f>
        <v>0</v>
      </c>
    </row>
    <row r="35" spans="1:16">
      <c r="A35" s="50"/>
      <c r="B35" s="19"/>
      <c r="C35" s="19"/>
      <c r="D35" s="19"/>
      <c r="E35" s="19"/>
      <c r="F35" s="19"/>
      <c r="G35" s="19"/>
      <c r="H35" s="19"/>
      <c r="I35" s="19"/>
      <c r="J35" s="19"/>
      <c r="K35" s="19"/>
      <c r="L35" s="19"/>
      <c r="M35" s="24"/>
    </row>
    <row r="36" spans="1:16">
      <c r="A36" s="51" t="s">
        <v>88</v>
      </c>
      <c r="B36" s="52"/>
      <c r="C36" s="52"/>
      <c r="D36" s="52"/>
      <c r="E36" s="52"/>
      <c r="F36" s="52"/>
      <c r="G36" s="52"/>
      <c r="H36" s="52"/>
      <c r="I36" s="52"/>
      <c r="J36" s="52"/>
      <c r="K36" s="52"/>
      <c r="L36" s="52"/>
      <c r="M36" s="53"/>
    </row>
    <row r="37" spans="1:16" ht="15.75" thickBot="1">
      <c r="A37" s="14"/>
      <c r="B37" s="15"/>
      <c r="C37" s="15"/>
      <c r="D37" s="15"/>
      <c r="E37" s="15"/>
      <c r="F37" s="15"/>
      <c r="G37" s="15"/>
      <c r="H37" s="15"/>
      <c r="I37" s="19"/>
      <c r="J37" s="19"/>
      <c r="K37" s="19"/>
      <c r="L37" s="19"/>
      <c r="M37" s="24"/>
    </row>
    <row r="38" spans="1:16">
      <c r="A38" s="408" t="s">
        <v>77</v>
      </c>
      <c r="B38" s="431"/>
      <c r="C38" s="431"/>
      <c r="D38" s="431"/>
      <c r="E38" s="431"/>
      <c r="F38" s="431"/>
      <c r="G38" s="431"/>
      <c r="H38" s="424"/>
      <c r="I38" s="217" t="s">
        <v>79</v>
      </c>
      <c r="J38" s="221" t="s">
        <v>80</v>
      </c>
      <c r="K38" s="421" t="s">
        <v>89</v>
      </c>
      <c r="L38" s="424"/>
      <c r="M38" s="44" t="s">
        <v>85</v>
      </c>
    </row>
    <row r="39" spans="1:16" ht="15" customHeight="1">
      <c r="A39" s="484" t="s">
        <v>129</v>
      </c>
      <c r="B39" s="485"/>
      <c r="C39" s="485"/>
      <c r="D39" s="485"/>
      <c r="E39" s="485"/>
      <c r="F39" s="485"/>
      <c r="G39" s="485"/>
      <c r="H39" s="486"/>
      <c r="I39" s="73" t="s">
        <v>127</v>
      </c>
      <c r="J39" s="92">
        <v>240</v>
      </c>
      <c r="K39" s="487">
        <f>58*1.0562</f>
        <v>61.259599999999999</v>
      </c>
      <c r="L39" s="488"/>
      <c r="M39" s="56">
        <f>K39*J39</f>
        <v>14702.304</v>
      </c>
      <c r="O39" s="94"/>
    </row>
    <row r="40" spans="1:16" ht="15" customHeight="1">
      <c r="A40" s="484" t="s">
        <v>342</v>
      </c>
      <c r="B40" s="485"/>
      <c r="C40" s="485"/>
      <c r="D40" s="485"/>
      <c r="E40" s="485"/>
      <c r="F40" s="485"/>
      <c r="G40" s="485"/>
      <c r="H40" s="486"/>
      <c r="I40" s="99" t="s">
        <v>10</v>
      </c>
      <c r="J40" s="93">
        <v>1.34</v>
      </c>
      <c r="K40" s="487">
        <f>48753.2835820895*1.0562</f>
        <v>51493.218119402933</v>
      </c>
      <c r="L40" s="488"/>
      <c r="M40" s="56">
        <f t="shared" ref="M40:M42" si="0">K40*J40</f>
        <v>69000.912279999931</v>
      </c>
      <c r="P40" s="94"/>
    </row>
    <row r="41" spans="1:16" ht="15" customHeight="1">
      <c r="A41" s="484" t="s">
        <v>128</v>
      </c>
      <c r="B41" s="485"/>
      <c r="C41" s="485"/>
      <c r="D41" s="485"/>
      <c r="E41" s="485"/>
      <c r="F41" s="485"/>
      <c r="G41" s="485"/>
      <c r="H41" s="486"/>
      <c r="I41" s="73" t="s">
        <v>25</v>
      </c>
      <c r="J41" s="93">
        <v>454</v>
      </c>
      <c r="K41" s="487">
        <f>690*1.0562</f>
        <v>728.77800000000002</v>
      </c>
      <c r="L41" s="488"/>
      <c r="M41" s="56">
        <f t="shared" si="0"/>
        <v>330865.212</v>
      </c>
    </row>
    <row r="42" spans="1:16">
      <c r="A42" s="425"/>
      <c r="B42" s="426"/>
      <c r="C42" s="426"/>
      <c r="D42" s="426"/>
      <c r="E42" s="426"/>
      <c r="F42" s="426"/>
      <c r="G42" s="426"/>
      <c r="H42" s="427"/>
      <c r="I42" s="73"/>
      <c r="J42" s="225"/>
      <c r="K42" s="456"/>
      <c r="L42" s="457"/>
      <c r="M42" s="56">
        <f t="shared" si="0"/>
        <v>0</v>
      </c>
    </row>
    <row r="43" spans="1:16">
      <c r="A43" s="425"/>
      <c r="B43" s="426"/>
      <c r="C43" s="426"/>
      <c r="D43" s="426"/>
      <c r="E43" s="426"/>
      <c r="F43" s="426"/>
      <c r="G43" s="426"/>
      <c r="H43" s="427"/>
      <c r="I43" s="73"/>
      <c r="J43" s="225"/>
      <c r="K43" s="456"/>
      <c r="L43" s="457"/>
      <c r="M43" s="56"/>
    </row>
    <row r="44" spans="1:16">
      <c r="A44" s="425"/>
      <c r="B44" s="426"/>
      <c r="C44" s="426"/>
      <c r="D44" s="426"/>
      <c r="E44" s="426"/>
      <c r="F44" s="426"/>
      <c r="G44" s="426"/>
      <c r="H44" s="427"/>
      <c r="I44" s="73"/>
      <c r="J44" s="45"/>
      <c r="K44" s="456"/>
      <c r="L44" s="457"/>
      <c r="M44" s="56"/>
    </row>
    <row r="45" spans="1:16">
      <c r="A45" s="425"/>
      <c r="B45" s="426"/>
      <c r="C45" s="426"/>
      <c r="D45" s="426"/>
      <c r="E45" s="426"/>
      <c r="F45" s="426"/>
      <c r="G45" s="426"/>
      <c r="H45" s="427"/>
      <c r="I45" s="73"/>
      <c r="J45" s="45"/>
      <c r="K45" s="456"/>
      <c r="L45" s="457"/>
      <c r="M45" s="56"/>
    </row>
    <row r="46" spans="1:16">
      <c r="A46" s="425"/>
      <c r="B46" s="426"/>
      <c r="C46" s="426"/>
      <c r="D46" s="426"/>
      <c r="E46" s="426"/>
      <c r="F46" s="426"/>
      <c r="G46" s="426"/>
      <c r="H46" s="427"/>
      <c r="I46" s="73"/>
      <c r="J46" s="45"/>
      <c r="K46" s="456"/>
      <c r="L46" s="457"/>
      <c r="M46" s="56"/>
    </row>
    <row r="47" spans="1:16" ht="15.75" thickBot="1">
      <c r="A47" s="410"/>
      <c r="B47" s="411"/>
      <c r="C47" s="411"/>
      <c r="D47" s="411"/>
      <c r="E47" s="411"/>
      <c r="F47" s="411"/>
      <c r="G47" s="411"/>
      <c r="H47" s="412"/>
      <c r="I47" s="74"/>
      <c r="J47" s="57"/>
      <c r="K47" s="466"/>
      <c r="L47" s="467"/>
      <c r="M47" s="75"/>
    </row>
    <row r="48" spans="1:16" ht="15.75" thickBot="1">
      <c r="A48" s="416" t="s">
        <v>87</v>
      </c>
      <c r="B48" s="417"/>
      <c r="C48" s="417"/>
      <c r="D48" s="417"/>
      <c r="E48" s="417"/>
      <c r="F48" s="417"/>
      <c r="G48" s="417"/>
      <c r="H48" s="417"/>
      <c r="I48" s="417"/>
      <c r="J48" s="417"/>
      <c r="K48" s="417"/>
      <c r="L48" s="418"/>
      <c r="M48" s="58">
        <f>SUM(M39:M47)</f>
        <v>414568.42827999993</v>
      </c>
    </row>
    <row r="49" spans="1:13">
      <c r="A49" s="30"/>
      <c r="B49" s="19"/>
      <c r="C49" s="19"/>
      <c r="D49" s="19"/>
      <c r="E49" s="19"/>
      <c r="F49" s="19"/>
      <c r="G49" s="19"/>
      <c r="H49" s="19"/>
      <c r="I49" s="19"/>
      <c r="J49" s="19"/>
      <c r="K49" s="19"/>
      <c r="L49" s="19"/>
      <c r="M49" s="24"/>
    </row>
    <row r="50" spans="1:13">
      <c r="A50" s="51" t="s">
        <v>90</v>
      </c>
      <c r="B50" s="52"/>
      <c r="C50" s="52"/>
      <c r="D50" s="52"/>
      <c r="E50" s="52"/>
      <c r="F50" s="52"/>
      <c r="G50" s="52"/>
      <c r="H50" s="52"/>
      <c r="I50" s="52"/>
      <c r="J50" s="52"/>
      <c r="K50" s="52"/>
      <c r="L50" s="52"/>
      <c r="M50" s="53"/>
    </row>
    <row r="51" spans="1:13" ht="15.75" thickBot="1">
      <c r="A51" s="30"/>
      <c r="B51" s="19"/>
      <c r="C51" s="19"/>
      <c r="D51" s="19"/>
      <c r="E51" s="19"/>
      <c r="F51" s="19"/>
      <c r="G51" s="19"/>
      <c r="H51" s="19"/>
      <c r="I51" s="19"/>
      <c r="J51" s="19"/>
      <c r="K51" s="19"/>
      <c r="L51" s="19"/>
      <c r="M51" s="24"/>
    </row>
    <row r="52" spans="1:13">
      <c r="A52" s="408" t="s">
        <v>91</v>
      </c>
      <c r="B52" s="431"/>
      <c r="C52" s="431"/>
      <c r="D52" s="431"/>
      <c r="E52" s="431"/>
      <c r="F52" s="431"/>
      <c r="G52" s="431"/>
      <c r="H52" s="221" t="s">
        <v>92</v>
      </c>
      <c r="I52" s="218" t="s">
        <v>93</v>
      </c>
      <c r="J52" s="60" t="s">
        <v>94</v>
      </c>
      <c r="K52" s="421" t="s">
        <v>95</v>
      </c>
      <c r="L52" s="424"/>
      <c r="M52" s="44" t="s">
        <v>85</v>
      </c>
    </row>
    <row r="53" spans="1:13">
      <c r="A53" s="425"/>
      <c r="B53" s="426"/>
      <c r="C53" s="426"/>
      <c r="D53" s="426"/>
      <c r="E53" s="426"/>
      <c r="F53" s="426"/>
      <c r="G53" s="426"/>
      <c r="H53" s="61"/>
      <c r="I53" s="55"/>
      <c r="J53" s="61"/>
      <c r="K53" s="428"/>
      <c r="L53" s="429"/>
    </row>
    <row r="54" spans="1:13" ht="15.75" thickBot="1">
      <c r="A54" s="410"/>
      <c r="B54" s="411"/>
      <c r="C54" s="411"/>
      <c r="D54" s="411"/>
      <c r="E54" s="411"/>
      <c r="F54" s="411"/>
      <c r="G54" s="411"/>
      <c r="H54" s="47"/>
      <c r="I54" s="15"/>
      <c r="J54" s="47"/>
      <c r="K54" s="414"/>
      <c r="L54" s="415"/>
      <c r="M54" s="62"/>
    </row>
    <row r="55" spans="1:13" ht="15.75" thickBot="1">
      <c r="A55" s="416" t="s">
        <v>87</v>
      </c>
      <c r="B55" s="417"/>
      <c r="C55" s="417"/>
      <c r="D55" s="417"/>
      <c r="E55" s="417"/>
      <c r="F55" s="417"/>
      <c r="G55" s="417"/>
      <c r="H55" s="417"/>
      <c r="I55" s="417"/>
      <c r="J55" s="417"/>
      <c r="K55" s="417"/>
      <c r="L55" s="418"/>
      <c r="M55" s="63">
        <f>SUM(M54:M54)</f>
        <v>0</v>
      </c>
    </row>
    <row r="56" spans="1:13">
      <c r="A56" s="30"/>
      <c r="B56" s="19"/>
      <c r="C56" s="19"/>
      <c r="D56" s="19"/>
      <c r="E56" s="19"/>
      <c r="F56" s="19"/>
      <c r="G56" s="19"/>
      <c r="H56" s="19"/>
      <c r="I56" s="19"/>
      <c r="J56" s="19"/>
      <c r="K56" s="19"/>
      <c r="L56" s="19"/>
      <c r="M56" s="24"/>
    </row>
    <row r="57" spans="1:13">
      <c r="A57" s="51" t="s">
        <v>96</v>
      </c>
      <c r="B57" s="52"/>
      <c r="C57" s="52"/>
      <c r="D57" s="52"/>
      <c r="E57" s="52"/>
      <c r="F57" s="52"/>
      <c r="G57" s="52"/>
      <c r="H57" s="52"/>
      <c r="I57" s="52"/>
      <c r="J57" s="52"/>
      <c r="K57" s="52"/>
      <c r="L57" s="52"/>
      <c r="M57" s="53"/>
    </row>
    <row r="58" spans="1:13" ht="15.75" thickBot="1">
      <c r="A58" s="30"/>
      <c r="B58" s="19"/>
      <c r="C58" s="19"/>
      <c r="D58" s="19"/>
      <c r="E58" s="19"/>
      <c r="F58" s="19"/>
      <c r="G58" s="19"/>
      <c r="H58" s="19"/>
      <c r="I58" s="19"/>
      <c r="J58" s="19"/>
      <c r="K58" s="19"/>
      <c r="L58" s="19"/>
      <c r="M58" s="24"/>
    </row>
    <row r="59" spans="1:13" ht="26.25">
      <c r="A59" s="453" t="s">
        <v>97</v>
      </c>
      <c r="B59" s="454"/>
      <c r="C59" s="454"/>
      <c r="D59" s="454"/>
      <c r="E59" s="454"/>
      <c r="F59" s="454"/>
      <c r="G59" s="454"/>
      <c r="H59" s="221" t="s">
        <v>98</v>
      </c>
      <c r="I59" s="222" t="s">
        <v>99</v>
      </c>
      <c r="J59" s="222" t="s">
        <v>100</v>
      </c>
      <c r="K59" s="455" t="s">
        <v>84</v>
      </c>
      <c r="L59" s="455"/>
      <c r="M59" s="65" t="s">
        <v>85</v>
      </c>
    </row>
    <row r="60" spans="1:13">
      <c r="A60" s="425" t="s">
        <v>126</v>
      </c>
      <c r="B60" s="426"/>
      <c r="C60" s="426"/>
      <c r="D60" s="426"/>
      <c r="E60" s="426"/>
      <c r="F60" s="426"/>
      <c r="G60" s="427"/>
      <c r="H60" s="1">
        <v>112923.49999999999</v>
      </c>
      <c r="I60" s="2">
        <v>2.2000000000000002</v>
      </c>
      <c r="J60" s="66">
        <f>(I60*H60)</f>
        <v>248431.69999999998</v>
      </c>
      <c r="K60" s="483">
        <v>3.1928987692235768</v>
      </c>
      <c r="L60" s="483"/>
      <c r="M60" s="56">
        <f>J60/K60</f>
        <v>77807.571725930917</v>
      </c>
    </row>
    <row r="61" spans="1:13">
      <c r="A61" s="471"/>
      <c r="B61" s="472"/>
      <c r="C61" s="472"/>
      <c r="D61" s="472"/>
      <c r="E61" s="472"/>
      <c r="F61" s="472"/>
      <c r="G61" s="472"/>
      <c r="H61" s="1"/>
      <c r="I61" s="2"/>
      <c r="J61" s="66"/>
      <c r="K61" s="473"/>
      <c r="L61" s="473"/>
      <c r="M61" s="56"/>
    </row>
    <row r="62" spans="1:13" ht="15.75" thickBot="1">
      <c r="A62" s="432"/>
      <c r="B62" s="433"/>
      <c r="C62" s="433"/>
      <c r="D62" s="433"/>
      <c r="E62" s="433"/>
      <c r="F62" s="433"/>
      <c r="G62" s="433"/>
      <c r="H62" s="3"/>
      <c r="I62" s="4"/>
      <c r="J62" s="67"/>
      <c r="K62" s="434"/>
      <c r="L62" s="434"/>
      <c r="M62" s="68"/>
    </row>
    <row r="63" spans="1:13" ht="15.75" thickBot="1">
      <c r="A63" s="435" t="s">
        <v>87</v>
      </c>
      <c r="B63" s="436"/>
      <c r="C63" s="436"/>
      <c r="D63" s="436"/>
      <c r="E63" s="436"/>
      <c r="F63" s="436"/>
      <c r="G63" s="436"/>
      <c r="H63" s="436"/>
      <c r="I63" s="436"/>
      <c r="J63" s="436"/>
      <c r="K63" s="436"/>
      <c r="L63" s="437"/>
      <c r="M63" s="69">
        <f>SUM(M60:M62)</f>
        <v>77807.571725930917</v>
      </c>
    </row>
    <row r="64" spans="1:13" ht="15.75" thickBot="1">
      <c r="A64" s="30"/>
      <c r="B64" s="19"/>
      <c r="C64" s="19"/>
      <c r="D64" s="19"/>
      <c r="E64" s="19"/>
      <c r="F64" s="19"/>
      <c r="G64" s="19"/>
      <c r="H64" s="19"/>
      <c r="I64" s="19"/>
      <c r="J64" s="19"/>
      <c r="K64" s="19"/>
      <c r="L64" s="19"/>
      <c r="M64" s="24"/>
    </row>
    <row r="65" spans="1:14" ht="15.75" thickBot="1">
      <c r="A65" s="416" t="s">
        <v>101</v>
      </c>
      <c r="B65" s="417"/>
      <c r="C65" s="417"/>
      <c r="D65" s="417"/>
      <c r="E65" s="417"/>
      <c r="F65" s="417"/>
      <c r="G65" s="417"/>
      <c r="H65" s="417"/>
      <c r="I65" s="417"/>
      <c r="J65" s="417"/>
      <c r="K65" s="417"/>
      <c r="L65" s="418"/>
      <c r="M65" s="70">
        <f>ROUND(M63+M55+M48+M34,0)</f>
        <v>492376</v>
      </c>
      <c r="N65" s="155"/>
    </row>
    <row r="66" spans="1:14">
      <c r="A66" s="30"/>
      <c r="B66" s="19"/>
      <c r="C66" s="19"/>
      <c r="D66" s="19"/>
      <c r="E66" s="19"/>
      <c r="F66" s="19"/>
      <c r="G66" s="19"/>
      <c r="H66" s="19"/>
      <c r="I66" s="19"/>
      <c r="J66" s="19"/>
      <c r="K66" s="19"/>
      <c r="L66" s="19"/>
      <c r="M66" s="24"/>
    </row>
    <row r="67" spans="1:14">
      <c r="A67" s="51" t="s">
        <v>102</v>
      </c>
      <c r="B67" s="52"/>
      <c r="C67" s="52"/>
      <c r="D67" s="52"/>
      <c r="E67" s="52"/>
      <c r="F67" s="52"/>
      <c r="G67" s="52"/>
      <c r="H67" s="52"/>
      <c r="I67" s="52"/>
      <c r="J67" s="52"/>
      <c r="K67" s="52"/>
      <c r="L67" s="52"/>
      <c r="M67" s="53"/>
    </row>
    <row r="68" spans="1:14" ht="15.75" thickBot="1">
      <c r="A68" s="30"/>
      <c r="B68" s="19"/>
      <c r="C68" s="19"/>
      <c r="D68" s="19"/>
      <c r="E68" s="19"/>
      <c r="F68" s="19"/>
      <c r="G68" s="19"/>
      <c r="H68" s="19"/>
      <c r="I68" s="19"/>
      <c r="J68" s="19"/>
      <c r="K68" s="19"/>
      <c r="L68" s="19"/>
      <c r="M68" s="24"/>
    </row>
    <row r="69" spans="1:14" ht="15.75" thickBot="1">
      <c r="A69" s="438" t="s">
        <v>103</v>
      </c>
      <c r="B69" s="439"/>
      <c r="C69" s="439"/>
      <c r="D69" s="439"/>
      <c r="E69" s="439"/>
      <c r="F69" s="439"/>
      <c r="G69" s="439"/>
      <c r="H69" s="219"/>
      <c r="I69" s="220"/>
      <c r="J69" s="81" t="s">
        <v>104</v>
      </c>
      <c r="K69" s="440" t="s">
        <v>105</v>
      </c>
      <c r="L69" s="441"/>
      <c r="M69" s="82"/>
    </row>
    <row r="70" spans="1:14">
      <c r="A70" s="442" t="s">
        <v>106</v>
      </c>
      <c r="B70" s="443"/>
      <c r="C70" s="443"/>
      <c r="D70" s="443"/>
      <c r="E70" s="443"/>
      <c r="F70" s="443"/>
      <c r="G70" s="443"/>
      <c r="H70" s="83"/>
      <c r="I70" s="84"/>
      <c r="J70" s="85">
        <v>0.19</v>
      </c>
      <c r="K70" s="444">
        <f>M65*J70</f>
        <v>93551.44</v>
      </c>
      <c r="L70" s="444"/>
      <c r="M70" s="86"/>
    </row>
    <row r="71" spans="1:14">
      <c r="A71" s="447" t="s">
        <v>107</v>
      </c>
      <c r="B71" s="448"/>
      <c r="C71" s="448"/>
      <c r="D71" s="448"/>
      <c r="E71" s="448"/>
      <c r="F71" s="448"/>
      <c r="G71" s="449"/>
      <c r="H71" s="77"/>
      <c r="I71" s="78"/>
      <c r="J71" s="5">
        <v>0.01</v>
      </c>
      <c r="K71" s="445">
        <f>M65*J71</f>
        <v>4923.76</v>
      </c>
      <c r="L71" s="445"/>
      <c r="M71" s="6"/>
    </row>
    <row r="72" spans="1:14">
      <c r="A72" s="447" t="s">
        <v>108</v>
      </c>
      <c r="B72" s="448"/>
      <c r="C72" s="448"/>
      <c r="D72" s="448"/>
      <c r="E72" s="448"/>
      <c r="F72" s="448"/>
      <c r="G72" s="449"/>
      <c r="H72" s="77"/>
      <c r="I72" s="78"/>
      <c r="J72" s="5">
        <v>0.05</v>
      </c>
      <c r="K72" s="445">
        <f>M65*J72</f>
        <v>24618.800000000003</v>
      </c>
      <c r="L72" s="445"/>
      <c r="M72" s="6"/>
    </row>
    <row r="73" spans="1:14" ht="15.75" thickBot="1">
      <c r="A73" s="450" t="s">
        <v>117</v>
      </c>
      <c r="B73" s="451"/>
      <c r="C73" s="451"/>
      <c r="D73" s="451"/>
      <c r="E73" s="451"/>
      <c r="F73" s="451"/>
      <c r="G73" s="452"/>
      <c r="H73" s="87"/>
      <c r="I73" s="88"/>
      <c r="J73" s="89">
        <v>0.19</v>
      </c>
      <c r="K73" s="446">
        <f>K72*J73</f>
        <v>4677.572000000001</v>
      </c>
      <c r="L73" s="446"/>
      <c r="M73" s="90"/>
    </row>
    <row r="74" spans="1:14" ht="15.75" thickBot="1">
      <c r="A74" s="435" t="s">
        <v>87</v>
      </c>
      <c r="B74" s="436"/>
      <c r="C74" s="436"/>
      <c r="D74" s="436"/>
      <c r="E74" s="436"/>
      <c r="F74" s="436"/>
      <c r="G74" s="436"/>
      <c r="H74" s="436"/>
      <c r="I74" s="436"/>
      <c r="J74" s="436"/>
      <c r="K74" s="436"/>
      <c r="L74" s="437"/>
      <c r="M74" s="76">
        <f>SUM(K70:L73)</f>
        <v>127771.572</v>
      </c>
    </row>
    <row r="75" spans="1:14" ht="15.75" thickBot="1">
      <c r="A75" s="30"/>
      <c r="B75" s="19"/>
      <c r="C75" s="19"/>
      <c r="D75" s="19"/>
      <c r="E75" s="19"/>
      <c r="F75" s="19"/>
      <c r="G75" s="19"/>
      <c r="H75" s="19"/>
      <c r="I75" s="19"/>
      <c r="J75" s="19"/>
      <c r="K75" s="19"/>
      <c r="L75" s="19"/>
      <c r="M75" s="24"/>
    </row>
    <row r="76" spans="1:14" ht="15.75" thickBot="1">
      <c r="A76" s="416" t="s">
        <v>109</v>
      </c>
      <c r="B76" s="417"/>
      <c r="C76" s="417"/>
      <c r="D76" s="417"/>
      <c r="E76" s="417"/>
      <c r="F76" s="417"/>
      <c r="G76" s="417"/>
      <c r="H76" s="417"/>
      <c r="I76" s="417"/>
      <c r="J76" s="417"/>
      <c r="K76" s="417"/>
      <c r="L76" s="418"/>
      <c r="M76" s="71">
        <f>ROUND(M65+M74,0)</f>
        <v>620148</v>
      </c>
    </row>
  </sheetData>
  <mergeCells count="8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41:H41"/>
    <mergeCell ref="K41:L41"/>
    <mergeCell ref="A42:H42"/>
    <mergeCell ref="K42:L42"/>
    <mergeCell ref="A43:H43"/>
    <mergeCell ref="K43:L43"/>
    <mergeCell ref="A53:G53"/>
    <mergeCell ref="K53:L53"/>
    <mergeCell ref="A44:H44"/>
    <mergeCell ref="K44:L44"/>
    <mergeCell ref="A45:H45"/>
    <mergeCell ref="K45:L45"/>
    <mergeCell ref="A46:H46"/>
    <mergeCell ref="K46:L46"/>
    <mergeCell ref="A47:H47"/>
    <mergeCell ref="K47:L47"/>
    <mergeCell ref="A48:L48"/>
    <mergeCell ref="A52:G52"/>
    <mergeCell ref="K52:L52"/>
    <mergeCell ref="A65:L65"/>
    <mergeCell ref="A54:G54"/>
    <mergeCell ref="K54:L54"/>
    <mergeCell ref="A55:L55"/>
    <mergeCell ref="A59:G59"/>
    <mergeCell ref="K59:L59"/>
    <mergeCell ref="A60:G60"/>
    <mergeCell ref="K60:L60"/>
    <mergeCell ref="A61:G61"/>
    <mergeCell ref="K61:L61"/>
    <mergeCell ref="A62:G62"/>
    <mergeCell ref="K62:L62"/>
    <mergeCell ref="A63:L63"/>
    <mergeCell ref="A76:L76"/>
    <mergeCell ref="A69:G69"/>
    <mergeCell ref="K69:L69"/>
    <mergeCell ref="A70:G70"/>
    <mergeCell ref="K70:L70"/>
    <mergeCell ref="A71:G71"/>
    <mergeCell ref="K71:L71"/>
    <mergeCell ref="A72:G72"/>
    <mergeCell ref="K72:L72"/>
    <mergeCell ref="A73:G73"/>
    <mergeCell ref="K73:L73"/>
    <mergeCell ref="A74:L74"/>
  </mergeCells>
  <pageMargins left="0.7" right="0.7" top="0.75" bottom="0.75" header="0.3" footer="0.3"/>
  <pageSetup scale="56"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view="pageBreakPreview" topLeftCell="A52" zoomScale="80" zoomScaleNormal="100" zoomScaleSheetLayoutView="80" workbookViewId="0">
      <selection activeCell="M66" sqref="M66"/>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395"/>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9">
      <c r="A17" s="25"/>
      <c r="B17" s="26"/>
      <c r="C17" s="224"/>
      <c r="D17" s="224"/>
      <c r="E17" s="224"/>
      <c r="F17" s="224"/>
      <c r="G17" s="224"/>
      <c r="H17" s="224"/>
      <c r="I17" s="224"/>
      <c r="J17" s="224"/>
      <c r="K17" s="224"/>
      <c r="L17" s="224"/>
      <c r="M17" s="13"/>
    </row>
    <row r="18" spans="1:19">
      <c r="A18" s="25" t="s">
        <v>74</v>
      </c>
      <c r="B18" s="26"/>
      <c r="C18" s="379"/>
      <c r="D18" s="379"/>
      <c r="E18" s="379"/>
      <c r="F18" s="379"/>
      <c r="G18" s="379"/>
      <c r="H18" s="379"/>
      <c r="I18" s="379"/>
      <c r="J18" s="379"/>
      <c r="K18" s="379"/>
      <c r="L18" s="379"/>
      <c r="M18" s="380"/>
    </row>
    <row r="19" spans="1:19">
      <c r="A19" s="25"/>
      <c r="B19" s="26"/>
      <c r="C19" s="224"/>
      <c r="D19" s="224"/>
      <c r="E19" s="224"/>
      <c r="F19" s="224"/>
      <c r="G19" s="224"/>
      <c r="H19" s="224"/>
      <c r="I19" s="224"/>
      <c r="J19" s="224"/>
      <c r="K19" s="224"/>
      <c r="L19" s="224"/>
      <c r="M19" s="13"/>
    </row>
    <row r="20" spans="1:19" ht="31.5" customHeight="1">
      <c r="A20" s="464" t="s">
        <v>113</v>
      </c>
      <c r="B20" s="465"/>
      <c r="C20" s="379"/>
      <c r="D20" s="379"/>
      <c r="E20" s="379"/>
      <c r="F20" s="379"/>
      <c r="G20" s="379"/>
      <c r="H20" s="379"/>
      <c r="I20" s="379"/>
      <c r="J20" s="379"/>
      <c r="K20" s="379"/>
      <c r="L20" s="379"/>
      <c r="M20" s="380"/>
    </row>
    <row r="21" spans="1:19">
      <c r="A21" s="400"/>
      <c r="B21" s="401"/>
      <c r="C21" s="224"/>
      <c r="D21" s="224"/>
      <c r="E21" s="224"/>
      <c r="F21" s="224"/>
      <c r="G21" s="224"/>
      <c r="H21" s="224"/>
      <c r="I21" s="224"/>
      <c r="J21" s="224"/>
      <c r="K21" s="224"/>
      <c r="L21" s="22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216" t="s">
        <v>78</v>
      </c>
      <c r="K25" s="408" t="s">
        <v>79</v>
      </c>
      <c r="L25" s="409"/>
      <c r="M25" s="31" t="s">
        <v>80</v>
      </c>
    </row>
    <row r="26" spans="1:19" ht="15.75" thickBot="1">
      <c r="A26" s="33"/>
      <c r="B26" s="391" t="s">
        <v>343</v>
      </c>
      <c r="C26" s="392"/>
      <c r="D26" s="392"/>
      <c r="E26" s="392"/>
      <c r="F26" s="392"/>
      <c r="G26" s="392"/>
      <c r="H26" s="392"/>
      <c r="I26" s="393"/>
      <c r="J26" s="215">
        <v>1</v>
      </c>
      <c r="K26" s="391" t="str">
        <f>'[1]NUEVO DISEÑO'!C72</f>
        <v>ML</v>
      </c>
      <c r="L26" s="393"/>
      <c r="M26" s="35"/>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221" t="s">
        <v>83</v>
      </c>
      <c r="K30" s="421" t="s">
        <v>84</v>
      </c>
      <c r="L30" s="424"/>
      <c r="M30" s="44" t="s">
        <v>85</v>
      </c>
    </row>
    <row r="31" spans="1:19" ht="15.75" thickBot="1">
      <c r="A31" s="425"/>
      <c r="B31" s="426"/>
      <c r="C31" s="426"/>
      <c r="D31" s="426"/>
      <c r="E31" s="427"/>
      <c r="F31" s="428"/>
      <c r="G31" s="429"/>
      <c r="H31" s="430"/>
      <c r="I31" s="427"/>
      <c r="J31" s="72"/>
      <c r="K31" s="428"/>
      <c r="L31" s="429"/>
      <c r="M31" s="46"/>
      <c r="N31" s="489"/>
      <c r="O31" s="490"/>
      <c r="P31" s="95"/>
      <c r="Q31" s="96"/>
      <c r="R31" s="97"/>
      <c r="S31" s="98"/>
    </row>
    <row r="32" spans="1:19">
      <c r="A32" s="425"/>
      <c r="B32" s="426"/>
      <c r="C32" s="426"/>
      <c r="D32" s="426"/>
      <c r="E32" s="427"/>
      <c r="F32" s="428"/>
      <c r="G32" s="429"/>
      <c r="H32" s="430"/>
      <c r="I32" s="427"/>
      <c r="J32" s="72"/>
      <c r="K32" s="428"/>
      <c r="L32" s="429"/>
      <c r="M32" s="46"/>
    </row>
    <row r="33" spans="1:16" ht="15.75" thickBot="1">
      <c r="A33" s="410"/>
      <c r="B33" s="411"/>
      <c r="C33" s="411"/>
      <c r="D33" s="411"/>
      <c r="E33" s="412"/>
      <c r="F33" s="414"/>
      <c r="G33" s="415"/>
      <c r="H33" s="413"/>
      <c r="I33" s="412"/>
      <c r="J33" s="91"/>
      <c r="K33" s="414"/>
      <c r="L33" s="415"/>
      <c r="M33" s="46"/>
    </row>
    <row r="34" spans="1:16" ht="15.75" thickBot="1">
      <c r="A34" s="416" t="s">
        <v>87</v>
      </c>
      <c r="B34" s="417"/>
      <c r="C34" s="417"/>
      <c r="D34" s="417"/>
      <c r="E34" s="417"/>
      <c r="F34" s="417"/>
      <c r="G34" s="417"/>
      <c r="H34" s="417"/>
      <c r="I34" s="417"/>
      <c r="J34" s="417"/>
      <c r="K34" s="417"/>
      <c r="L34" s="418"/>
      <c r="M34" s="49">
        <f>SUM(M31:M33)</f>
        <v>0</v>
      </c>
    </row>
    <row r="35" spans="1:16">
      <c r="A35" s="50"/>
      <c r="B35" s="19"/>
      <c r="C35" s="19"/>
      <c r="D35" s="19"/>
      <c r="E35" s="19"/>
      <c r="F35" s="19"/>
      <c r="G35" s="19"/>
      <c r="H35" s="19"/>
      <c r="I35" s="19"/>
      <c r="J35" s="19"/>
      <c r="K35" s="19"/>
      <c r="L35" s="19"/>
      <c r="M35" s="24"/>
    </row>
    <row r="36" spans="1:16">
      <c r="A36" s="51" t="s">
        <v>88</v>
      </c>
      <c r="B36" s="52"/>
      <c r="C36" s="52"/>
      <c r="D36" s="52"/>
      <c r="E36" s="52"/>
      <c r="F36" s="52"/>
      <c r="G36" s="52"/>
      <c r="H36" s="52"/>
      <c r="I36" s="52"/>
      <c r="J36" s="52"/>
      <c r="K36" s="52"/>
      <c r="L36" s="52"/>
      <c r="M36" s="53"/>
    </row>
    <row r="37" spans="1:16" ht="15.75" thickBot="1">
      <c r="A37" s="14"/>
      <c r="B37" s="15"/>
      <c r="C37" s="15"/>
      <c r="D37" s="15"/>
      <c r="E37" s="15"/>
      <c r="F37" s="15"/>
      <c r="G37" s="15"/>
      <c r="H37" s="15"/>
      <c r="I37" s="19"/>
      <c r="J37" s="19"/>
      <c r="K37" s="19"/>
      <c r="L37" s="19"/>
      <c r="M37" s="24"/>
    </row>
    <row r="38" spans="1:16">
      <c r="A38" s="408" t="s">
        <v>77</v>
      </c>
      <c r="B38" s="431"/>
      <c r="C38" s="431"/>
      <c r="D38" s="431"/>
      <c r="E38" s="431"/>
      <c r="F38" s="431"/>
      <c r="G38" s="431"/>
      <c r="H38" s="424"/>
      <c r="I38" s="217" t="s">
        <v>79</v>
      </c>
      <c r="J38" s="221" t="s">
        <v>80</v>
      </c>
      <c r="K38" s="421" t="s">
        <v>89</v>
      </c>
      <c r="L38" s="424"/>
      <c r="M38" s="44" t="s">
        <v>85</v>
      </c>
    </row>
    <row r="39" spans="1:16" ht="15" customHeight="1">
      <c r="A39" s="484" t="s">
        <v>344</v>
      </c>
      <c r="B39" s="485"/>
      <c r="C39" s="485"/>
      <c r="D39" s="485"/>
      <c r="E39" s="485"/>
      <c r="F39" s="485"/>
      <c r="G39" s="485"/>
      <c r="H39" s="486"/>
      <c r="I39" s="73" t="s">
        <v>345</v>
      </c>
      <c r="J39" s="92">
        <v>1.05</v>
      </c>
      <c r="K39" s="487">
        <v>1582</v>
      </c>
      <c r="L39" s="488"/>
      <c r="M39" s="56">
        <f>K39*J39</f>
        <v>1661.1000000000001</v>
      </c>
      <c r="O39" s="94"/>
    </row>
    <row r="40" spans="1:16" ht="15" customHeight="1">
      <c r="A40" s="484" t="s">
        <v>322</v>
      </c>
      <c r="B40" s="485"/>
      <c r="C40" s="485"/>
      <c r="D40" s="485"/>
      <c r="E40" s="485"/>
      <c r="F40" s="485"/>
      <c r="G40" s="485"/>
      <c r="H40" s="486"/>
      <c r="I40" s="99" t="s">
        <v>25</v>
      </c>
      <c r="J40" s="93">
        <v>0.2</v>
      </c>
      <c r="K40" s="487">
        <v>2468</v>
      </c>
      <c r="L40" s="488"/>
      <c r="M40" s="56">
        <f t="shared" ref="M40:M42" si="0">K40*J40</f>
        <v>493.6</v>
      </c>
      <c r="P40" s="94"/>
    </row>
    <row r="41" spans="1:16" ht="15" customHeight="1">
      <c r="A41" s="484"/>
      <c r="B41" s="485"/>
      <c r="C41" s="485"/>
      <c r="D41" s="485"/>
      <c r="E41" s="485"/>
      <c r="F41" s="485"/>
      <c r="G41" s="485"/>
      <c r="H41" s="486"/>
      <c r="I41" s="73"/>
      <c r="J41" s="93"/>
      <c r="K41" s="487"/>
      <c r="L41" s="488"/>
      <c r="M41" s="56">
        <f t="shared" si="0"/>
        <v>0</v>
      </c>
    </row>
    <row r="42" spans="1:16">
      <c r="A42" s="425"/>
      <c r="B42" s="426"/>
      <c r="C42" s="426"/>
      <c r="D42" s="426"/>
      <c r="E42" s="426"/>
      <c r="F42" s="426"/>
      <c r="G42" s="426"/>
      <c r="H42" s="427"/>
      <c r="I42" s="73"/>
      <c r="J42" s="225"/>
      <c r="K42" s="456"/>
      <c r="L42" s="457"/>
      <c r="M42" s="56">
        <f t="shared" si="0"/>
        <v>0</v>
      </c>
    </row>
    <row r="43" spans="1:16">
      <c r="A43" s="425"/>
      <c r="B43" s="426"/>
      <c r="C43" s="426"/>
      <c r="D43" s="426"/>
      <c r="E43" s="426"/>
      <c r="F43" s="426"/>
      <c r="G43" s="426"/>
      <c r="H43" s="427"/>
      <c r="I43" s="73"/>
      <c r="J43" s="225"/>
      <c r="K43" s="456"/>
      <c r="L43" s="457"/>
      <c r="M43" s="56"/>
    </row>
    <row r="44" spans="1:16">
      <c r="A44" s="425"/>
      <c r="B44" s="426"/>
      <c r="C44" s="426"/>
      <c r="D44" s="426"/>
      <c r="E44" s="426"/>
      <c r="F44" s="426"/>
      <c r="G44" s="426"/>
      <c r="H44" s="427"/>
      <c r="I44" s="73"/>
      <c r="J44" s="45"/>
      <c r="K44" s="456"/>
      <c r="L44" s="457"/>
      <c r="M44" s="56"/>
    </row>
    <row r="45" spans="1:16">
      <c r="A45" s="425"/>
      <c r="B45" s="426"/>
      <c r="C45" s="426"/>
      <c r="D45" s="426"/>
      <c r="E45" s="426"/>
      <c r="F45" s="426"/>
      <c r="G45" s="426"/>
      <c r="H45" s="427"/>
      <c r="I45" s="73"/>
      <c r="J45" s="45"/>
      <c r="K45" s="456"/>
      <c r="L45" s="457"/>
      <c r="M45" s="56"/>
    </row>
    <row r="46" spans="1:16">
      <c r="A46" s="425"/>
      <c r="B46" s="426"/>
      <c r="C46" s="426"/>
      <c r="D46" s="426"/>
      <c r="E46" s="426"/>
      <c r="F46" s="426"/>
      <c r="G46" s="426"/>
      <c r="H46" s="427"/>
      <c r="I46" s="73"/>
      <c r="J46" s="45"/>
      <c r="K46" s="456"/>
      <c r="L46" s="457"/>
      <c r="M46" s="56"/>
    </row>
    <row r="47" spans="1:16" ht="15.75" thickBot="1">
      <c r="A47" s="410"/>
      <c r="B47" s="411"/>
      <c r="C47" s="411"/>
      <c r="D47" s="411"/>
      <c r="E47" s="411"/>
      <c r="F47" s="411"/>
      <c r="G47" s="411"/>
      <c r="H47" s="412"/>
      <c r="I47" s="74"/>
      <c r="J47" s="57"/>
      <c r="K47" s="466"/>
      <c r="L47" s="467"/>
      <c r="M47" s="75"/>
    </row>
    <row r="48" spans="1:16" ht="15.75" thickBot="1">
      <c r="A48" s="416" t="s">
        <v>87</v>
      </c>
      <c r="B48" s="417"/>
      <c r="C48" s="417"/>
      <c r="D48" s="417"/>
      <c r="E48" s="417"/>
      <c r="F48" s="417"/>
      <c r="G48" s="417"/>
      <c r="H48" s="417"/>
      <c r="I48" s="417"/>
      <c r="J48" s="417"/>
      <c r="K48" s="417"/>
      <c r="L48" s="418"/>
      <c r="M48" s="58">
        <f>SUM(M39:M47)</f>
        <v>2154.7000000000003</v>
      </c>
    </row>
    <row r="49" spans="1:13">
      <c r="A49" s="30"/>
      <c r="B49" s="19"/>
      <c r="C49" s="19"/>
      <c r="D49" s="19"/>
      <c r="E49" s="19"/>
      <c r="F49" s="19"/>
      <c r="G49" s="19"/>
      <c r="H49" s="19"/>
      <c r="I49" s="19"/>
      <c r="J49" s="19"/>
      <c r="K49" s="19"/>
      <c r="L49" s="19"/>
      <c r="M49" s="24"/>
    </row>
    <row r="50" spans="1:13">
      <c r="A50" s="51" t="s">
        <v>90</v>
      </c>
      <c r="B50" s="52"/>
      <c r="C50" s="52"/>
      <c r="D50" s="52"/>
      <c r="E50" s="52"/>
      <c r="F50" s="52"/>
      <c r="G50" s="52"/>
      <c r="H50" s="52"/>
      <c r="I50" s="52"/>
      <c r="J50" s="52"/>
      <c r="K50" s="52"/>
      <c r="L50" s="52"/>
      <c r="M50" s="53"/>
    </row>
    <row r="51" spans="1:13" ht="15.75" thickBot="1">
      <c r="A51" s="30"/>
      <c r="B51" s="19"/>
      <c r="C51" s="19"/>
      <c r="D51" s="19"/>
      <c r="E51" s="19"/>
      <c r="F51" s="19"/>
      <c r="G51" s="19"/>
      <c r="H51" s="19"/>
      <c r="I51" s="19"/>
      <c r="J51" s="19"/>
      <c r="K51" s="19"/>
      <c r="L51" s="19"/>
      <c r="M51" s="24"/>
    </row>
    <row r="52" spans="1:13">
      <c r="A52" s="408" t="s">
        <v>91</v>
      </c>
      <c r="B52" s="431"/>
      <c r="C52" s="431"/>
      <c r="D52" s="431"/>
      <c r="E52" s="431"/>
      <c r="F52" s="431"/>
      <c r="G52" s="431"/>
      <c r="H52" s="221" t="s">
        <v>92</v>
      </c>
      <c r="I52" s="218" t="s">
        <v>93</v>
      </c>
      <c r="J52" s="60" t="s">
        <v>94</v>
      </c>
      <c r="K52" s="421" t="s">
        <v>95</v>
      </c>
      <c r="L52" s="424"/>
      <c r="M52" s="44" t="s">
        <v>85</v>
      </c>
    </row>
    <row r="53" spans="1:13">
      <c r="A53" s="425"/>
      <c r="B53" s="426"/>
      <c r="C53" s="426"/>
      <c r="D53" s="426"/>
      <c r="E53" s="426"/>
      <c r="F53" s="426"/>
      <c r="G53" s="426"/>
      <c r="H53" s="61"/>
      <c r="I53" s="55"/>
      <c r="J53" s="61"/>
      <c r="K53" s="428"/>
      <c r="L53" s="429"/>
    </row>
    <row r="54" spans="1:13" ht="15.75" thickBot="1">
      <c r="A54" s="410"/>
      <c r="B54" s="411"/>
      <c r="C54" s="411"/>
      <c r="D54" s="411"/>
      <c r="E54" s="411"/>
      <c r="F54" s="411"/>
      <c r="G54" s="411"/>
      <c r="H54" s="47"/>
      <c r="I54" s="15"/>
      <c r="J54" s="47"/>
      <c r="K54" s="414"/>
      <c r="L54" s="415"/>
      <c r="M54" s="62"/>
    </row>
    <row r="55" spans="1:13" ht="15.75" thickBot="1">
      <c r="A55" s="416" t="s">
        <v>87</v>
      </c>
      <c r="B55" s="417"/>
      <c r="C55" s="417"/>
      <c r="D55" s="417"/>
      <c r="E55" s="417"/>
      <c r="F55" s="417"/>
      <c r="G55" s="417"/>
      <c r="H55" s="417"/>
      <c r="I55" s="417"/>
      <c r="J55" s="417"/>
      <c r="K55" s="417"/>
      <c r="L55" s="418"/>
      <c r="M55" s="63">
        <f>SUM(M54:M54)</f>
        <v>0</v>
      </c>
    </row>
    <row r="56" spans="1:13">
      <c r="A56" s="30"/>
      <c r="B56" s="19"/>
      <c r="C56" s="19"/>
      <c r="D56" s="19"/>
      <c r="E56" s="19"/>
      <c r="F56" s="19"/>
      <c r="G56" s="19"/>
      <c r="H56" s="19"/>
      <c r="I56" s="19"/>
      <c r="J56" s="19"/>
      <c r="K56" s="19"/>
      <c r="L56" s="19"/>
      <c r="M56" s="24"/>
    </row>
    <row r="57" spans="1:13">
      <c r="A57" s="51" t="s">
        <v>96</v>
      </c>
      <c r="B57" s="52"/>
      <c r="C57" s="52"/>
      <c r="D57" s="52"/>
      <c r="E57" s="52"/>
      <c r="F57" s="52"/>
      <c r="G57" s="52"/>
      <c r="H57" s="52"/>
      <c r="I57" s="52"/>
      <c r="J57" s="52"/>
      <c r="K57" s="52"/>
      <c r="L57" s="52"/>
      <c r="M57" s="53"/>
    </row>
    <row r="58" spans="1:13" ht="15.75" thickBot="1">
      <c r="A58" s="30"/>
      <c r="B58" s="19"/>
      <c r="C58" s="19"/>
      <c r="D58" s="19"/>
      <c r="E58" s="19"/>
      <c r="F58" s="19"/>
      <c r="G58" s="19"/>
      <c r="H58" s="19"/>
      <c r="I58" s="19"/>
      <c r="J58" s="19"/>
      <c r="K58" s="19"/>
      <c r="L58" s="19"/>
      <c r="M58" s="24"/>
    </row>
    <row r="59" spans="1:13" ht="26.25">
      <c r="A59" s="453" t="s">
        <v>97</v>
      </c>
      <c r="B59" s="454"/>
      <c r="C59" s="454"/>
      <c r="D59" s="454"/>
      <c r="E59" s="454"/>
      <c r="F59" s="454"/>
      <c r="G59" s="454"/>
      <c r="H59" s="221" t="s">
        <v>98</v>
      </c>
      <c r="I59" s="222" t="s">
        <v>99</v>
      </c>
      <c r="J59" s="222" t="s">
        <v>100</v>
      </c>
      <c r="K59" s="455" t="s">
        <v>84</v>
      </c>
      <c r="L59" s="455"/>
      <c r="M59" s="65" t="s">
        <v>85</v>
      </c>
    </row>
    <row r="60" spans="1:13">
      <c r="A60" s="425" t="s">
        <v>126</v>
      </c>
      <c r="B60" s="426"/>
      <c r="C60" s="426"/>
      <c r="D60" s="426"/>
      <c r="E60" s="426"/>
      <c r="F60" s="426"/>
      <c r="G60" s="427"/>
      <c r="H60" s="1">
        <v>112923.49999999999</v>
      </c>
      <c r="I60" s="2">
        <v>2.2000000000000002</v>
      </c>
      <c r="J60" s="66">
        <f>(I60*H60)</f>
        <v>248431.69999999998</v>
      </c>
      <c r="K60" s="473">
        <v>28.826067625063082</v>
      </c>
      <c r="L60" s="473"/>
      <c r="M60" s="56">
        <f>J60/K60</f>
        <v>8618.3000481133549</v>
      </c>
    </row>
    <row r="61" spans="1:13">
      <c r="A61" s="471"/>
      <c r="B61" s="472"/>
      <c r="C61" s="472"/>
      <c r="D61" s="472"/>
      <c r="E61" s="472"/>
      <c r="F61" s="472"/>
      <c r="G61" s="472"/>
      <c r="H61" s="1"/>
      <c r="I61" s="2"/>
      <c r="J61" s="66"/>
      <c r="K61" s="473"/>
      <c r="L61" s="473"/>
      <c r="M61" s="56"/>
    </row>
    <row r="62" spans="1:13" ht="15.75" thickBot="1">
      <c r="A62" s="432"/>
      <c r="B62" s="433"/>
      <c r="C62" s="433"/>
      <c r="D62" s="433"/>
      <c r="E62" s="433"/>
      <c r="F62" s="433"/>
      <c r="G62" s="433"/>
      <c r="H62" s="3"/>
      <c r="I62" s="4"/>
      <c r="J62" s="67"/>
      <c r="K62" s="434"/>
      <c r="L62" s="434"/>
      <c r="M62" s="68"/>
    </row>
    <row r="63" spans="1:13" ht="15.75" thickBot="1">
      <c r="A63" s="435" t="s">
        <v>87</v>
      </c>
      <c r="B63" s="436"/>
      <c r="C63" s="436"/>
      <c r="D63" s="436"/>
      <c r="E63" s="436"/>
      <c r="F63" s="436"/>
      <c r="G63" s="436"/>
      <c r="H63" s="436"/>
      <c r="I63" s="436"/>
      <c r="J63" s="436"/>
      <c r="K63" s="436"/>
      <c r="L63" s="437"/>
      <c r="M63" s="69">
        <f>SUM(M60:M62)</f>
        <v>8618.3000481133549</v>
      </c>
    </row>
    <row r="64" spans="1:13" ht="15.75" thickBot="1">
      <c r="A64" s="30"/>
      <c r="B64" s="19"/>
      <c r="C64" s="19"/>
      <c r="D64" s="19"/>
      <c r="E64" s="19"/>
      <c r="F64" s="19"/>
      <c r="G64" s="19"/>
      <c r="H64" s="19"/>
      <c r="I64" s="19"/>
      <c r="J64" s="19"/>
      <c r="K64" s="19"/>
      <c r="L64" s="19"/>
      <c r="M64" s="24"/>
    </row>
    <row r="65" spans="1:14" ht="15.75" thickBot="1">
      <c r="A65" s="416" t="s">
        <v>101</v>
      </c>
      <c r="B65" s="417"/>
      <c r="C65" s="417"/>
      <c r="D65" s="417"/>
      <c r="E65" s="417"/>
      <c r="F65" s="417"/>
      <c r="G65" s="417"/>
      <c r="H65" s="417"/>
      <c r="I65" s="417"/>
      <c r="J65" s="417"/>
      <c r="K65" s="417"/>
      <c r="L65" s="418"/>
      <c r="M65" s="70">
        <f>ROUND(M63+M55+M48+M34,0)</f>
        <v>10773</v>
      </c>
      <c r="N65" s="155">
        <v>10773</v>
      </c>
    </row>
    <row r="66" spans="1:14">
      <c r="A66" s="30"/>
      <c r="B66" s="19"/>
      <c r="C66" s="19"/>
      <c r="D66" s="19"/>
      <c r="E66" s="19"/>
      <c r="F66" s="19"/>
      <c r="G66" s="19"/>
      <c r="H66" s="19"/>
      <c r="I66" s="19"/>
      <c r="J66" s="19"/>
      <c r="K66" s="19"/>
      <c r="L66" s="19"/>
      <c r="M66" s="24"/>
    </row>
    <row r="67" spans="1:14">
      <c r="A67" s="51" t="s">
        <v>102</v>
      </c>
      <c r="B67" s="52"/>
      <c r="C67" s="52"/>
      <c r="D67" s="52"/>
      <c r="E67" s="52"/>
      <c r="F67" s="52"/>
      <c r="G67" s="52"/>
      <c r="H67" s="52"/>
      <c r="I67" s="52"/>
      <c r="J67" s="52"/>
      <c r="K67" s="52"/>
      <c r="L67" s="52"/>
      <c r="M67" s="53"/>
    </row>
    <row r="68" spans="1:14" ht="15.75" thickBot="1">
      <c r="A68" s="30"/>
      <c r="B68" s="19"/>
      <c r="C68" s="19"/>
      <c r="D68" s="19"/>
      <c r="E68" s="19"/>
      <c r="F68" s="19"/>
      <c r="G68" s="19"/>
      <c r="H68" s="19"/>
      <c r="I68" s="19"/>
      <c r="J68" s="19"/>
      <c r="K68" s="19"/>
      <c r="L68" s="19"/>
      <c r="M68" s="24"/>
    </row>
    <row r="69" spans="1:14" ht="15.75" thickBot="1">
      <c r="A69" s="438" t="s">
        <v>103</v>
      </c>
      <c r="B69" s="439"/>
      <c r="C69" s="439"/>
      <c r="D69" s="439"/>
      <c r="E69" s="439"/>
      <c r="F69" s="439"/>
      <c r="G69" s="439"/>
      <c r="H69" s="219"/>
      <c r="I69" s="220"/>
      <c r="J69" s="81" t="s">
        <v>104</v>
      </c>
      <c r="K69" s="440" t="s">
        <v>105</v>
      </c>
      <c r="L69" s="441"/>
      <c r="M69" s="82"/>
    </row>
    <row r="70" spans="1:14">
      <c r="A70" s="442" t="s">
        <v>106</v>
      </c>
      <c r="B70" s="443"/>
      <c r="C70" s="443"/>
      <c r="D70" s="443"/>
      <c r="E70" s="443"/>
      <c r="F70" s="443"/>
      <c r="G70" s="443"/>
      <c r="H70" s="83"/>
      <c r="I70" s="84"/>
      <c r="J70" s="85">
        <v>0.19</v>
      </c>
      <c r="K70" s="444">
        <f>M65*J70</f>
        <v>2046.8700000000001</v>
      </c>
      <c r="L70" s="444"/>
      <c r="M70" s="86"/>
    </row>
    <row r="71" spans="1:14">
      <c r="A71" s="447" t="s">
        <v>107</v>
      </c>
      <c r="B71" s="448"/>
      <c r="C71" s="448"/>
      <c r="D71" s="448"/>
      <c r="E71" s="448"/>
      <c r="F71" s="448"/>
      <c r="G71" s="449"/>
      <c r="H71" s="77"/>
      <c r="I71" s="78"/>
      <c r="J71" s="5">
        <v>0.01</v>
      </c>
      <c r="K71" s="445">
        <f>M65*J71</f>
        <v>107.73</v>
      </c>
      <c r="L71" s="445"/>
      <c r="M71" s="6"/>
    </row>
    <row r="72" spans="1:14">
      <c r="A72" s="447" t="s">
        <v>108</v>
      </c>
      <c r="B72" s="448"/>
      <c r="C72" s="448"/>
      <c r="D72" s="448"/>
      <c r="E72" s="448"/>
      <c r="F72" s="448"/>
      <c r="G72" s="449"/>
      <c r="H72" s="77"/>
      <c r="I72" s="78"/>
      <c r="J72" s="5">
        <v>0.05</v>
      </c>
      <c r="K72" s="445">
        <f>M65*J72</f>
        <v>538.65</v>
      </c>
      <c r="L72" s="445"/>
      <c r="M72" s="6"/>
    </row>
    <row r="73" spans="1:14" ht="15.75" thickBot="1">
      <c r="A73" s="450" t="s">
        <v>117</v>
      </c>
      <c r="B73" s="451"/>
      <c r="C73" s="451"/>
      <c r="D73" s="451"/>
      <c r="E73" s="451"/>
      <c r="F73" s="451"/>
      <c r="G73" s="452"/>
      <c r="H73" s="87"/>
      <c r="I73" s="88"/>
      <c r="J73" s="89">
        <v>0.19</v>
      </c>
      <c r="K73" s="446">
        <f>K72*J73</f>
        <v>102.34349999999999</v>
      </c>
      <c r="L73" s="446"/>
      <c r="M73" s="90"/>
    </row>
    <row r="74" spans="1:14" ht="15.75" thickBot="1">
      <c r="A74" s="435" t="s">
        <v>87</v>
      </c>
      <c r="B74" s="436"/>
      <c r="C74" s="436"/>
      <c r="D74" s="436"/>
      <c r="E74" s="436"/>
      <c r="F74" s="436"/>
      <c r="G74" s="436"/>
      <c r="H74" s="436"/>
      <c r="I74" s="436"/>
      <c r="J74" s="436"/>
      <c r="K74" s="436"/>
      <c r="L74" s="437"/>
      <c r="M74" s="76">
        <f>SUM(K70:L73)</f>
        <v>2795.5934999999999</v>
      </c>
    </row>
    <row r="75" spans="1:14" ht="15.75" thickBot="1">
      <c r="A75" s="30"/>
      <c r="B75" s="19"/>
      <c r="C75" s="19"/>
      <c r="D75" s="19"/>
      <c r="E75" s="19"/>
      <c r="F75" s="19"/>
      <c r="G75" s="19"/>
      <c r="H75" s="19"/>
      <c r="I75" s="19"/>
      <c r="J75" s="19"/>
      <c r="K75" s="19"/>
      <c r="L75" s="19"/>
      <c r="M75" s="24"/>
    </row>
    <row r="76" spans="1:14" ht="15.75" thickBot="1">
      <c r="A76" s="416" t="s">
        <v>109</v>
      </c>
      <c r="B76" s="417"/>
      <c r="C76" s="417"/>
      <c r="D76" s="417"/>
      <c r="E76" s="417"/>
      <c r="F76" s="417"/>
      <c r="G76" s="417"/>
      <c r="H76" s="417"/>
      <c r="I76" s="417"/>
      <c r="J76" s="417"/>
      <c r="K76" s="417"/>
      <c r="L76" s="418"/>
      <c r="M76" s="71">
        <f>ROUND(M65+M74,0)</f>
        <v>13569</v>
      </c>
    </row>
  </sheetData>
  <mergeCells count="8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41:H41"/>
    <mergeCell ref="K41:L41"/>
    <mergeCell ref="A42:H42"/>
    <mergeCell ref="K42:L42"/>
    <mergeCell ref="A43:H43"/>
    <mergeCell ref="K43:L43"/>
    <mergeCell ref="A53:G53"/>
    <mergeCell ref="K53:L53"/>
    <mergeCell ref="A44:H44"/>
    <mergeCell ref="K44:L44"/>
    <mergeCell ref="A45:H45"/>
    <mergeCell ref="K45:L45"/>
    <mergeCell ref="A46:H46"/>
    <mergeCell ref="K46:L46"/>
    <mergeCell ref="A47:H47"/>
    <mergeCell ref="K47:L47"/>
    <mergeCell ref="A48:L48"/>
    <mergeCell ref="A52:G52"/>
    <mergeCell ref="K52:L52"/>
    <mergeCell ref="A65:L65"/>
    <mergeCell ref="A54:G54"/>
    <mergeCell ref="K54:L54"/>
    <mergeCell ref="A55:L55"/>
    <mergeCell ref="A59:G59"/>
    <mergeCell ref="K59:L59"/>
    <mergeCell ref="A60:G60"/>
    <mergeCell ref="K60:L60"/>
    <mergeCell ref="A61:G61"/>
    <mergeCell ref="K61:L61"/>
    <mergeCell ref="A62:G62"/>
    <mergeCell ref="K62:L62"/>
    <mergeCell ref="A63:L63"/>
    <mergeCell ref="A76:L76"/>
    <mergeCell ref="A69:G69"/>
    <mergeCell ref="K69:L69"/>
    <mergeCell ref="A70:G70"/>
    <mergeCell ref="K70:L70"/>
    <mergeCell ref="A71:G71"/>
    <mergeCell ref="K71:L71"/>
    <mergeCell ref="A72:G72"/>
    <mergeCell ref="K72:L72"/>
    <mergeCell ref="A73:G73"/>
    <mergeCell ref="K73:L73"/>
    <mergeCell ref="A74:L74"/>
  </mergeCells>
  <pageMargins left="0.7" right="0.7" top="0.75" bottom="0.75" header="0.3" footer="0.3"/>
  <pageSetup scale="56"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view="pageBreakPreview" topLeftCell="A40" zoomScale="80" zoomScaleNormal="100" zoomScaleSheetLayoutView="80" workbookViewId="0">
      <selection activeCell="M60" sqref="M60"/>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223"/>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224" t="s">
        <v>71</v>
      </c>
      <c r="H12" s="394"/>
      <c r="I12" s="394"/>
      <c r="J12" s="23"/>
      <c r="K12" s="23"/>
      <c r="L12" s="23"/>
      <c r="M12" s="24"/>
    </row>
    <row r="13" spans="1:13">
      <c r="A13" s="25" t="s">
        <v>72</v>
      </c>
      <c r="B13" s="26"/>
      <c r="C13" s="555"/>
      <c r="D13" s="556"/>
      <c r="E13" s="556"/>
      <c r="F13" s="556"/>
      <c r="G13" s="556"/>
      <c r="H13" s="556"/>
      <c r="I13" s="556"/>
      <c r="J13" s="556"/>
      <c r="K13" s="556"/>
      <c r="L13" s="556"/>
      <c r="M13" s="557"/>
    </row>
    <row r="14" spans="1:13">
      <c r="A14" s="25"/>
      <c r="B14" s="26"/>
      <c r="C14" s="394"/>
      <c r="D14" s="394"/>
      <c r="E14" s="394"/>
      <c r="F14" s="394"/>
      <c r="G14" s="394"/>
      <c r="H14" s="394"/>
      <c r="I14" s="394"/>
      <c r="J14" s="394"/>
      <c r="K14" s="394"/>
      <c r="L14" s="394"/>
      <c r="M14" s="558"/>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9">
      <c r="A17" s="25"/>
      <c r="B17" s="26"/>
      <c r="C17" s="224"/>
      <c r="D17" s="224"/>
      <c r="E17" s="224"/>
      <c r="F17" s="224"/>
      <c r="G17" s="224"/>
      <c r="H17" s="224"/>
      <c r="I17" s="224"/>
      <c r="J17" s="224"/>
      <c r="K17" s="224"/>
      <c r="L17" s="224"/>
      <c r="M17" s="13"/>
    </row>
    <row r="18" spans="1:19">
      <c r="A18" s="25" t="s">
        <v>74</v>
      </c>
      <c r="B18" s="26"/>
      <c r="C18" s="379"/>
      <c r="D18" s="379"/>
      <c r="E18" s="379"/>
      <c r="F18" s="379"/>
      <c r="G18" s="379"/>
      <c r="H18" s="379"/>
      <c r="I18" s="379"/>
      <c r="J18" s="379"/>
      <c r="K18" s="379"/>
      <c r="L18" s="379"/>
      <c r="M18" s="380"/>
    </row>
    <row r="19" spans="1:19">
      <c r="A19" s="25"/>
      <c r="B19" s="26"/>
      <c r="C19" s="224"/>
      <c r="D19" s="224"/>
      <c r="E19" s="224"/>
      <c r="F19" s="224"/>
      <c r="G19" s="224"/>
      <c r="H19" s="224"/>
      <c r="I19" s="224"/>
      <c r="J19" s="224"/>
      <c r="K19" s="224"/>
      <c r="L19" s="224"/>
      <c r="M19" s="13"/>
    </row>
    <row r="20" spans="1:19" ht="31.5" customHeight="1">
      <c r="A20" s="464" t="s">
        <v>113</v>
      </c>
      <c r="B20" s="465"/>
      <c r="C20" s="379"/>
      <c r="D20" s="379"/>
      <c r="E20" s="379"/>
      <c r="F20" s="379"/>
      <c r="G20" s="379"/>
      <c r="H20" s="379"/>
      <c r="I20" s="379"/>
      <c r="J20" s="379"/>
      <c r="K20" s="379"/>
      <c r="L20" s="379"/>
      <c r="M20" s="380"/>
    </row>
    <row r="21" spans="1:19">
      <c r="A21" s="400"/>
      <c r="B21" s="401"/>
      <c r="C21" s="224"/>
      <c r="D21" s="224"/>
      <c r="E21" s="224"/>
      <c r="F21" s="224"/>
      <c r="G21" s="224"/>
      <c r="H21" s="224"/>
      <c r="I21" s="224"/>
      <c r="J21" s="224"/>
      <c r="K21" s="224"/>
      <c r="L21" s="22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216" t="s">
        <v>78</v>
      </c>
      <c r="K25" s="408" t="s">
        <v>79</v>
      </c>
      <c r="L25" s="409"/>
      <c r="M25" s="31" t="s">
        <v>80</v>
      </c>
    </row>
    <row r="26" spans="1:19" ht="15.75" thickBot="1">
      <c r="A26" s="33"/>
      <c r="B26" s="391" t="s">
        <v>348</v>
      </c>
      <c r="C26" s="392"/>
      <c r="D26" s="392"/>
      <c r="E26" s="392"/>
      <c r="F26" s="392"/>
      <c r="G26" s="392"/>
      <c r="H26" s="392"/>
      <c r="I26" s="393"/>
      <c r="J26" s="215">
        <v>1</v>
      </c>
      <c r="K26" s="391" t="str">
        <f>'[1]NUEVO DISEÑO'!C73</f>
        <v>ML</v>
      </c>
      <c r="L26" s="393"/>
      <c r="M26" s="35"/>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221" t="s">
        <v>83</v>
      </c>
      <c r="K30" s="421" t="s">
        <v>84</v>
      </c>
      <c r="L30" s="424"/>
      <c r="M30" s="44" t="s">
        <v>85</v>
      </c>
    </row>
    <row r="31" spans="1:19" ht="15.75" thickBot="1">
      <c r="A31" s="425"/>
      <c r="B31" s="426"/>
      <c r="C31" s="426"/>
      <c r="D31" s="426"/>
      <c r="E31" s="427"/>
      <c r="F31" s="428"/>
      <c r="G31" s="429"/>
      <c r="H31" s="430"/>
      <c r="I31" s="427"/>
      <c r="J31" s="72"/>
      <c r="K31" s="428"/>
      <c r="L31" s="429"/>
      <c r="M31" s="231">
        <f>K31*J31</f>
        <v>0</v>
      </c>
      <c r="N31" s="489"/>
      <c r="O31" s="490"/>
      <c r="P31" s="95"/>
      <c r="Q31" s="96"/>
      <c r="R31" s="97"/>
      <c r="S31" s="98"/>
    </row>
    <row r="32" spans="1:19">
      <c r="A32" s="425"/>
      <c r="B32" s="426"/>
      <c r="C32" s="426"/>
      <c r="D32" s="426"/>
      <c r="E32" s="427"/>
      <c r="F32" s="428"/>
      <c r="G32" s="429"/>
      <c r="H32" s="430"/>
      <c r="I32" s="427"/>
      <c r="J32" s="72"/>
      <c r="K32" s="428"/>
      <c r="L32" s="429"/>
      <c r="M32" s="46"/>
    </row>
    <row r="33" spans="1:13" ht="15.75" thickBot="1">
      <c r="A33" s="410"/>
      <c r="B33" s="411"/>
      <c r="C33" s="411"/>
      <c r="D33" s="411"/>
      <c r="E33" s="412"/>
      <c r="F33" s="414"/>
      <c r="G33" s="415"/>
      <c r="H33" s="413"/>
      <c r="I33" s="412"/>
      <c r="J33" s="91"/>
      <c r="K33" s="414"/>
      <c r="L33" s="415"/>
      <c r="M33" s="46"/>
    </row>
    <row r="34" spans="1:13" ht="15.75" thickBot="1">
      <c r="A34" s="416" t="s">
        <v>87</v>
      </c>
      <c r="B34" s="417"/>
      <c r="C34" s="417"/>
      <c r="D34" s="417"/>
      <c r="E34" s="417"/>
      <c r="F34" s="417"/>
      <c r="G34" s="417"/>
      <c r="H34" s="417"/>
      <c r="I34" s="417"/>
      <c r="J34" s="417"/>
      <c r="K34" s="417"/>
      <c r="L34" s="418"/>
      <c r="M34" s="232">
        <f>SUM(M31:M33)</f>
        <v>0</v>
      </c>
    </row>
    <row r="35" spans="1:13">
      <c r="A35" s="50"/>
      <c r="B35" s="19"/>
      <c r="C35" s="19"/>
      <c r="D35" s="19"/>
      <c r="E35" s="19"/>
      <c r="F35" s="19"/>
      <c r="G35" s="19"/>
      <c r="H35" s="19"/>
      <c r="I35" s="19"/>
      <c r="J35" s="19"/>
      <c r="K35" s="19"/>
      <c r="L35" s="19"/>
      <c r="M35" s="24"/>
    </row>
    <row r="36" spans="1:13">
      <c r="A36" s="51" t="s">
        <v>88</v>
      </c>
      <c r="B36" s="52"/>
      <c r="C36" s="52"/>
      <c r="D36" s="52"/>
      <c r="E36" s="52"/>
      <c r="F36" s="52"/>
      <c r="G36" s="52"/>
      <c r="H36" s="52"/>
      <c r="I36" s="52"/>
      <c r="J36" s="52"/>
      <c r="K36" s="52"/>
      <c r="L36" s="52"/>
      <c r="M36" s="53"/>
    </row>
    <row r="37" spans="1:13" ht="15.75" thickBot="1">
      <c r="A37" s="14"/>
      <c r="B37" s="15"/>
      <c r="C37" s="15"/>
      <c r="D37" s="15"/>
      <c r="E37" s="15"/>
      <c r="F37" s="15"/>
      <c r="G37" s="15"/>
      <c r="H37" s="15"/>
      <c r="I37" s="19"/>
      <c r="J37" s="19"/>
      <c r="K37" s="19"/>
      <c r="L37" s="19"/>
      <c r="M37" s="24"/>
    </row>
    <row r="38" spans="1:13">
      <c r="A38" s="408" t="s">
        <v>77</v>
      </c>
      <c r="B38" s="431"/>
      <c r="C38" s="431"/>
      <c r="D38" s="431"/>
      <c r="E38" s="431"/>
      <c r="F38" s="431"/>
      <c r="G38" s="431"/>
      <c r="H38" s="424"/>
      <c r="I38" s="217" t="s">
        <v>79</v>
      </c>
      <c r="J38" s="221" t="s">
        <v>80</v>
      </c>
      <c r="K38" s="421" t="s">
        <v>89</v>
      </c>
      <c r="L38" s="424"/>
      <c r="M38" s="44" t="s">
        <v>85</v>
      </c>
    </row>
    <row r="39" spans="1:13">
      <c r="A39" s="425" t="s">
        <v>346</v>
      </c>
      <c r="B39" s="426"/>
      <c r="C39" s="426"/>
      <c r="D39" s="426"/>
      <c r="E39" s="426"/>
      <c r="F39" s="426"/>
      <c r="G39" s="426"/>
      <c r="H39" s="427"/>
      <c r="I39" s="73" t="s">
        <v>8</v>
      </c>
      <c r="J39" s="225">
        <v>1.05</v>
      </c>
      <c r="K39" s="456">
        <v>2157</v>
      </c>
      <c r="L39" s="457"/>
      <c r="M39" s="56">
        <f t="shared" ref="M39:M42" si="0">K39*J39</f>
        <v>2264.85</v>
      </c>
    </row>
    <row r="40" spans="1:13">
      <c r="A40" s="425"/>
      <c r="B40" s="426"/>
      <c r="C40" s="426"/>
      <c r="D40" s="426"/>
      <c r="E40" s="426"/>
      <c r="F40" s="426"/>
      <c r="G40" s="426"/>
      <c r="H40" s="427"/>
      <c r="I40" s="73"/>
      <c r="J40" s="225"/>
      <c r="K40" s="456"/>
      <c r="L40" s="457"/>
      <c r="M40" s="56">
        <f t="shared" si="0"/>
        <v>0</v>
      </c>
    </row>
    <row r="41" spans="1:13">
      <c r="A41" s="425"/>
      <c r="B41" s="426"/>
      <c r="C41" s="426"/>
      <c r="D41" s="426"/>
      <c r="E41" s="426"/>
      <c r="F41" s="426"/>
      <c r="G41" s="426"/>
      <c r="H41" s="427"/>
      <c r="I41" s="73"/>
      <c r="J41" s="225"/>
      <c r="K41" s="456"/>
      <c r="L41" s="457"/>
      <c r="M41" s="56">
        <f t="shared" si="0"/>
        <v>0</v>
      </c>
    </row>
    <row r="42" spans="1:13" ht="15.75" thickBot="1">
      <c r="A42" s="410"/>
      <c r="B42" s="411"/>
      <c r="C42" s="411"/>
      <c r="D42" s="411"/>
      <c r="E42" s="411"/>
      <c r="F42" s="411"/>
      <c r="G42" s="411"/>
      <c r="H42" s="412"/>
      <c r="I42" s="74"/>
      <c r="J42" s="211"/>
      <c r="K42" s="466"/>
      <c r="L42" s="467"/>
      <c r="M42" s="75">
        <f t="shared" si="0"/>
        <v>0</v>
      </c>
    </row>
    <row r="43" spans="1:13" ht="15.75" thickBot="1">
      <c r="A43" s="416" t="s">
        <v>87</v>
      </c>
      <c r="B43" s="417"/>
      <c r="C43" s="417"/>
      <c r="D43" s="417"/>
      <c r="E43" s="417"/>
      <c r="F43" s="417"/>
      <c r="G43" s="417"/>
      <c r="H43" s="417"/>
      <c r="I43" s="417"/>
      <c r="J43" s="417"/>
      <c r="K43" s="417"/>
      <c r="L43" s="418"/>
      <c r="M43" s="58">
        <f>SUM(M39:M42)</f>
        <v>2264.85</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221" t="s">
        <v>92</v>
      </c>
      <c r="I47" s="218" t="s">
        <v>93</v>
      </c>
      <c r="J47" s="60" t="s">
        <v>94</v>
      </c>
      <c r="K47" s="421" t="s">
        <v>95</v>
      </c>
      <c r="L47" s="424"/>
      <c r="M47" s="44" t="s">
        <v>85</v>
      </c>
    </row>
    <row r="48" spans="1:13">
      <c r="A48" s="425"/>
      <c r="B48" s="426"/>
      <c r="C48" s="426"/>
      <c r="D48" s="426"/>
      <c r="E48" s="426"/>
      <c r="F48" s="426"/>
      <c r="G48" s="426"/>
      <c r="H48" s="61"/>
      <c r="I48" s="55"/>
      <c r="J48" s="61"/>
      <c r="K48" s="428"/>
      <c r="L48" s="429"/>
    </row>
    <row r="49" spans="1:13" ht="15.75" thickBot="1">
      <c r="A49" s="410"/>
      <c r="B49" s="411"/>
      <c r="C49" s="411"/>
      <c r="D49" s="411"/>
      <c r="E49" s="411"/>
      <c r="F49" s="411"/>
      <c r="G49" s="411"/>
      <c r="H49" s="47"/>
      <c r="I49" s="15"/>
      <c r="J49" s="47"/>
      <c r="K49" s="414"/>
      <c r="L49" s="415"/>
      <c r="M49" s="62"/>
    </row>
    <row r="50" spans="1:13" ht="15.75" thickBot="1">
      <c r="A50" s="416" t="s">
        <v>87</v>
      </c>
      <c r="B50" s="417"/>
      <c r="C50" s="417"/>
      <c r="D50" s="417"/>
      <c r="E50" s="417"/>
      <c r="F50" s="417"/>
      <c r="G50" s="417"/>
      <c r="H50" s="417"/>
      <c r="I50" s="417"/>
      <c r="J50" s="417"/>
      <c r="K50" s="417"/>
      <c r="L50" s="418"/>
      <c r="M50" s="63">
        <f>SUM(M49:M49)</f>
        <v>0</v>
      </c>
    </row>
    <row r="51" spans="1:13">
      <c r="A51" s="30"/>
      <c r="B51" s="19"/>
      <c r="C51" s="19"/>
      <c r="D51" s="19"/>
      <c r="E51" s="19"/>
      <c r="F51" s="19"/>
      <c r="G51" s="19"/>
      <c r="H51" s="19"/>
      <c r="I51" s="19"/>
      <c r="J51" s="19"/>
      <c r="K51" s="19"/>
      <c r="L51" s="19"/>
      <c r="M51" s="24"/>
    </row>
    <row r="52" spans="1:13">
      <c r="A52" s="51" t="s">
        <v>96</v>
      </c>
      <c r="B52" s="52"/>
      <c r="C52" s="52"/>
      <c r="D52" s="52"/>
      <c r="E52" s="52"/>
      <c r="F52" s="52"/>
      <c r="G52" s="52"/>
      <c r="H52" s="52"/>
      <c r="I52" s="52"/>
      <c r="J52" s="52"/>
      <c r="K52" s="52"/>
      <c r="L52" s="52"/>
      <c r="M52" s="53"/>
    </row>
    <row r="53" spans="1:13" ht="15.75" thickBot="1">
      <c r="A53" s="30"/>
      <c r="B53" s="19"/>
      <c r="C53" s="19"/>
      <c r="D53" s="19"/>
      <c r="E53" s="19"/>
      <c r="F53" s="19"/>
      <c r="G53" s="19"/>
      <c r="H53" s="19"/>
      <c r="I53" s="19"/>
      <c r="J53" s="19"/>
      <c r="K53" s="19"/>
      <c r="L53" s="19"/>
      <c r="M53" s="24"/>
    </row>
    <row r="54" spans="1:13" ht="26.25">
      <c r="A54" s="453" t="s">
        <v>97</v>
      </c>
      <c r="B54" s="454"/>
      <c r="C54" s="454"/>
      <c r="D54" s="454"/>
      <c r="E54" s="454"/>
      <c r="F54" s="454"/>
      <c r="G54" s="454"/>
      <c r="H54" s="221" t="s">
        <v>98</v>
      </c>
      <c r="I54" s="222" t="s">
        <v>99</v>
      </c>
      <c r="J54" s="222" t="s">
        <v>100</v>
      </c>
      <c r="K54" s="455" t="s">
        <v>84</v>
      </c>
      <c r="L54" s="455"/>
      <c r="M54" s="65" t="s">
        <v>85</v>
      </c>
    </row>
    <row r="55" spans="1:13">
      <c r="A55" s="425" t="s">
        <v>126</v>
      </c>
      <c r="B55" s="426"/>
      <c r="C55" s="426"/>
      <c r="D55" s="426"/>
      <c r="E55" s="426"/>
      <c r="F55" s="426"/>
      <c r="G55" s="427"/>
      <c r="H55" s="1">
        <v>112923.49999999999</v>
      </c>
      <c r="I55" s="2">
        <v>2.2000000000000002</v>
      </c>
      <c r="J55" s="66">
        <f>(I55*H55)</f>
        <v>248431.69999999998</v>
      </c>
      <c r="K55" s="483">
        <v>50</v>
      </c>
      <c r="L55" s="483"/>
      <c r="M55" s="56">
        <f>J55/K55</f>
        <v>4968.634</v>
      </c>
    </row>
    <row r="56" spans="1:13">
      <c r="A56" s="471"/>
      <c r="B56" s="472"/>
      <c r="C56" s="472"/>
      <c r="D56" s="472"/>
      <c r="E56" s="472"/>
      <c r="F56" s="472"/>
      <c r="G56" s="472"/>
      <c r="H56" s="1"/>
      <c r="I56" s="2"/>
      <c r="J56" s="66"/>
      <c r="K56" s="473"/>
      <c r="L56" s="473"/>
      <c r="M56" s="56"/>
    </row>
    <row r="57" spans="1:13" ht="15.75" thickBot="1">
      <c r="A57" s="432"/>
      <c r="B57" s="433"/>
      <c r="C57" s="433"/>
      <c r="D57" s="433"/>
      <c r="E57" s="433"/>
      <c r="F57" s="433"/>
      <c r="G57" s="433"/>
      <c r="H57" s="3"/>
      <c r="I57" s="4"/>
      <c r="J57" s="67"/>
      <c r="K57" s="434"/>
      <c r="L57" s="434"/>
      <c r="M57" s="68"/>
    </row>
    <row r="58" spans="1:13" ht="15.75" thickBot="1">
      <c r="A58" s="435" t="s">
        <v>87</v>
      </c>
      <c r="B58" s="436"/>
      <c r="C58" s="436"/>
      <c r="D58" s="436"/>
      <c r="E58" s="436"/>
      <c r="F58" s="436"/>
      <c r="G58" s="436"/>
      <c r="H58" s="436"/>
      <c r="I58" s="436"/>
      <c r="J58" s="436"/>
      <c r="K58" s="436"/>
      <c r="L58" s="437"/>
      <c r="M58" s="69">
        <f>SUM(M55:M57)</f>
        <v>4968.634</v>
      </c>
    </row>
    <row r="59" spans="1:13" ht="15.75" thickBot="1">
      <c r="A59" s="30"/>
      <c r="B59" s="19"/>
      <c r="C59" s="19"/>
      <c r="D59" s="19"/>
      <c r="E59" s="19"/>
      <c r="F59" s="19"/>
      <c r="G59" s="19"/>
      <c r="H59" s="19"/>
      <c r="I59" s="19"/>
      <c r="J59" s="19"/>
      <c r="K59" s="19"/>
      <c r="L59" s="19"/>
      <c r="M59" s="24"/>
    </row>
    <row r="60" spans="1:13" ht="15.75" thickBot="1">
      <c r="A60" s="416" t="s">
        <v>101</v>
      </c>
      <c r="B60" s="417"/>
      <c r="C60" s="417"/>
      <c r="D60" s="417"/>
      <c r="E60" s="417"/>
      <c r="F60" s="417"/>
      <c r="G60" s="417"/>
      <c r="H60" s="417"/>
      <c r="I60" s="417"/>
      <c r="J60" s="417"/>
      <c r="K60" s="417"/>
      <c r="L60" s="418"/>
      <c r="M60" s="70">
        <f>ROUND(M58+M50+M43+M34,0)</f>
        <v>7233</v>
      </c>
    </row>
    <row r="61" spans="1:13">
      <c r="A61" s="30"/>
      <c r="B61" s="19"/>
      <c r="C61" s="19"/>
      <c r="D61" s="19"/>
      <c r="E61" s="19"/>
      <c r="F61" s="19"/>
      <c r="G61" s="19"/>
      <c r="H61" s="19"/>
      <c r="I61" s="19"/>
      <c r="J61" s="19"/>
      <c r="K61" s="19"/>
      <c r="L61" s="19"/>
      <c r="M61" s="24"/>
    </row>
    <row r="62" spans="1:13">
      <c r="A62" s="51" t="s">
        <v>102</v>
      </c>
      <c r="B62" s="52"/>
      <c r="C62" s="52"/>
      <c r="D62" s="52"/>
      <c r="E62" s="52"/>
      <c r="F62" s="52"/>
      <c r="G62" s="52"/>
      <c r="H62" s="52"/>
      <c r="I62" s="52"/>
      <c r="J62" s="52"/>
      <c r="K62" s="52"/>
      <c r="L62" s="52"/>
      <c r="M62" s="53"/>
    </row>
    <row r="63" spans="1:13" ht="15.75" thickBot="1">
      <c r="A63" s="30"/>
      <c r="B63" s="19"/>
      <c r="C63" s="19"/>
      <c r="D63" s="19"/>
      <c r="E63" s="19"/>
      <c r="F63" s="19"/>
      <c r="G63" s="19"/>
      <c r="H63" s="19"/>
      <c r="I63" s="19"/>
      <c r="J63" s="19"/>
      <c r="K63" s="19"/>
      <c r="L63" s="19"/>
      <c r="M63" s="24"/>
    </row>
    <row r="64" spans="1:13" ht="15.75" thickBot="1">
      <c r="A64" s="438" t="s">
        <v>103</v>
      </c>
      <c r="B64" s="439"/>
      <c r="C64" s="439"/>
      <c r="D64" s="439"/>
      <c r="E64" s="439"/>
      <c r="F64" s="439"/>
      <c r="G64" s="439"/>
      <c r="H64" s="219"/>
      <c r="I64" s="220"/>
      <c r="J64" s="81" t="s">
        <v>104</v>
      </c>
      <c r="K64" s="440" t="s">
        <v>105</v>
      </c>
      <c r="L64" s="441"/>
      <c r="M64" s="82"/>
    </row>
    <row r="65" spans="1:13">
      <c r="A65" s="442" t="s">
        <v>106</v>
      </c>
      <c r="B65" s="443"/>
      <c r="C65" s="443"/>
      <c r="D65" s="443"/>
      <c r="E65" s="443"/>
      <c r="F65" s="443"/>
      <c r="G65" s="443"/>
      <c r="H65" s="83"/>
      <c r="I65" s="84"/>
      <c r="J65" s="85">
        <v>0.19</v>
      </c>
      <c r="K65" s="444">
        <f>M60*J65</f>
        <v>1374.27</v>
      </c>
      <c r="L65" s="444"/>
      <c r="M65" s="86"/>
    </row>
    <row r="66" spans="1:13">
      <c r="A66" s="447" t="s">
        <v>107</v>
      </c>
      <c r="B66" s="448"/>
      <c r="C66" s="448"/>
      <c r="D66" s="448"/>
      <c r="E66" s="448"/>
      <c r="F66" s="448"/>
      <c r="G66" s="449"/>
      <c r="H66" s="77"/>
      <c r="I66" s="78"/>
      <c r="J66" s="5">
        <v>0.01</v>
      </c>
      <c r="K66" s="445">
        <f>M60*J66</f>
        <v>72.33</v>
      </c>
      <c r="L66" s="445"/>
      <c r="M66" s="6"/>
    </row>
    <row r="67" spans="1:13">
      <c r="A67" s="447" t="s">
        <v>108</v>
      </c>
      <c r="B67" s="448"/>
      <c r="C67" s="448"/>
      <c r="D67" s="448"/>
      <c r="E67" s="448"/>
      <c r="F67" s="448"/>
      <c r="G67" s="449"/>
      <c r="H67" s="77"/>
      <c r="I67" s="78"/>
      <c r="J67" s="5">
        <v>0.05</v>
      </c>
      <c r="K67" s="445">
        <f>M60*J67</f>
        <v>361.65000000000003</v>
      </c>
      <c r="L67" s="445"/>
      <c r="M67" s="6"/>
    </row>
    <row r="68" spans="1:13" ht="15.75" thickBot="1">
      <c r="A68" s="450" t="s">
        <v>117</v>
      </c>
      <c r="B68" s="451"/>
      <c r="C68" s="451"/>
      <c r="D68" s="451"/>
      <c r="E68" s="451"/>
      <c r="F68" s="451"/>
      <c r="G68" s="452"/>
      <c r="H68" s="87"/>
      <c r="I68" s="88"/>
      <c r="J68" s="89">
        <v>0.19</v>
      </c>
      <c r="K68" s="446">
        <f>K67*J68</f>
        <v>68.71350000000001</v>
      </c>
      <c r="L68" s="446"/>
      <c r="M68" s="90"/>
    </row>
    <row r="69" spans="1:13" ht="15.75" thickBot="1">
      <c r="A69" s="435" t="s">
        <v>87</v>
      </c>
      <c r="B69" s="436"/>
      <c r="C69" s="436"/>
      <c r="D69" s="436"/>
      <c r="E69" s="436"/>
      <c r="F69" s="436"/>
      <c r="G69" s="436"/>
      <c r="H69" s="436"/>
      <c r="I69" s="436"/>
      <c r="J69" s="436"/>
      <c r="K69" s="436"/>
      <c r="L69" s="437"/>
      <c r="M69" s="76">
        <f>SUM(K65:L68)</f>
        <v>1876.9635000000001</v>
      </c>
    </row>
    <row r="70" spans="1:13" ht="15.75" thickBot="1">
      <c r="A70" s="30"/>
      <c r="B70" s="19"/>
      <c r="C70" s="19"/>
      <c r="D70" s="19"/>
      <c r="E70" s="19"/>
      <c r="F70" s="19"/>
      <c r="G70" s="19"/>
      <c r="H70" s="19"/>
      <c r="I70" s="19"/>
      <c r="J70" s="19"/>
      <c r="K70" s="19"/>
      <c r="L70" s="19"/>
      <c r="M70" s="24"/>
    </row>
    <row r="71" spans="1:13" ht="15.75" thickBot="1">
      <c r="A71" s="416" t="s">
        <v>109</v>
      </c>
      <c r="B71" s="417"/>
      <c r="C71" s="417"/>
      <c r="D71" s="417"/>
      <c r="E71" s="417"/>
      <c r="F71" s="417"/>
      <c r="G71" s="417"/>
      <c r="H71" s="417"/>
      <c r="I71" s="417"/>
      <c r="J71" s="417"/>
      <c r="K71" s="417"/>
      <c r="L71" s="418"/>
      <c r="M71" s="71">
        <f>ROUND(M60+M69,0)</f>
        <v>9110</v>
      </c>
    </row>
  </sheetData>
  <mergeCells count="7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34:L34"/>
    <mergeCell ref="A38:H38"/>
    <mergeCell ref="K38:L38"/>
    <mergeCell ref="N31:O31"/>
    <mergeCell ref="A32:E32"/>
    <mergeCell ref="F32:G32"/>
    <mergeCell ref="H32:I32"/>
    <mergeCell ref="K32:L32"/>
    <mergeCell ref="A33:E33"/>
    <mergeCell ref="F33:G33"/>
    <mergeCell ref="H33:I33"/>
    <mergeCell ref="K33:L33"/>
    <mergeCell ref="A48:G48"/>
    <mergeCell ref="K48:L48"/>
    <mergeCell ref="A39:H39"/>
    <mergeCell ref="K39:L39"/>
    <mergeCell ref="A40:H40"/>
    <mergeCell ref="K40:L40"/>
    <mergeCell ref="A41:H41"/>
    <mergeCell ref="K41:L41"/>
    <mergeCell ref="A42:H42"/>
    <mergeCell ref="K42:L42"/>
    <mergeCell ref="A43:L43"/>
    <mergeCell ref="A47:G47"/>
    <mergeCell ref="K47:L47"/>
    <mergeCell ref="A60:L60"/>
    <mergeCell ref="A49:G49"/>
    <mergeCell ref="K49:L49"/>
    <mergeCell ref="A50:L50"/>
    <mergeCell ref="A54:G54"/>
    <mergeCell ref="K54:L54"/>
    <mergeCell ref="A55:G55"/>
    <mergeCell ref="K55:L55"/>
    <mergeCell ref="A56:G56"/>
    <mergeCell ref="K56:L56"/>
    <mergeCell ref="A57:G57"/>
    <mergeCell ref="K57:L57"/>
    <mergeCell ref="A58:L58"/>
    <mergeCell ref="A71:L71"/>
    <mergeCell ref="A64:G64"/>
    <mergeCell ref="K64:L64"/>
    <mergeCell ref="A65:G65"/>
    <mergeCell ref="K65:L65"/>
    <mergeCell ref="A66:G66"/>
    <mergeCell ref="K66:L66"/>
    <mergeCell ref="A67:G67"/>
    <mergeCell ref="K67:L67"/>
    <mergeCell ref="A68:G68"/>
    <mergeCell ref="K68:L68"/>
    <mergeCell ref="A69:L69"/>
  </mergeCells>
  <pageMargins left="0.7" right="0.7" top="0.75" bottom="0.75" header="0.3" footer="0.3"/>
  <pageSetup scale="56"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view="pageBreakPreview" topLeftCell="A40" zoomScale="80" zoomScaleNormal="100" zoomScaleSheetLayoutView="80" workbookViewId="0">
      <selection activeCell="M60" sqref="M60"/>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313"/>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314" t="s">
        <v>71</v>
      </c>
      <c r="H12" s="394"/>
      <c r="I12" s="394"/>
      <c r="J12" s="23"/>
      <c r="K12" s="23"/>
      <c r="L12" s="23"/>
      <c r="M12" s="24"/>
    </row>
    <row r="13" spans="1:13">
      <c r="A13" s="25" t="s">
        <v>72</v>
      </c>
      <c r="B13" s="26"/>
      <c r="C13" s="555"/>
      <c r="D13" s="556"/>
      <c r="E13" s="556"/>
      <c r="F13" s="556"/>
      <c r="G13" s="556"/>
      <c r="H13" s="556"/>
      <c r="I13" s="556"/>
      <c r="J13" s="556"/>
      <c r="K13" s="556"/>
      <c r="L13" s="556"/>
      <c r="M13" s="557"/>
    </row>
    <row r="14" spans="1:13">
      <c r="A14" s="25"/>
      <c r="B14" s="26"/>
      <c r="C14" s="394"/>
      <c r="D14" s="394"/>
      <c r="E14" s="394"/>
      <c r="F14" s="394"/>
      <c r="G14" s="394"/>
      <c r="H14" s="394"/>
      <c r="I14" s="394"/>
      <c r="J14" s="394"/>
      <c r="K14" s="394"/>
      <c r="L14" s="394"/>
      <c r="M14" s="558"/>
    </row>
    <row r="15" spans="1:13">
      <c r="A15" s="25"/>
      <c r="B15" s="26"/>
      <c r="C15" s="316"/>
      <c r="D15" s="316"/>
      <c r="E15" s="316"/>
      <c r="F15" s="316"/>
      <c r="G15" s="316"/>
      <c r="H15" s="316"/>
      <c r="I15" s="316"/>
      <c r="J15" s="316"/>
      <c r="K15" s="316"/>
      <c r="L15" s="316"/>
      <c r="M15" s="317"/>
    </row>
    <row r="16" spans="1:13">
      <c r="A16" s="25" t="s">
        <v>73</v>
      </c>
      <c r="B16" s="26"/>
      <c r="C16" s="379"/>
      <c r="D16" s="379"/>
      <c r="E16" s="379"/>
      <c r="F16" s="379"/>
      <c r="G16" s="379"/>
      <c r="H16" s="379"/>
      <c r="I16" s="379"/>
      <c r="J16" s="379"/>
      <c r="K16" s="379"/>
      <c r="L16" s="379"/>
      <c r="M16" s="380"/>
    </row>
    <row r="17" spans="1:19">
      <c r="A17" s="25"/>
      <c r="B17" s="26"/>
      <c r="C17" s="314"/>
      <c r="D17" s="314"/>
      <c r="E17" s="314"/>
      <c r="F17" s="314"/>
      <c r="G17" s="314"/>
      <c r="H17" s="314"/>
      <c r="I17" s="314"/>
      <c r="J17" s="314"/>
      <c r="K17" s="314"/>
      <c r="L17" s="314"/>
      <c r="M17" s="13"/>
    </row>
    <row r="18" spans="1:19">
      <c r="A18" s="25" t="s">
        <v>74</v>
      </c>
      <c r="B18" s="26"/>
      <c r="C18" s="379"/>
      <c r="D18" s="379"/>
      <c r="E18" s="379"/>
      <c r="F18" s="379"/>
      <c r="G18" s="379"/>
      <c r="H18" s="379"/>
      <c r="I18" s="379"/>
      <c r="J18" s="379"/>
      <c r="K18" s="379"/>
      <c r="L18" s="379"/>
      <c r="M18" s="380"/>
    </row>
    <row r="19" spans="1:19">
      <c r="A19" s="25"/>
      <c r="B19" s="26"/>
      <c r="C19" s="314"/>
      <c r="D19" s="314"/>
      <c r="E19" s="314"/>
      <c r="F19" s="314"/>
      <c r="G19" s="314"/>
      <c r="H19" s="314"/>
      <c r="I19" s="314"/>
      <c r="J19" s="314"/>
      <c r="K19" s="314"/>
      <c r="L19" s="314"/>
      <c r="M19" s="13"/>
    </row>
    <row r="20" spans="1:19" ht="31.5" customHeight="1">
      <c r="A20" s="464" t="s">
        <v>113</v>
      </c>
      <c r="B20" s="465"/>
      <c r="C20" s="379"/>
      <c r="D20" s="379"/>
      <c r="E20" s="379"/>
      <c r="F20" s="379"/>
      <c r="G20" s="379"/>
      <c r="H20" s="379"/>
      <c r="I20" s="379"/>
      <c r="J20" s="379"/>
      <c r="K20" s="379"/>
      <c r="L20" s="379"/>
      <c r="M20" s="380"/>
    </row>
    <row r="21" spans="1:19">
      <c r="A21" s="400"/>
      <c r="B21" s="401"/>
      <c r="C21" s="314"/>
      <c r="D21" s="314"/>
      <c r="E21" s="314"/>
      <c r="F21" s="314"/>
      <c r="G21" s="314"/>
      <c r="H21" s="314"/>
      <c r="I21" s="314"/>
      <c r="J21" s="314"/>
      <c r="K21" s="314"/>
      <c r="L21" s="31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306" t="s">
        <v>78</v>
      </c>
      <c r="K25" s="408" t="s">
        <v>79</v>
      </c>
      <c r="L25" s="409"/>
      <c r="M25" s="31" t="s">
        <v>80</v>
      </c>
    </row>
    <row r="26" spans="1:19" ht="47.25" customHeight="1" thickBot="1">
      <c r="A26" s="33"/>
      <c r="B26" s="509" t="s">
        <v>426</v>
      </c>
      <c r="C26" s="510"/>
      <c r="D26" s="510"/>
      <c r="E26" s="510"/>
      <c r="F26" s="510"/>
      <c r="G26" s="510"/>
      <c r="H26" s="510"/>
      <c r="I26" s="511"/>
      <c r="J26" s="305">
        <v>1</v>
      </c>
      <c r="K26" s="391" t="s">
        <v>9</v>
      </c>
      <c r="L26" s="393"/>
      <c r="M26" s="35"/>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311" t="s">
        <v>83</v>
      </c>
      <c r="K30" s="421" t="s">
        <v>84</v>
      </c>
      <c r="L30" s="424"/>
      <c r="M30" s="44" t="s">
        <v>85</v>
      </c>
    </row>
    <row r="31" spans="1:19" ht="15.75" thickBot="1">
      <c r="A31" s="410" t="s">
        <v>124</v>
      </c>
      <c r="B31" s="411"/>
      <c r="C31" s="411"/>
      <c r="D31" s="411"/>
      <c r="E31" s="412"/>
      <c r="F31" s="414" t="s">
        <v>125</v>
      </c>
      <c r="G31" s="415"/>
      <c r="H31" s="413" t="s">
        <v>86</v>
      </c>
      <c r="I31" s="412"/>
      <c r="J31" s="157">
        <f>M55*10%</f>
        <v>1242.1585</v>
      </c>
      <c r="K31" s="428">
        <v>10</v>
      </c>
      <c r="L31" s="429"/>
      <c r="M31" s="231">
        <f>K31*J31</f>
        <v>12421.584999999999</v>
      </c>
      <c r="N31" s="489"/>
      <c r="O31" s="490"/>
      <c r="P31" s="95"/>
      <c r="Q31" s="96"/>
      <c r="R31" s="97"/>
      <c r="S31" s="98"/>
    </row>
    <row r="32" spans="1:19">
      <c r="A32" s="425"/>
      <c r="B32" s="426"/>
      <c r="C32" s="426"/>
      <c r="D32" s="426"/>
      <c r="E32" s="427"/>
      <c r="F32" s="428"/>
      <c r="G32" s="429"/>
      <c r="H32" s="430"/>
      <c r="I32" s="427"/>
      <c r="J32" s="72"/>
      <c r="K32" s="428"/>
      <c r="L32" s="429"/>
      <c r="M32" s="46"/>
    </row>
    <row r="33" spans="1:13" ht="15.75" thickBot="1">
      <c r="A33" s="410"/>
      <c r="B33" s="411"/>
      <c r="C33" s="411"/>
      <c r="D33" s="411"/>
      <c r="E33" s="412"/>
      <c r="F33" s="414"/>
      <c r="G33" s="415"/>
      <c r="H33" s="413"/>
      <c r="I33" s="412"/>
      <c r="J33" s="91"/>
      <c r="K33" s="414"/>
      <c r="L33" s="415"/>
      <c r="M33" s="46"/>
    </row>
    <row r="34" spans="1:13" ht="15.75" thickBot="1">
      <c r="A34" s="416" t="s">
        <v>87</v>
      </c>
      <c r="B34" s="417"/>
      <c r="C34" s="417"/>
      <c r="D34" s="417"/>
      <c r="E34" s="417"/>
      <c r="F34" s="417"/>
      <c r="G34" s="417"/>
      <c r="H34" s="417"/>
      <c r="I34" s="417"/>
      <c r="J34" s="417"/>
      <c r="K34" s="417"/>
      <c r="L34" s="418"/>
      <c r="M34" s="232">
        <f>SUM(M31:M33)</f>
        <v>12421.584999999999</v>
      </c>
    </row>
    <row r="35" spans="1:13">
      <c r="A35" s="50"/>
      <c r="B35" s="19"/>
      <c r="C35" s="19"/>
      <c r="D35" s="19"/>
      <c r="E35" s="19"/>
      <c r="F35" s="19"/>
      <c r="G35" s="19"/>
      <c r="H35" s="19"/>
      <c r="I35" s="19"/>
      <c r="J35" s="19"/>
      <c r="K35" s="19"/>
      <c r="L35" s="19"/>
      <c r="M35" s="24"/>
    </row>
    <row r="36" spans="1:13">
      <c r="A36" s="51" t="s">
        <v>88</v>
      </c>
      <c r="B36" s="52"/>
      <c r="C36" s="52"/>
      <c r="D36" s="52"/>
      <c r="E36" s="52"/>
      <c r="F36" s="52"/>
      <c r="G36" s="52"/>
      <c r="H36" s="52"/>
      <c r="I36" s="52"/>
      <c r="J36" s="52"/>
      <c r="K36" s="52"/>
      <c r="L36" s="52"/>
      <c r="M36" s="53"/>
    </row>
    <row r="37" spans="1:13" ht="15.75" thickBot="1">
      <c r="A37" s="14"/>
      <c r="B37" s="15"/>
      <c r="C37" s="15"/>
      <c r="D37" s="15"/>
      <c r="E37" s="15"/>
      <c r="F37" s="15"/>
      <c r="G37" s="15"/>
      <c r="H37" s="15"/>
      <c r="I37" s="19"/>
      <c r="J37" s="19"/>
      <c r="K37" s="19"/>
      <c r="L37" s="19"/>
      <c r="M37" s="24"/>
    </row>
    <row r="38" spans="1:13">
      <c r="A38" s="408" t="s">
        <v>77</v>
      </c>
      <c r="B38" s="431"/>
      <c r="C38" s="431"/>
      <c r="D38" s="431"/>
      <c r="E38" s="431"/>
      <c r="F38" s="431"/>
      <c r="G38" s="431"/>
      <c r="H38" s="424"/>
      <c r="I38" s="307" t="s">
        <v>79</v>
      </c>
      <c r="J38" s="311" t="s">
        <v>80</v>
      </c>
      <c r="K38" s="421" t="s">
        <v>89</v>
      </c>
      <c r="L38" s="424"/>
      <c r="M38" s="44" t="s">
        <v>85</v>
      </c>
    </row>
    <row r="39" spans="1:13" ht="44.25" customHeight="1">
      <c r="A39" s="516" t="s">
        <v>426</v>
      </c>
      <c r="B39" s="559"/>
      <c r="C39" s="559"/>
      <c r="D39" s="559"/>
      <c r="E39" s="559"/>
      <c r="F39" s="559"/>
      <c r="G39" s="559"/>
      <c r="H39" s="560"/>
      <c r="I39" s="73" t="s">
        <v>9</v>
      </c>
      <c r="J39" s="315">
        <v>1</v>
      </c>
      <c r="K39" s="456">
        <v>85899</v>
      </c>
      <c r="L39" s="457"/>
      <c r="M39" s="56">
        <f t="shared" ref="M39:M42" si="0">K39*J39</f>
        <v>85899</v>
      </c>
    </row>
    <row r="40" spans="1:13">
      <c r="A40" s="425" t="s">
        <v>427</v>
      </c>
      <c r="B40" s="426"/>
      <c r="C40" s="426"/>
      <c r="D40" s="426"/>
      <c r="E40" s="426"/>
      <c r="F40" s="426"/>
      <c r="G40" s="426"/>
      <c r="H40" s="427"/>
      <c r="I40" s="73" t="s">
        <v>11</v>
      </c>
      <c r="J40" s="315">
        <v>0.1</v>
      </c>
      <c r="K40" s="456">
        <v>17900</v>
      </c>
      <c r="L40" s="457"/>
      <c r="M40" s="56">
        <f t="shared" si="0"/>
        <v>1790</v>
      </c>
    </row>
    <row r="41" spans="1:13">
      <c r="A41" s="425"/>
      <c r="B41" s="426"/>
      <c r="C41" s="426"/>
      <c r="D41" s="426"/>
      <c r="E41" s="426"/>
      <c r="F41" s="426"/>
      <c r="G41" s="426"/>
      <c r="H41" s="427"/>
      <c r="I41" s="73"/>
      <c r="J41" s="315"/>
      <c r="K41" s="456"/>
      <c r="L41" s="457"/>
      <c r="M41" s="56">
        <f t="shared" si="0"/>
        <v>0</v>
      </c>
    </row>
    <row r="42" spans="1:13" ht="15.75" thickBot="1">
      <c r="A42" s="410"/>
      <c r="B42" s="411"/>
      <c r="C42" s="411"/>
      <c r="D42" s="411"/>
      <c r="E42" s="411"/>
      <c r="F42" s="411"/>
      <c r="G42" s="411"/>
      <c r="H42" s="412"/>
      <c r="I42" s="74"/>
      <c r="J42" s="211"/>
      <c r="K42" s="466"/>
      <c r="L42" s="467"/>
      <c r="M42" s="75">
        <f t="shared" si="0"/>
        <v>0</v>
      </c>
    </row>
    <row r="43" spans="1:13" ht="15.75" thickBot="1">
      <c r="A43" s="416" t="s">
        <v>87</v>
      </c>
      <c r="B43" s="417"/>
      <c r="C43" s="417"/>
      <c r="D43" s="417"/>
      <c r="E43" s="417"/>
      <c r="F43" s="417"/>
      <c r="G43" s="417"/>
      <c r="H43" s="417"/>
      <c r="I43" s="417"/>
      <c r="J43" s="417"/>
      <c r="K43" s="417"/>
      <c r="L43" s="418"/>
      <c r="M43" s="58">
        <f>SUM(M39:M42)</f>
        <v>87689</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311" t="s">
        <v>92</v>
      </c>
      <c r="I47" s="308" t="s">
        <v>93</v>
      </c>
      <c r="J47" s="60" t="s">
        <v>94</v>
      </c>
      <c r="K47" s="421" t="s">
        <v>95</v>
      </c>
      <c r="L47" s="424"/>
      <c r="M47" s="44" t="s">
        <v>85</v>
      </c>
    </row>
    <row r="48" spans="1:13">
      <c r="A48" s="425"/>
      <c r="B48" s="426"/>
      <c r="C48" s="426"/>
      <c r="D48" s="426"/>
      <c r="E48" s="426"/>
      <c r="F48" s="426"/>
      <c r="G48" s="426"/>
      <c r="H48" s="61"/>
      <c r="I48" s="55"/>
      <c r="J48" s="61"/>
      <c r="K48" s="428"/>
      <c r="L48" s="429"/>
    </row>
    <row r="49" spans="1:13" ht="15.75" thickBot="1">
      <c r="A49" s="410"/>
      <c r="B49" s="411"/>
      <c r="C49" s="411"/>
      <c r="D49" s="411"/>
      <c r="E49" s="411"/>
      <c r="F49" s="411"/>
      <c r="G49" s="411"/>
      <c r="H49" s="47"/>
      <c r="I49" s="15"/>
      <c r="J49" s="47"/>
      <c r="K49" s="414"/>
      <c r="L49" s="415"/>
      <c r="M49" s="62"/>
    </row>
    <row r="50" spans="1:13" ht="15.75" thickBot="1">
      <c r="A50" s="416" t="s">
        <v>87</v>
      </c>
      <c r="B50" s="417"/>
      <c r="C50" s="417"/>
      <c r="D50" s="417"/>
      <c r="E50" s="417"/>
      <c r="F50" s="417"/>
      <c r="G50" s="417"/>
      <c r="H50" s="417"/>
      <c r="I50" s="417"/>
      <c r="J50" s="417"/>
      <c r="K50" s="417"/>
      <c r="L50" s="418"/>
      <c r="M50" s="63">
        <f>SUM(M49:M49)</f>
        <v>0</v>
      </c>
    </row>
    <row r="51" spans="1:13">
      <c r="A51" s="30"/>
      <c r="B51" s="19"/>
      <c r="C51" s="19"/>
      <c r="D51" s="19"/>
      <c r="E51" s="19"/>
      <c r="F51" s="19"/>
      <c r="G51" s="19"/>
      <c r="H51" s="19"/>
      <c r="I51" s="19"/>
      <c r="J51" s="19"/>
      <c r="K51" s="19"/>
      <c r="L51" s="19"/>
      <c r="M51" s="24"/>
    </row>
    <row r="52" spans="1:13">
      <c r="A52" s="51" t="s">
        <v>96</v>
      </c>
      <c r="B52" s="52"/>
      <c r="C52" s="52"/>
      <c r="D52" s="52"/>
      <c r="E52" s="52"/>
      <c r="F52" s="52"/>
      <c r="G52" s="52"/>
      <c r="H52" s="52"/>
      <c r="I52" s="52"/>
      <c r="J52" s="52"/>
      <c r="K52" s="52"/>
      <c r="L52" s="52"/>
      <c r="M52" s="53"/>
    </row>
    <row r="53" spans="1:13" ht="15.75" thickBot="1">
      <c r="A53" s="30"/>
      <c r="B53" s="19"/>
      <c r="C53" s="19"/>
      <c r="D53" s="19"/>
      <c r="E53" s="19"/>
      <c r="F53" s="19"/>
      <c r="G53" s="19"/>
      <c r="H53" s="19"/>
      <c r="I53" s="19"/>
      <c r="J53" s="19"/>
      <c r="K53" s="19"/>
      <c r="L53" s="19"/>
      <c r="M53" s="24"/>
    </row>
    <row r="54" spans="1:13" ht="26.25">
      <c r="A54" s="453" t="s">
        <v>97</v>
      </c>
      <c r="B54" s="454"/>
      <c r="C54" s="454"/>
      <c r="D54" s="454"/>
      <c r="E54" s="454"/>
      <c r="F54" s="454"/>
      <c r="G54" s="454"/>
      <c r="H54" s="311" t="s">
        <v>98</v>
      </c>
      <c r="I54" s="312" t="s">
        <v>99</v>
      </c>
      <c r="J54" s="312" t="s">
        <v>100</v>
      </c>
      <c r="K54" s="455" t="s">
        <v>84</v>
      </c>
      <c r="L54" s="455"/>
      <c r="M54" s="65" t="s">
        <v>85</v>
      </c>
    </row>
    <row r="55" spans="1:13">
      <c r="A55" s="425" t="s">
        <v>126</v>
      </c>
      <c r="B55" s="426"/>
      <c r="C55" s="426"/>
      <c r="D55" s="426"/>
      <c r="E55" s="426"/>
      <c r="F55" s="426"/>
      <c r="G55" s="427"/>
      <c r="H55" s="1">
        <v>112923.49999999999</v>
      </c>
      <c r="I55" s="2">
        <v>2.2000000000000002</v>
      </c>
      <c r="J55" s="66">
        <f>(I55*H55)</f>
        <v>248431.69999999998</v>
      </c>
      <c r="K55" s="483">
        <v>20</v>
      </c>
      <c r="L55" s="483"/>
      <c r="M55" s="56">
        <f>J55/K55</f>
        <v>12421.584999999999</v>
      </c>
    </row>
    <row r="56" spans="1:13">
      <c r="A56" s="471"/>
      <c r="B56" s="472"/>
      <c r="C56" s="472"/>
      <c r="D56" s="472"/>
      <c r="E56" s="472"/>
      <c r="F56" s="472"/>
      <c r="G56" s="472"/>
      <c r="H56" s="1"/>
      <c r="I56" s="2"/>
      <c r="J56" s="66"/>
      <c r="K56" s="473"/>
      <c r="L56" s="473"/>
      <c r="M56" s="56"/>
    </row>
    <row r="57" spans="1:13" ht="15.75" thickBot="1">
      <c r="A57" s="432"/>
      <c r="B57" s="433"/>
      <c r="C57" s="433"/>
      <c r="D57" s="433"/>
      <c r="E57" s="433"/>
      <c r="F57" s="433"/>
      <c r="G57" s="433"/>
      <c r="H57" s="3"/>
      <c r="I57" s="4"/>
      <c r="J57" s="67"/>
      <c r="K57" s="434"/>
      <c r="L57" s="434"/>
      <c r="M57" s="68"/>
    </row>
    <row r="58" spans="1:13" ht="15.75" thickBot="1">
      <c r="A58" s="435" t="s">
        <v>87</v>
      </c>
      <c r="B58" s="436"/>
      <c r="C58" s="436"/>
      <c r="D58" s="436"/>
      <c r="E58" s="436"/>
      <c r="F58" s="436"/>
      <c r="G58" s="436"/>
      <c r="H58" s="436"/>
      <c r="I58" s="436"/>
      <c r="J58" s="436"/>
      <c r="K58" s="436"/>
      <c r="L58" s="437"/>
      <c r="M58" s="69">
        <f>SUM(M55:M57)</f>
        <v>12421.584999999999</v>
      </c>
    </row>
    <row r="59" spans="1:13" ht="15.75" thickBot="1">
      <c r="A59" s="30"/>
      <c r="B59" s="19"/>
      <c r="C59" s="19"/>
      <c r="D59" s="19"/>
      <c r="E59" s="19"/>
      <c r="F59" s="19"/>
      <c r="G59" s="19"/>
      <c r="H59" s="19"/>
      <c r="I59" s="19"/>
      <c r="J59" s="19"/>
      <c r="K59" s="19"/>
      <c r="L59" s="19"/>
      <c r="M59" s="24"/>
    </row>
    <row r="60" spans="1:13" ht="15.75" thickBot="1">
      <c r="A60" s="416" t="s">
        <v>101</v>
      </c>
      <c r="B60" s="417"/>
      <c r="C60" s="417"/>
      <c r="D60" s="417"/>
      <c r="E60" s="417"/>
      <c r="F60" s="417"/>
      <c r="G60" s="417"/>
      <c r="H60" s="417"/>
      <c r="I60" s="417"/>
      <c r="J60" s="417"/>
      <c r="K60" s="417"/>
      <c r="L60" s="418"/>
      <c r="M60" s="70">
        <f>ROUND(M58+M50+M43+M34,0)</f>
        <v>112532</v>
      </c>
    </row>
    <row r="61" spans="1:13">
      <c r="A61" s="30"/>
      <c r="B61" s="19"/>
      <c r="C61" s="19"/>
      <c r="D61" s="19"/>
      <c r="E61" s="19"/>
      <c r="F61" s="19"/>
      <c r="G61" s="19"/>
      <c r="H61" s="19"/>
      <c r="I61" s="19"/>
      <c r="J61" s="19"/>
      <c r="K61" s="19"/>
      <c r="L61" s="19"/>
      <c r="M61" s="24"/>
    </row>
    <row r="62" spans="1:13">
      <c r="A62" s="51" t="s">
        <v>102</v>
      </c>
      <c r="B62" s="52"/>
      <c r="C62" s="52"/>
      <c r="D62" s="52"/>
      <c r="E62" s="52"/>
      <c r="F62" s="52"/>
      <c r="G62" s="52"/>
      <c r="H62" s="52"/>
      <c r="I62" s="52"/>
      <c r="J62" s="52"/>
      <c r="K62" s="52"/>
      <c r="L62" s="52"/>
      <c r="M62" s="53"/>
    </row>
    <row r="63" spans="1:13" ht="15.75" thickBot="1">
      <c r="A63" s="30"/>
      <c r="B63" s="19"/>
      <c r="C63" s="19"/>
      <c r="D63" s="19"/>
      <c r="E63" s="19"/>
      <c r="F63" s="19"/>
      <c r="G63" s="19"/>
      <c r="H63" s="19"/>
      <c r="I63" s="19"/>
      <c r="J63" s="19"/>
      <c r="K63" s="19"/>
      <c r="L63" s="19"/>
      <c r="M63" s="24"/>
    </row>
    <row r="64" spans="1:13" ht="15.75" thickBot="1">
      <c r="A64" s="438" t="s">
        <v>103</v>
      </c>
      <c r="B64" s="439"/>
      <c r="C64" s="439"/>
      <c r="D64" s="439"/>
      <c r="E64" s="439"/>
      <c r="F64" s="439"/>
      <c r="G64" s="439"/>
      <c r="H64" s="309"/>
      <c r="I64" s="310"/>
      <c r="J64" s="81" t="s">
        <v>104</v>
      </c>
      <c r="K64" s="440" t="s">
        <v>105</v>
      </c>
      <c r="L64" s="441"/>
      <c r="M64" s="82"/>
    </row>
    <row r="65" spans="1:13">
      <c r="A65" s="442" t="s">
        <v>106</v>
      </c>
      <c r="B65" s="443"/>
      <c r="C65" s="443"/>
      <c r="D65" s="443"/>
      <c r="E65" s="443"/>
      <c r="F65" s="443"/>
      <c r="G65" s="443"/>
      <c r="H65" s="83"/>
      <c r="I65" s="84"/>
      <c r="J65" s="85">
        <v>0.19</v>
      </c>
      <c r="K65" s="444">
        <f>M60*J65</f>
        <v>21381.08</v>
      </c>
      <c r="L65" s="444"/>
      <c r="M65" s="86"/>
    </row>
    <row r="66" spans="1:13">
      <c r="A66" s="447" t="s">
        <v>107</v>
      </c>
      <c r="B66" s="448"/>
      <c r="C66" s="448"/>
      <c r="D66" s="448"/>
      <c r="E66" s="448"/>
      <c r="F66" s="448"/>
      <c r="G66" s="449"/>
      <c r="H66" s="77"/>
      <c r="I66" s="78"/>
      <c r="J66" s="5">
        <v>0.01</v>
      </c>
      <c r="K66" s="445">
        <f>M60*J66</f>
        <v>1125.32</v>
      </c>
      <c r="L66" s="445"/>
      <c r="M66" s="6"/>
    </row>
    <row r="67" spans="1:13">
      <c r="A67" s="447" t="s">
        <v>108</v>
      </c>
      <c r="B67" s="448"/>
      <c r="C67" s="448"/>
      <c r="D67" s="448"/>
      <c r="E67" s="448"/>
      <c r="F67" s="448"/>
      <c r="G67" s="449"/>
      <c r="H67" s="77"/>
      <c r="I67" s="78"/>
      <c r="J67" s="5">
        <v>0.05</v>
      </c>
      <c r="K67" s="445">
        <f>M60*J67</f>
        <v>5626.6</v>
      </c>
      <c r="L67" s="445"/>
      <c r="M67" s="6"/>
    </row>
    <row r="68" spans="1:13" ht="15.75" thickBot="1">
      <c r="A68" s="450" t="s">
        <v>117</v>
      </c>
      <c r="B68" s="451"/>
      <c r="C68" s="451"/>
      <c r="D68" s="451"/>
      <c r="E68" s="451"/>
      <c r="F68" s="451"/>
      <c r="G68" s="452"/>
      <c r="H68" s="87"/>
      <c r="I68" s="88"/>
      <c r="J68" s="89">
        <v>0.19</v>
      </c>
      <c r="K68" s="446">
        <f>K67*J68</f>
        <v>1069.0540000000001</v>
      </c>
      <c r="L68" s="446"/>
      <c r="M68" s="90"/>
    </row>
    <row r="69" spans="1:13" ht="15.75" thickBot="1">
      <c r="A69" s="435" t="s">
        <v>87</v>
      </c>
      <c r="B69" s="436"/>
      <c r="C69" s="436"/>
      <c r="D69" s="436"/>
      <c r="E69" s="436"/>
      <c r="F69" s="436"/>
      <c r="G69" s="436"/>
      <c r="H69" s="436"/>
      <c r="I69" s="436"/>
      <c r="J69" s="436"/>
      <c r="K69" s="436"/>
      <c r="L69" s="437"/>
      <c r="M69" s="76">
        <f>SUM(K65:L68)</f>
        <v>29202.054</v>
      </c>
    </row>
    <row r="70" spans="1:13" ht="15.75" thickBot="1">
      <c r="A70" s="30"/>
      <c r="B70" s="19"/>
      <c r="C70" s="19"/>
      <c r="D70" s="19"/>
      <c r="E70" s="19"/>
      <c r="F70" s="19"/>
      <c r="G70" s="19"/>
      <c r="H70" s="19"/>
      <c r="I70" s="19"/>
      <c r="J70" s="19"/>
      <c r="K70" s="19"/>
      <c r="L70" s="19"/>
      <c r="M70" s="24"/>
    </row>
    <row r="71" spans="1:13" ht="15.75" thickBot="1">
      <c r="A71" s="416" t="s">
        <v>109</v>
      </c>
      <c r="B71" s="417"/>
      <c r="C71" s="417"/>
      <c r="D71" s="417"/>
      <c r="E71" s="417"/>
      <c r="F71" s="417"/>
      <c r="G71" s="417"/>
      <c r="H71" s="417"/>
      <c r="I71" s="417"/>
      <c r="J71" s="417"/>
      <c r="K71" s="417"/>
      <c r="L71" s="418"/>
      <c r="M71" s="71">
        <f>ROUND(M60+M69,0)</f>
        <v>141734</v>
      </c>
    </row>
  </sheetData>
  <mergeCells count="7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G56"/>
    <mergeCell ref="K56:L56"/>
    <mergeCell ref="A57:G57"/>
    <mergeCell ref="K57:L57"/>
    <mergeCell ref="A58:L58"/>
    <mergeCell ref="A60:L60"/>
    <mergeCell ref="A64:G64"/>
    <mergeCell ref="K64:L64"/>
    <mergeCell ref="A65:G65"/>
    <mergeCell ref="K65:L65"/>
    <mergeCell ref="A69:L69"/>
    <mergeCell ref="A71:L71"/>
    <mergeCell ref="A66:G66"/>
    <mergeCell ref="K66:L66"/>
    <mergeCell ref="A67:G67"/>
    <mergeCell ref="K67:L67"/>
    <mergeCell ref="A68:G68"/>
    <mergeCell ref="K68:L68"/>
  </mergeCells>
  <pageMargins left="0.7" right="0.7" top="0.75" bottom="0.75" header="0.3" footer="0.3"/>
  <pageSetup scale="56"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view="pageBreakPreview" topLeftCell="A40" zoomScale="80" zoomScaleNormal="100" zoomScaleSheetLayoutView="80" workbookViewId="0">
      <selection activeCell="M60" sqref="M60"/>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313"/>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314" t="s">
        <v>71</v>
      </c>
      <c r="H12" s="394"/>
      <c r="I12" s="394"/>
      <c r="J12" s="23"/>
      <c r="K12" s="23"/>
      <c r="L12" s="23"/>
      <c r="M12" s="24"/>
    </row>
    <row r="13" spans="1:13">
      <c r="A13" s="25" t="s">
        <v>72</v>
      </c>
      <c r="B13" s="26"/>
      <c r="C13" s="555"/>
      <c r="D13" s="556"/>
      <c r="E13" s="556"/>
      <c r="F13" s="556"/>
      <c r="G13" s="556"/>
      <c r="H13" s="556"/>
      <c r="I13" s="556"/>
      <c r="J13" s="556"/>
      <c r="K13" s="556"/>
      <c r="L13" s="556"/>
      <c r="M13" s="557"/>
    </row>
    <row r="14" spans="1:13">
      <c r="A14" s="25"/>
      <c r="B14" s="26"/>
      <c r="C14" s="394"/>
      <c r="D14" s="394"/>
      <c r="E14" s="394"/>
      <c r="F14" s="394"/>
      <c r="G14" s="394"/>
      <c r="H14" s="394"/>
      <c r="I14" s="394"/>
      <c r="J14" s="394"/>
      <c r="K14" s="394"/>
      <c r="L14" s="394"/>
      <c r="M14" s="558"/>
    </row>
    <row r="15" spans="1:13">
      <c r="A15" s="25"/>
      <c r="B15" s="26"/>
      <c r="C15" s="316"/>
      <c r="D15" s="316"/>
      <c r="E15" s="316"/>
      <c r="F15" s="316"/>
      <c r="G15" s="316"/>
      <c r="H15" s="316"/>
      <c r="I15" s="316"/>
      <c r="J15" s="316"/>
      <c r="K15" s="316"/>
      <c r="L15" s="316"/>
      <c r="M15" s="317"/>
    </row>
    <row r="16" spans="1:13">
      <c r="A16" s="25" t="s">
        <v>73</v>
      </c>
      <c r="B16" s="26"/>
      <c r="C16" s="379"/>
      <c r="D16" s="379"/>
      <c r="E16" s="379"/>
      <c r="F16" s="379"/>
      <c r="G16" s="379"/>
      <c r="H16" s="379"/>
      <c r="I16" s="379"/>
      <c r="J16" s="379"/>
      <c r="K16" s="379"/>
      <c r="L16" s="379"/>
      <c r="M16" s="380"/>
    </row>
    <row r="17" spans="1:19">
      <c r="A17" s="25"/>
      <c r="B17" s="26"/>
      <c r="C17" s="314"/>
      <c r="D17" s="314"/>
      <c r="E17" s="314"/>
      <c r="F17" s="314"/>
      <c r="G17" s="314"/>
      <c r="H17" s="314"/>
      <c r="I17" s="314"/>
      <c r="J17" s="314"/>
      <c r="K17" s="314"/>
      <c r="L17" s="314"/>
      <c r="M17" s="13"/>
    </row>
    <row r="18" spans="1:19">
      <c r="A18" s="25" t="s">
        <v>74</v>
      </c>
      <c r="B18" s="26"/>
      <c r="C18" s="379"/>
      <c r="D18" s="379"/>
      <c r="E18" s="379"/>
      <c r="F18" s="379"/>
      <c r="G18" s="379"/>
      <c r="H18" s="379"/>
      <c r="I18" s="379"/>
      <c r="J18" s="379"/>
      <c r="K18" s="379"/>
      <c r="L18" s="379"/>
      <c r="M18" s="380"/>
    </row>
    <row r="19" spans="1:19">
      <c r="A19" s="25"/>
      <c r="B19" s="26"/>
      <c r="C19" s="314"/>
      <c r="D19" s="314"/>
      <c r="E19" s="314"/>
      <c r="F19" s="314"/>
      <c r="G19" s="314"/>
      <c r="H19" s="314"/>
      <c r="I19" s="314"/>
      <c r="J19" s="314"/>
      <c r="K19" s="314"/>
      <c r="L19" s="314"/>
      <c r="M19" s="13"/>
    </row>
    <row r="20" spans="1:19" ht="31.5" customHeight="1">
      <c r="A20" s="464" t="s">
        <v>113</v>
      </c>
      <c r="B20" s="465"/>
      <c r="C20" s="379"/>
      <c r="D20" s="379"/>
      <c r="E20" s="379"/>
      <c r="F20" s="379"/>
      <c r="G20" s="379"/>
      <c r="H20" s="379"/>
      <c r="I20" s="379"/>
      <c r="J20" s="379"/>
      <c r="K20" s="379"/>
      <c r="L20" s="379"/>
      <c r="M20" s="380"/>
    </row>
    <row r="21" spans="1:19">
      <c r="A21" s="400"/>
      <c r="B21" s="401"/>
      <c r="C21" s="314"/>
      <c r="D21" s="314"/>
      <c r="E21" s="314"/>
      <c r="F21" s="314"/>
      <c r="G21" s="314"/>
      <c r="H21" s="314"/>
      <c r="I21" s="314"/>
      <c r="J21" s="314"/>
      <c r="K21" s="314"/>
      <c r="L21" s="31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306" t="s">
        <v>78</v>
      </c>
      <c r="K25" s="408" t="s">
        <v>79</v>
      </c>
      <c r="L25" s="409"/>
      <c r="M25" s="31" t="s">
        <v>80</v>
      </c>
    </row>
    <row r="26" spans="1:19" ht="55.5" customHeight="1" thickBot="1">
      <c r="A26" s="33"/>
      <c r="B26" s="509" t="s">
        <v>410</v>
      </c>
      <c r="C26" s="510"/>
      <c r="D26" s="510"/>
      <c r="E26" s="510"/>
      <c r="F26" s="510"/>
      <c r="G26" s="510"/>
      <c r="H26" s="510"/>
      <c r="I26" s="511"/>
      <c r="J26" s="305">
        <v>1</v>
      </c>
      <c r="K26" s="391" t="s">
        <v>9</v>
      </c>
      <c r="L26" s="393"/>
      <c r="M26" s="35"/>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311" t="s">
        <v>83</v>
      </c>
      <c r="K30" s="421" t="s">
        <v>84</v>
      </c>
      <c r="L30" s="424"/>
      <c r="M30" s="44" t="s">
        <v>85</v>
      </c>
    </row>
    <row r="31" spans="1:19" ht="15.75" thickBot="1">
      <c r="A31" s="425"/>
      <c r="B31" s="426"/>
      <c r="C31" s="426"/>
      <c r="D31" s="426"/>
      <c r="E31" s="427"/>
      <c r="F31" s="428"/>
      <c r="G31" s="429"/>
      <c r="H31" s="430"/>
      <c r="I31" s="427"/>
      <c r="J31" s="72"/>
      <c r="K31" s="428"/>
      <c r="L31" s="429"/>
      <c r="M31" s="231">
        <f>K31*J31</f>
        <v>0</v>
      </c>
      <c r="N31" s="489"/>
      <c r="O31" s="490"/>
      <c r="P31" s="95"/>
      <c r="Q31" s="96"/>
      <c r="R31" s="97"/>
      <c r="S31" s="98"/>
    </row>
    <row r="32" spans="1:19">
      <c r="A32" s="425"/>
      <c r="B32" s="426"/>
      <c r="C32" s="426"/>
      <c r="D32" s="426"/>
      <c r="E32" s="427"/>
      <c r="F32" s="428"/>
      <c r="G32" s="429"/>
      <c r="H32" s="430"/>
      <c r="I32" s="427"/>
      <c r="J32" s="72"/>
      <c r="K32" s="428"/>
      <c r="L32" s="429"/>
      <c r="M32" s="46"/>
    </row>
    <row r="33" spans="1:13" ht="15.75" thickBot="1">
      <c r="A33" s="410"/>
      <c r="B33" s="411"/>
      <c r="C33" s="411"/>
      <c r="D33" s="411"/>
      <c r="E33" s="412"/>
      <c r="F33" s="414"/>
      <c r="G33" s="415"/>
      <c r="H33" s="413"/>
      <c r="I33" s="412"/>
      <c r="J33" s="91"/>
      <c r="K33" s="414"/>
      <c r="L33" s="415"/>
      <c r="M33" s="46"/>
    </row>
    <row r="34" spans="1:13" ht="15.75" thickBot="1">
      <c r="A34" s="416" t="s">
        <v>87</v>
      </c>
      <c r="B34" s="417"/>
      <c r="C34" s="417"/>
      <c r="D34" s="417"/>
      <c r="E34" s="417"/>
      <c r="F34" s="417"/>
      <c r="G34" s="417"/>
      <c r="H34" s="417"/>
      <c r="I34" s="417"/>
      <c r="J34" s="417"/>
      <c r="K34" s="417"/>
      <c r="L34" s="418"/>
      <c r="M34" s="232">
        <f>SUM(M31:M33)</f>
        <v>0</v>
      </c>
    </row>
    <row r="35" spans="1:13">
      <c r="A35" s="50"/>
      <c r="B35" s="19"/>
      <c r="C35" s="19"/>
      <c r="D35" s="19"/>
      <c r="E35" s="19"/>
      <c r="F35" s="19"/>
      <c r="G35" s="19"/>
      <c r="H35" s="19"/>
      <c r="I35" s="19"/>
      <c r="J35" s="19"/>
      <c r="K35" s="19"/>
      <c r="L35" s="19"/>
      <c r="M35" s="24"/>
    </row>
    <row r="36" spans="1:13">
      <c r="A36" s="51" t="s">
        <v>88</v>
      </c>
      <c r="B36" s="52"/>
      <c r="C36" s="52"/>
      <c r="D36" s="52"/>
      <c r="E36" s="52"/>
      <c r="F36" s="52"/>
      <c r="G36" s="52"/>
      <c r="H36" s="52"/>
      <c r="I36" s="52"/>
      <c r="J36" s="52"/>
      <c r="K36" s="52"/>
      <c r="L36" s="52"/>
      <c r="M36" s="53"/>
    </row>
    <row r="37" spans="1:13" ht="15.75" thickBot="1">
      <c r="A37" s="14"/>
      <c r="B37" s="15"/>
      <c r="C37" s="15"/>
      <c r="D37" s="15"/>
      <c r="E37" s="15"/>
      <c r="F37" s="15"/>
      <c r="G37" s="15"/>
      <c r="H37" s="15"/>
      <c r="I37" s="19"/>
      <c r="J37" s="19"/>
      <c r="K37" s="19"/>
      <c r="L37" s="19"/>
      <c r="M37" s="24"/>
    </row>
    <row r="38" spans="1:13">
      <c r="A38" s="408" t="s">
        <v>77</v>
      </c>
      <c r="B38" s="431"/>
      <c r="C38" s="431"/>
      <c r="D38" s="431"/>
      <c r="E38" s="431"/>
      <c r="F38" s="431"/>
      <c r="G38" s="431"/>
      <c r="H38" s="424"/>
      <c r="I38" s="307" t="s">
        <v>79</v>
      </c>
      <c r="J38" s="311" t="s">
        <v>80</v>
      </c>
      <c r="K38" s="421" t="s">
        <v>89</v>
      </c>
      <c r="L38" s="424"/>
      <c r="M38" s="44" t="s">
        <v>85</v>
      </c>
    </row>
    <row r="39" spans="1:13">
      <c r="A39" s="516" t="s">
        <v>411</v>
      </c>
      <c r="B39" s="559"/>
      <c r="C39" s="559"/>
      <c r="D39" s="559"/>
      <c r="E39" s="559"/>
      <c r="F39" s="559"/>
      <c r="G39" s="559"/>
      <c r="H39" s="560"/>
      <c r="I39" s="73" t="s">
        <v>11</v>
      </c>
      <c r="J39" s="315">
        <v>2</v>
      </c>
      <c r="K39" s="456">
        <v>133400</v>
      </c>
      <c r="L39" s="457"/>
      <c r="M39" s="56">
        <f t="shared" ref="M39:M42" si="0">K39*J39</f>
        <v>266800</v>
      </c>
    </row>
    <row r="40" spans="1:13">
      <c r="A40" s="425" t="s">
        <v>412</v>
      </c>
      <c r="B40" s="426"/>
      <c r="C40" s="426"/>
      <c r="D40" s="426"/>
      <c r="E40" s="426"/>
      <c r="F40" s="426"/>
      <c r="G40" s="426"/>
      <c r="H40" s="427"/>
      <c r="I40" s="73" t="s">
        <v>25</v>
      </c>
      <c r="J40" s="315">
        <v>3</v>
      </c>
      <c r="K40" s="456">
        <v>17980</v>
      </c>
      <c r="L40" s="457"/>
      <c r="M40" s="56">
        <f t="shared" si="0"/>
        <v>53940</v>
      </c>
    </row>
    <row r="41" spans="1:13">
      <c r="A41" s="425" t="s">
        <v>413</v>
      </c>
      <c r="B41" s="426"/>
      <c r="C41" s="426"/>
      <c r="D41" s="426"/>
      <c r="E41" s="426"/>
      <c r="F41" s="426"/>
      <c r="G41" s="426"/>
      <c r="H41" s="427"/>
      <c r="I41" s="73" t="s">
        <v>125</v>
      </c>
      <c r="J41" s="315">
        <v>0.3</v>
      </c>
      <c r="K41" s="456">
        <v>339648</v>
      </c>
      <c r="L41" s="457"/>
      <c r="M41" s="56">
        <f t="shared" si="0"/>
        <v>101894.39999999999</v>
      </c>
    </row>
    <row r="42" spans="1:13" ht="15.75" thickBot="1">
      <c r="A42" s="410" t="s">
        <v>414</v>
      </c>
      <c r="B42" s="411"/>
      <c r="C42" s="411"/>
      <c r="D42" s="411"/>
      <c r="E42" s="411"/>
      <c r="F42" s="411"/>
      <c r="G42" s="411"/>
      <c r="H42" s="412"/>
      <c r="I42" s="74" t="s">
        <v>11</v>
      </c>
      <c r="J42" s="211">
        <v>0.5</v>
      </c>
      <c r="K42" s="466">
        <v>100900</v>
      </c>
      <c r="L42" s="467"/>
      <c r="M42" s="56">
        <f t="shared" si="0"/>
        <v>50450</v>
      </c>
    </row>
    <row r="43" spans="1:13" ht="15.75" thickBot="1">
      <c r="A43" s="416" t="s">
        <v>87</v>
      </c>
      <c r="B43" s="417"/>
      <c r="C43" s="417"/>
      <c r="D43" s="417"/>
      <c r="E43" s="417"/>
      <c r="F43" s="417"/>
      <c r="G43" s="417"/>
      <c r="H43" s="417"/>
      <c r="I43" s="417"/>
      <c r="J43" s="417"/>
      <c r="K43" s="417"/>
      <c r="L43" s="418"/>
      <c r="M43" s="58">
        <f>SUM(M39:M42)</f>
        <v>473084.4</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311" t="s">
        <v>92</v>
      </c>
      <c r="I47" s="308" t="s">
        <v>93</v>
      </c>
      <c r="J47" s="60" t="s">
        <v>94</v>
      </c>
      <c r="K47" s="421" t="s">
        <v>95</v>
      </c>
      <c r="L47" s="424"/>
      <c r="M47" s="44" t="s">
        <v>85</v>
      </c>
    </row>
    <row r="48" spans="1:13">
      <c r="A48" s="425"/>
      <c r="B48" s="426"/>
      <c r="C48" s="426"/>
      <c r="D48" s="426"/>
      <c r="E48" s="426"/>
      <c r="F48" s="426"/>
      <c r="G48" s="426"/>
      <c r="H48" s="61"/>
      <c r="I48" s="55"/>
      <c r="J48" s="61"/>
      <c r="K48" s="428"/>
      <c r="L48" s="429"/>
    </row>
    <row r="49" spans="1:13" ht="15.75" thickBot="1">
      <c r="A49" s="410"/>
      <c r="B49" s="411"/>
      <c r="C49" s="411"/>
      <c r="D49" s="411"/>
      <c r="E49" s="411"/>
      <c r="F49" s="411"/>
      <c r="G49" s="411"/>
      <c r="H49" s="47"/>
      <c r="I49" s="15"/>
      <c r="J49" s="47"/>
      <c r="K49" s="414"/>
      <c r="L49" s="415"/>
      <c r="M49" s="62"/>
    </row>
    <row r="50" spans="1:13" ht="15.75" thickBot="1">
      <c r="A50" s="416" t="s">
        <v>87</v>
      </c>
      <c r="B50" s="417"/>
      <c r="C50" s="417"/>
      <c r="D50" s="417"/>
      <c r="E50" s="417"/>
      <c r="F50" s="417"/>
      <c r="G50" s="417"/>
      <c r="H50" s="417"/>
      <c r="I50" s="417"/>
      <c r="J50" s="417"/>
      <c r="K50" s="417"/>
      <c r="L50" s="418"/>
      <c r="M50" s="63">
        <f>SUM(M49:M49)</f>
        <v>0</v>
      </c>
    </row>
    <row r="51" spans="1:13">
      <c r="A51" s="30"/>
      <c r="B51" s="19"/>
      <c r="C51" s="19"/>
      <c r="D51" s="19"/>
      <c r="E51" s="19"/>
      <c r="F51" s="19"/>
      <c r="G51" s="19"/>
      <c r="H51" s="19"/>
      <c r="I51" s="19"/>
      <c r="J51" s="19"/>
      <c r="K51" s="19"/>
      <c r="L51" s="19"/>
      <c r="M51" s="24"/>
    </row>
    <row r="52" spans="1:13">
      <c r="A52" s="51" t="s">
        <v>96</v>
      </c>
      <c r="B52" s="52"/>
      <c r="C52" s="52"/>
      <c r="D52" s="52"/>
      <c r="E52" s="52"/>
      <c r="F52" s="52"/>
      <c r="G52" s="52"/>
      <c r="H52" s="52"/>
      <c r="I52" s="52"/>
      <c r="J52" s="52"/>
      <c r="K52" s="52"/>
      <c r="L52" s="52"/>
      <c r="M52" s="53"/>
    </row>
    <row r="53" spans="1:13" ht="15.75" thickBot="1">
      <c r="A53" s="30"/>
      <c r="B53" s="19"/>
      <c r="C53" s="19"/>
      <c r="D53" s="19"/>
      <c r="E53" s="19"/>
      <c r="F53" s="19"/>
      <c r="G53" s="19"/>
      <c r="H53" s="19"/>
      <c r="I53" s="19"/>
      <c r="J53" s="19"/>
      <c r="K53" s="19"/>
      <c r="L53" s="19"/>
      <c r="M53" s="24"/>
    </row>
    <row r="54" spans="1:13" ht="26.25">
      <c r="A54" s="453" t="s">
        <v>97</v>
      </c>
      <c r="B54" s="454"/>
      <c r="C54" s="454"/>
      <c r="D54" s="454"/>
      <c r="E54" s="454"/>
      <c r="F54" s="454"/>
      <c r="G54" s="454"/>
      <c r="H54" s="311" t="s">
        <v>98</v>
      </c>
      <c r="I54" s="312" t="s">
        <v>99</v>
      </c>
      <c r="J54" s="312" t="s">
        <v>100</v>
      </c>
      <c r="K54" s="455" t="s">
        <v>84</v>
      </c>
      <c r="L54" s="455"/>
      <c r="M54" s="65" t="s">
        <v>85</v>
      </c>
    </row>
    <row r="55" spans="1:13">
      <c r="A55" s="425" t="s">
        <v>126</v>
      </c>
      <c r="B55" s="426"/>
      <c r="C55" s="426"/>
      <c r="D55" s="426"/>
      <c r="E55" s="426"/>
      <c r="F55" s="426"/>
      <c r="G55" s="427"/>
      <c r="H55" s="1">
        <v>112923.49999999999</v>
      </c>
      <c r="I55" s="2">
        <v>2.2000000000000002</v>
      </c>
      <c r="J55" s="66">
        <f>(I55*H55)</f>
        <v>248431.69999999998</v>
      </c>
      <c r="K55" s="483">
        <v>1.5</v>
      </c>
      <c r="L55" s="483"/>
      <c r="M55" s="56">
        <f>J55/K55</f>
        <v>165621.13333333333</v>
      </c>
    </row>
    <row r="56" spans="1:13">
      <c r="A56" s="471"/>
      <c r="B56" s="472"/>
      <c r="C56" s="472"/>
      <c r="D56" s="472"/>
      <c r="E56" s="472"/>
      <c r="F56" s="472"/>
      <c r="G56" s="472"/>
      <c r="H56" s="1"/>
      <c r="I56" s="2"/>
      <c r="J56" s="66"/>
      <c r="K56" s="473"/>
      <c r="L56" s="473"/>
      <c r="M56" s="56"/>
    </row>
    <row r="57" spans="1:13" ht="15.75" thickBot="1">
      <c r="A57" s="432"/>
      <c r="B57" s="433"/>
      <c r="C57" s="433"/>
      <c r="D57" s="433"/>
      <c r="E57" s="433"/>
      <c r="F57" s="433"/>
      <c r="G57" s="433"/>
      <c r="H57" s="3"/>
      <c r="I57" s="4"/>
      <c r="J57" s="67"/>
      <c r="K57" s="434"/>
      <c r="L57" s="434"/>
      <c r="M57" s="68"/>
    </row>
    <row r="58" spans="1:13" ht="15.75" thickBot="1">
      <c r="A58" s="435" t="s">
        <v>87</v>
      </c>
      <c r="B58" s="436"/>
      <c r="C58" s="436"/>
      <c r="D58" s="436"/>
      <c r="E58" s="436"/>
      <c r="F58" s="436"/>
      <c r="G58" s="436"/>
      <c r="H58" s="436"/>
      <c r="I58" s="436"/>
      <c r="J58" s="436"/>
      <c r="K58" s="436"/>
      <c r="L58" s="437"/>
      <c r="M58" s="69">
        <f>SUM(M55:M57)</f>
        <v>165621.13333333333</v>
      </c>
    </row>
    <row r="59" spans="1:13" ht="15.75" thickBot="1">
      <c r="A59" s="30"/>
      <c r="B59" s="19"/>
      <c r="C59" s="19"/>
      <c r="D59" s="19"/>
      <c r="E59" s="19"/>
      <c r="F59" s="19"/>
      <c r="G59" s="19"/>
      <c r="H59" s="19"/>
      <c r="I59" s="19"/>
      <c r="J59" s="19"/>
      <c r="K59" s="19"/>
      <c r="L59" s="19"/>
      <c r="M59" s="24"/>
    </row>
    <row r="60" spans="1:13" ht="15.75" thickBot="1">
      <c r="A60" s="416" t="s">
        <v>101</v>
      </c>
      <c r="B60" s="417"/>
      <c r="C60" s="417"/>
      <c r="D60" s="417"/>
      <c r="E60" s="417"/>
      <c r="F60" s="417"/>
      <c r="G60" s="417"/>
      <c r="H60" s="417"/>
      <c r="I60" s="417"/>
      <c r="J60" s="417"/>
      <c r="K60" s="417"/>
      <c r="L60" s="418"/>
      <c r="M60" s="70">
        <f>ROUND(M58+M50+M43+M34,0)</f>
        <v>638706</v>
      </c>
    </row>
    <row r="61" spans="1:13">
      <c r="A61" s="30"/>
      <c r="B61" s="19"/>
      <c r="C61" s="19"/>
      <c r="D61" s="19"/>
      <c r="E61" s="19"/>
      <c r="F61" s="19"/>
      <c r="G61" s="19"/>
      <c r="H61" s="19"/>
      <c r="I61" s="19"/>
      <c r="J61" s="19"/>
      <c r="K61" s="19"/>
      <c r="L61" s="19"/>
      <c r="M61" s="24"/>
    </row>
    <row r="62" spans="1:13">
      <c r="A62" s="51" t="s">
        <v>102</v>
      </c>
      <c r="B62" s="52"/>
      <c r="C62" s="52"/>
      <c r="D62" s="52"/>
      <c r="E62" s="52"/>
      <c r="F62" s="52"/>
      <c r="G62" s="52"/>
      <c r="H62" s="52"/>
      <c r="I62" s="52"/>
      <c r="J62" s="52"/>
      <c r="K62" s="52"/>
      <c r="L62" s="52"/>
      <c r="M62" s="53"/>
    </row>
    <row r="63" spans="1:13" ht="15.75" thickBot="1">
      <c r="A63" s="30"/>
      <c r="B63" s="19"/>
      <c r="C63" s="19"/>
      <c r="D63" s="19"/>
      <c r="E63" s="19"/>
      <c r="F63" s="19"/>
      <c r="G63" s="19"/>
      <c r="H63" s="19"/>
      <c r="I63" s="19"/>
      <c r="J63" s="19"/>
      <c r="K63" s="19"/>
      <c r="L63" s="19"/>
      <c r="M63" s="24"/>
    </row>
    <row r="64" spans="1:13" ht="15.75" thickBot="1">
      <c r="A64" s="438" t="s">
        <v>103</v>
      </c>
      <c r="B64" s="439"/>
      <c r="C64" s="439"/>
      <c r="D64" s="439"/>
      <c r="E64" s="439"/>
      <c r="F64" s="439"/>
      <c r="G64" s="439"/>
      <c r="H64" s="309"/>
      <c r="I64" s="310"/>
      <c r="J64" s="81" t="s">
        <v>104</v>
      </c>
      <c r="K64" s="440" t="s">
        <v>105</v>
      </c>
      <c r="L64" s="441"/>
      <c r="M64" s="82"/>
    </row>
    <row r="65" spans="1:13">
      <c r="A65" s="442" t="s">
        <v>106</v>
      </c>
      <c r="B65" s="443"/>
      <c r="C65" s="443"/>
      <c r="D65" s="443"/>
      <c r="E65" s="443"/>
      <c r="F65" s="443"/>
      <c r="G65" s="443"/>
      <c r="H65" s="83"/>
      <c r="I65" s="84"/>
      <c r="J65" s="85">
        <v>0.19</v>
      </c>
      <c r="K65" s="444">
        <f>M60*J65</f>
        <v>121354.14</v>
      </c>
      <c r="L65" s="444"/>
      <c r="M65" s="86"/>
    </row>
    <row r="66" spans="1:13">
      <c r="A66" s="447" t="s">
        <v>107</v>
      </c>
      <c r="B66" s="448"/>
      <c r="C66" s="448"/>
      <c r="D66" s="448"/>
      <c r="E66" s="448"/>
      <c r="F66" s="448"/>
      <c r="G66" s="449"/>
      <c r="H66" s="77"/>
      <c r="I66" s="78"/>
      <c r="J66" s="5">
        <v>0.01</v>
      </c>
      <c r="K66" s="445">
        <f>M60*J66</f>
        <v>6387.06</v>
      </c>
      <c r="L66" s="445"/>
      <c r="M66" s="6"/>
    </row>
    <row r="67" spans="1:13">
      <c r="A67" s="447" t="s">
        <v>108</v>
      </c>
      <c r="B67" s="448"/>
      <c r="C67" s="448"/>
      <c r="D67" s="448"/>
      <c r="E67" s="448"/>
      <c r="F67" s="448"/>
      <c r="G67" s="449"/>
      <c r="H67" s="77"/>
      <c r="I67" s="78"/>
      <c r="J67" s="5">
        <v>0.05</v>
      </c>
      <c r="K67" s="445">
        <f>M60*J67</f>
        <v>31935.300000000003</v>
      </c>
      <c r="L67" s="445"/>
      <c r="M67" s="6"/>
    </row>
    <row r="68" spans="1:13" ht="15.75" thickBot="1">
      <c r="A68" s="450" t="s">
        <v>117</v>
      </c>
      <c r="B68" s="451"/>
      <c r="C68" s="451"/>
      <c r="D68" s="451"/>
      <c r="E68" s="451"/>
      <c r="F68" s="451"/>
      <c r="G68" s="452"/>
      <c r="H68" s="87"/>
      <c r="I68" s="88"/>
      <c r="J68" s="89">
        <v>0.19</v>
      </c>
      <c r="K68" s="446">
        <f>K67*J68</f>
        <v>6067.7070000000003</v>
      </c>
      <c r="L68" s="446"/>
      <c r="M68" s="90"/>
    </row>
    <row r="69" spans="1:13" ht="15.75" thickBot="1">
      <c r="A69" s="435" t="s">
        <v>87</v>
      </c>
      <c r="B69" s="436"/>
      <c r="C69" s="436"/>
      <c r="D69" s="436"/>
      <c r="E69" s="436"/>
      <c r="F69" s="436"/>
      <c r="G69" s="436"/>
      <c r="H69" s="436"/>
      <c r="I69" s="436"/>
      <c r="J69" s="436"/>
      <c r="K69" s="436"/>
      <c r="L69" s="437"/>
      <c r="M69" s="76">
        <f>SUM(K65:L68)</f>
        <v>165744.20699999999</v>
      </c>
    </row>
    <row r="70" spans="1:13" ht="15.75" thickBot="1">
      <c r="A70" s="30"/>
      <c r="B70" s="19"/>
      <c r="C70" s="19"/>
      <c r="D70" s="19"/>
      <c r="E70" s="19"/>
      <c r="F70" s="19"/>
      <c r="G70" s="19"/>
      <c r="H70" s="19"/>
      <c r="I70" s="19"/>
      <c r="J70" s="19"/>
      <c r="K70" s="19"/>
      <c r="L70" s="19"/>
      <c r="M70" s="24"/>
    </row>
    <row r="71" spans="1:13" ht="15.75" thickBot="1">
      <c r="A71" s="416" t="s">
        <v>109</v>
      </c>
      <c r="B71" s="417"/>
      <c r="C71" s="417"/>
      <c r="D71" s="417"/>
      <c r="E71" s="417"/>
      <c r="F71" s="417"/>
      <c r="G71" s="417"/>
      <c r="H71" s="417"/>
      <c r="I71" s="417"/>
      <c r="J71" s="417"/>
      <c r="K71" s="417"/>
      <c r="L71" s="418"/>
      <c r="M71" s="71">
        <f>ROUND(M60+M69,0)</f>
        <v>804450</v>
      </c>
    </row>
  </sheetData>
  <mergeCells count="7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G56"/>
    <mergeCell ref="K56:L56"/>
    <mergeCell ref="A57:G57"/>
    <mergeCell ref="K57:L57"/>
    <mergeCell ref="A58:L58"/>
    <mergeCell ref="A60:L60"/>
    <mergeCell ref="A64:G64"/>
    <mergeCell ref="K64:L64"/>
    <mergeCell ref="A65:G65"/>
    <mergeCell ref="K65:L65"/>
    <mergeCell ref="A69:L69"/>
    <mergeCell ref="A71:L71"/>
    <mergeCell ref="A66:G66"/>
    <mergeCell ref="K66:L66"/>
    <mergeCell ref="A67:G67"/>
    <mergeCell ref="K67:L67"/>
    <mergeCell ref="A68:G68"/>
    <mergeCell ref="K68:L68"/>
  </mergeCells>
  <pageMargins left="0.7" right="0.7" top="0.75" bottom="0.75" header="0.3" footer="0.3"/>
  <pageSetup scale="56"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view="pageBreakPreview" topLeftCell="A49" zoomScale="80" zoomScaleNormal="100" zoomScaleSheetLayoutView="80" workbookViewId="0">
      <selection activeCell="M60" sqref="M60"/>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313"/>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314" t="s">
        <v>71</v>
      </c>
      <c r="H12" s="394"/>
      <c r="I12" s="394"/>
      <c r="J12" s="23"/>
      <c r="K12" s="23"/>
      <c r="L12" s="23"/>
      <c r="M12" s="24"/>
    </row>
    <row r="13" spans="1:13">
      <c r="A13" s="25" t="s">
        <v>72</v>
      </c>
      <c r="B13" s="26"/>
      <c r="C13" s="555"/>
      <c r="D13" s="556"/>
      <c r="E13" s="556"/>
      <c r="F13" s="556"/>
      <c r="G13" s="556"/>
      <c r="H13" s="556"/>
      <c r="I13" s="556"/>
      <c r="J13" s="556"/>
      <c r="K13" s="556"/>
      <c r="L13" s="556"/>
      <c r="M13" s="557"/>
    </row>
    <row r="14" spans="1:13">
      <c r="A14" s="25"/>
      <c r="B14" s="26"/>
      <c r="C14" s="394"/>
      <c r="D14" s="394"/>
      <c r="E14" s="394"/>
      <c r="F14" s="394"/>
      <c r="G14" s="394"/>
      <c r="H14" s="394"/>
      <c r="I14" s="394"/>
      <c r="J14" s="394"/>
      <c r="K14" s="394"/>
      <c r="L14" s="394"/>
      <c r="M14" s="558"/>
    </row>
    <row r="15" spans="1:13">
      <c r="A15" s="25"/>
      <c r="B15" s="26"/>
      <c r="C15" s="316"/>
      <c r="D15" s="316"/>
      <c r="E15" s="316"/>
      <c r="F15" s="316"/>
      <c r="G15" s="316"/>
      <c r="H15" s="316"/>
      <c r="I15" s="316"/>
      <c r="J15" s="316"/>
      <c r="K15" s="316"/>
      <c r="L15" s="316"/>
      <c r="M15" s="317"/>
    </row>
    <row r="16" spans="1:13">
      <c r="A16" s="25" t="s">
        <v>73</v>
      </c>
      <c r="B16" s="26"/>
      <c r="C16" s="379"/>
      <c r="D16" s="379"/>
      <c r="E16" s="379"/>
      <c r="F16" s="379"/>
      <c r="G16" s="379"/>
      <c r="H16" s="379"/>
      <c r="I16" s="379"/>
      <c r="J16" s="379"/>
      <c r="K16" s="379"/>
      <c r="L16" s="379"/>
      <c r="M16" s="380"/>
    </row>
    <row r="17" spans="1:19">
      <c r="A17" s="25"/>
      <c r="B17" s="26"/>
      <c r="C17" s="314"/>
      <c r="D17" s="314"/>
      <c r="E17" s="314"/>
      <c r="F17" s="314"/>
      <c r="G17" s="314"/>
      <c r="H17" s="314"/>
      <c r="I17" s="314"/>
      <c r="J17" s="314"/>
      <c r="K17" s="314"/>
      <c r="L17" s="314"/>
      <c r="M17" s="13"/>
    </row>
    <row r="18" spans="1:19">
      <c r="A18" s="25" t="s">
        <v>74</v>
      </c>
      <c r="B18" s="26"/>
      <c r="C18" s="379"/>
      <c r="D18" s="379"/>
      <c r="E18" s="379"/>
      <c r="F18" s="379"/>
      <c r="G18" s="379"/>
      <c r="H18" s="379"/>
      <c r="I18" s="379"/>
      <c r="J18" s="379"/>
      <c r="K18" s="379"/>
      <c r="L18" s="379"/>
      <c r="M18" s="380"/>
    </row>
    <row r="19" spans="1:19">
      <c r="A19" s="25"/>
      <c r="B19" s="26"/>
      <c r="C19" s="314"/>
      <c r="D19" s="314"/>
      <c r="E19" s="314"/>
      <c r="F19" s="314"/>
      <c r="G19" s="314"/>
      <c r="H19" s="314"/>
      <c r="I19" s="314"/>
      <c r="J19" s="314"/>
      <c r="K19" s="314"/>
      <c r="L19" s="314"/>
      <c r="M19" s="13"/>
    </row>
    <row r="20" spans="1:19" ht="31.5" customHeight="1">
      <c r="A20" s="464" t="s">
        <v>113</v>
      </c>
      <c r="B20" s="465"/>
      <c r="C20" s="379"/>
      <c r="D20" s="379"/>
      <c r="E20" s="379"/>
      <c r="F20" s="379"/>
      <c r="G20" s="379"/>
      <c r="H20" s="379"/>
      <c r="I20" s="379"/>
      <c r="J20" s="379"/>
      <c r="K20" s="379"/>
      <c r="L20" s="379"/>
      <c r="M20" s="380"/>
    </row>
    <row r="21" spans="1:19">
      <c r="A21" s="400"/>
      <c r="B21" s="401"/>
      <c r="C21" s="314"/>
      <c r="D21" s="314"/>
      <c r="E21" s="314"/>
      <c r="F21" s="314"/>
      <c r="G21" s="314"/>
      <c r="H21" s="314"/>
      <c r="I21" s="314"/>
      <c r="J21" s="314"/>
      <c r="K21" s="314"/>
      <c r="L21" s="31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306" t="s">
        <v>78</v>
      </c>
      <c r="K25" s="408" t="s">
        <v>79</v>
      </c>
      <c r="L25" s="409"/>
      <c r="M25" s="31" t="s">
        <v>80</v>
      </c>
    </row>
    <row r="26" spans="1:19" ht="55.5" customHeight="1" thickBot="1">
      <c r="A26" s="33"/>
      <c r="B26" s="509" t="s">
        <v>377</v>
      </c>
      <c r="C26" s="510"/>
      <c r="D26" s="510"/>
      <c r="E26" s="510"/>
      <c r="F26" s="510"/>
      <c r="G26" s="510"/>
      <c r="H26" s="510"/>
      <c r="I26" s="511"/>
      <c r="J26" s="305">
        <v>1</v>
      </c>
      <c r="K26" s="391" t="s">
        <v>9</v>
      </c>
      <c r="L26" s="393"/>
      <c r="M26" s="35"/>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311" t="s">
        <v>83</v>
      </c>
      <c r="K30" s="421" t="s">
        <v>84</v>
      </c>
      <c r="L30" s="424"/>
      <c r="M30" s="44" t="s">
        <v>85</v>
      </c>
    </row>
    <row r="31" spans="1:19" ht="15.75" thickBot="1">
      <c r="A31" s="425"/>
      <c r="B31" s="426"/>
      <c r="C31" s="426"/>
      <c r="D31" s="426"/>
      <c r="E31" s="427"/>
      <c r="F31" s="428"/>
      <c r="G31" s="429"/>
      <c r="H31" s="430"/>
      <c r="I31" s="427"/>
      <c r="J31" s="72"/>
      <c r="K31" s="428"/>
      <c r="L31" s="429"/>
      <c r="M31" s="231">
        <f>K31*J31</f>
        <v>0</v>
      </c>
      <c r="N31" s="489"/>
      <c r="O31" s="490"/>
      <c r="P31" s="95"/>
      <c r="Q31" s="96"/>
      <c r="R31" s="97"/>
      <c r="S31" s="98"/>
    </row>
    <row r="32" spans="1:19">
      <c r="A32" s="425"/>
      <c r="B32" s="426"/>
      <c r="C32" s="426"/>
      <c r="D32" s="426"/>
      <c r="E32" s="427"/>
      <c r="F32" s="428"/>
      <c r="G32" s="429"/>
      <c r="H32" s="430"/>
      <c r="I32" s="427"/>
      <c r="J32" s="72"/>
      <c r="K32" s="428"/>
      <c r="L32" s="429"/>
      <c r="M32" s="46"/>
    </row>
    <row r="33" spans="1:13" ht="15.75" thickBot="1">
      <c r="A33" s="410"/>
      <c r="B33" s="411"/>
      <c r="C33" s="411"/>
      <c r="D33" s="411"/>
      <c r="E33" s="412"/>
      <c r="F33" s="414"/>
      <c r="G33" s="415"/>
      <c r="H33" s="413"/>
      <c r="I33" s="412"/>
      <c r="J33" s="91"/>
      <c r="K33" s="414"/>
      <c r="L33" s="415"/>
      <c r="M33" s="46"/>
    </row>
    <row r="34" spans="1:13" ht="15.75" thickBot="1">
      <c r="A34" s="416" t="s">
        <v>87</v>
      </c>
      <c r="B34" s="417"/>
      <c r="C34" s="417"/>
      <c r="D34" s="417"/>
      <c r="E34" s="417"/>
      <c r="F34" s="417"/>
      <c r="G34" s="417"/>
      <c r="H34" s="417"/>
      <c r="I34" s="417"/>
      <c r="J34" s="417"/>
      <c r="K34" s="417"/>
      <c r="L34" s="418"/>
      <c r="M34" s="232">
        <f>SUM(M31:M33)</f>
        <v>0</v>
      </c>
    </row>
    <row r="35" spans="1:13">
      <c r="A35" s="50"/>
      <c r="B35" s="19"/>
      <c r="C35" s="19"/>
      <c r="D35" s="19"/>
      <c r="E35" s="19"/>
      <c r="F35" s="19"/>
      <c r="G35" s="19"/>
      <c r="H35" s="19"/>
      <c r="I35" s="19"/>
      <c r="J35" s="19"/>
      <c r="K35" s="19"/>
      <c r="L35" s="19"/>
      <c r="M35" s="24"/>
    </row>
    <row r="36" spans="1:13">
      <c r="A36" s="51" t="s">
        <v>88</v>
      </c>
      <c r="B36" s="52"/>
      <c r="C36" s="52"/>
      <c r="D36" s="52"/>
      <c r="E36" s="52"/>
      <c r="F36" s="52"/>
      <c r="G36" s="52"/>
      <c r="H36" s="52"/>
      <c r="I36" s="52"/>
      <c r="J36" s="52"/>
      <c r="K36" s="52"/>
      <c r="L36" s="52"/>
      <c r="M36" s="53"/>
    </row>
    <row r="37" spans="1:13" ht="15.75" thickBot="1">
      <c r="A37" s="14"/>
      <c r="B37" s="15"/>
      <c r="C37" s="15"/>
      <c r="D37" s="15"/>
      <c r="E37" s="15"/>
      <c r="F37" s="15"/>
      <c r="G37" s="15"/>
      <c r="H37" s="15"/>
      <c r="I37" s="19"/>
      <c r="J37" s="19"/>
      <c r="K37" s="19"/>
      <c r="L37" s="19"/>
      <c r="M37" s="24"/>
    </row>
    <row r="38" spans="1:13">
      <c r="A38" s="408" t="s">
        <v>77</v>
      </c>
      <c r="B38" s="431"/>
      <c r="C38" s="431"/>
      <c r="D38" s="431"/>
      <c r="E38" s="431"/>
      <c r="F38" s="431"/>
      <c r="G38" s="431"/>
      <c r="H38" s="424"/>
      <c r="I38" s="307" t="s">
        <v>79</v>
      </c>
      <c r="J38" s="311" t="s">
        <v>80</v>
      </c>
      <c r="K38" s="421" t="s">
        <v>89</v>
      </c>
      <c r="L38" s="424"/>
      <c r="M38" s="44" t="s">
        <v>85</v>
      </c>
    </row>
    <row r="39" spans="1:13" ht="62.25" customHeight="1">
      <c r="A39" s="516" t="s">
        <v>415</v>
      </c>
      <c r="B39" s="559"/>
      <c r="C39" s="559"/>
      <c r="D39" s="559"/>
      <c r="E39" s="559"/>
      <c r="F39" s="559"/>
      <c r="G39" s="559"/>
      <c r="H39" s="560"/>
      <c r="I39" s="73" t="s">
        <v>9</v>
      </c>
      <c r="J39" s="315">
        <v>1</v>
      </c>
      <c r="K39" s="456">
        <v>745534</v>
      </c>
      <c r="L39" s="457"/>
      <c r="M39" s="56">
        <f t="shared" ref="M39:M42" si="0">K39*J39</f>
        <v>745534</v>
      </c>
    </row>
    <row r="40" spans="1:13">
      <c r="A40" s="425" t="s">
        <v>416</v>
      </c>
      <c r="B40" s="426"/>
      <c r="C40" s="426"/>
      <c r="D40" s="426"/>
      <c r="E40" s="426"/>
      <c r="F40" s="426"/>
      <c r="G40" s="426"/>
      <c r="H40" s="427"/>
      <c r="I40" s="73" t="s">
        <v>11</v>
      </c>
      <c r="J40" s="315">
        <v>0.5</v>
      </c>
      <c r="K40" s="456">
        <v>367821</v>
      </c>
      <c r="L40" s="457"/>
      <c r="M40" s="56">
        <f t="shared" si="0"/>
        <v>183910.5</v>
      </c>
    </row>
    <row r="41" spans="1:13">
      <c r="A41" s="425"/>
      <c r="B41" s="426"/>
      <c r="C41" s="426"/>
      <c r="D41" s="426"/>
      <c r="E41" s="426"/>
      <c r="F41" s="426"/>
      <c r="G41" s="426"/>
      <c r="H41" s="427"/>
      <c r="I41" s="73"/>
      <c r="J41" s="315"/>
      <c r="K41" s="456">
        <v>0</v>
      </c>
      <c r="L41" s="457"/>
      <c r="M41" s="56">
        <f t="shared" si="0"/>
        <v>0</v>
      </c>
    </row>
    <row r="42" spans="1:13" ht="15.75" thickBot="1">
      <c r="A42" s="410"/>
      <c r="B42" s="411"/>
      <c r="C42" s="411"/>
      <c r="D42" s="411"/>
      <c r="E42" s="411"/>
      <c r="F42" s="411"/>
      <c r="G42" s="411"/>
      <c r="H42" s="412"/>
      <c r="I42" s="74"/>
      <c r="J42" s="211"/>
      <c r="K42" s="466">
        <v>0</v>
      </c>
      <c r="L42" s="467"/>
      <c r="M42" s="56">
        <f t="shared" si="0"/>
        <v>0</v>
      </c>
    </row>
    <row r="43" spans="1:13" ht="15.75" thickBot="1">
      <c r="A43" s="416" t="s">
        <v>87</v>
      </c>
      <c r="B43" s="417"/>
      <c r="C43" s="417"/>
      <c r="D43" s="417"/>
      <c r="E43" s="417"/>
      <c r="F43" s="417"/>
      <c r="G43" s="417"/>
      <c r="H43" s="417"/>
      <c r="I43" s="417"/>
      <c r="J43" s="417"/>
      <c r="K43" s="417"/>
      <c r="L43" s="418"/>
      <c r="M43" s="58">
        <f>SUM(M39:M42)</f>
        <v>929444.5</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311" t="s">
        <v>92</v>
      </c>
      <c r="I47" s="308" t="s">
        <v>93</v>
      </c>
      <c r="J47" s="60" t="s">
        <v>94</v>
      </c>
      <c r="K47" s="421" t="s">
        <v>95</v>
      </c>
      <c r="L47" s="424"/>
      <c r="M47" s="44" t="s">
        <v>85</v>
      </c>
    </row>
    <row r="48" spans="1:13">
      <c r="A48" s="425"/>
      <c r="B48" s="426"/>
      <c r="C48" s="426"/>
      <c r="D48" s="426"/>
      <c r="E48" s="426"/>
      <c r="F48" s="426"/>
      <c r="G48" s="426"/>
      <c r="H48" s="61"/>
      <c r="I48" s="55"/>
      <c r="J48" s="61"/>
      <c r="K48" s="428"/>
      <c r="L48" s="429"/>
    </row>
    <row r="49" spans="1:13" ht="15.75" thickBot="1">
      <c r="A49" s="410"/>
      <c r="B49" s="411"/>
      <c r="C49" s="411"/>
      <c r="D49" s="411"/>
      <c r="E49" s="411"/>
      <c r="F49" s="411"/>
      <c r="G49" s="411"/>
      <c r="H49" s="47"/>
      <c r="I49" s="15"/>
      <c r="J49" s="47"/>
      <c r="K49" s="414"/>
      <c r="L49" s="415"/>
      <c r="M49" s="62"/>
    </row>
    <row r="50" spans="1:13" ht="15.75" thickBot="1">
      <c r="A50" s="416" t="s">
        <v>87</v>
      </c>
      <c r="B50" s="417"/>
      <c r="C50" s="417"/>
      <c r="D50" s="417"/>
      <c r="E50" s="417"/>
      <c r="F50" s="417"/>
      <c r="G50" s="417"/>
      <c r="H50" s="417"/>
      <c r="I50" s="417"/>
      <c r="J50" s="417"/>
      <c r="K50" s="417"/>
      <c r="L50" s="418"/>
      <c r="M50" s="63">
        <f>SUM(M49:M49)</f>
        <v>0</v>
      </c>
    </row>
    <row r="51" spans="1:13">
      <c r="A51" s="30"/>
      <c r="B51" s="19"/>
      <c r="C51" s="19"/>
      <c r="D51" s="19"/>
      <c r="E51" s="19"/>
      <c r="F51" s="19"/>
      <c r="G51" s="19"/>
      <c r="H51" s="19"/>
      <c r="I51" s="19"/>
      <c r="J51" s="19"/>
      <c r="K51" s="19"/>
      <c r="L51" s="19"/>
      <c r="M51" s="24"/>
    </row>
    <row r="52" spans="1:13">
      <c r="A52" s="51" t="s">
        <v>96</v>
      </c>
      <c r="B52" s="52"/>
      <c r="C52" s="52"/>
      <c r="D52" s="52"/>
      <c r="E52" s="52"/>
      <c r="F52" s="52"/>
      <c r="G52" s="52"/>
      <c r="H52" s="52"/>
      <c r="I52" s="52"/>
      <c r="J52" s="52"/>
      <c r="K52" s="52"/>
      <c r="L52" s="52"/>
      <c r="M52" s="53"/>
    </row>
    <row r="53" spans="1:13" ht="15.75" thickBot="1">
      <c r="A53" s="30"/>
      <c r="B53" s="19"/>
      <c r="C53" s="19"/>
      <c r="D53" s="19"/>
      <c r="E53" s="19"/>
      <c r="F53" s="19"/>
      <c r="G53" s="19"/>
      <c r="H53" s="19"/>
      <c r="I53" s="19"/>
      <c r="J53" s="19"/>
      <c r="K53" s="19"/>
      <c r="L53" s="19"/>
      <c r="M53" s="24"/>
    </row>
    <row r="54" spans="1:13" ht="26.25">
      <c r="A54" s="453" t="s">
        <v>97</v>
      </c>
      <c r="B54" s="454"/>
      <c r="C54" s="454"/>
      <c r="D54" s="454"/>
      <c r="E54" s="454"/>
      <c r="F54" s="454"/>
      <c r="G54" s="454"/>
      <c r="H54" s="311" t="s">
        <v>98</v>
      </c>
      <c r="I54" s="312" t="s">
        <v>99</v>
      </c>
      <c r="J54" s="312" t="s">
        <v>100</v>
      </c>
      <c r="K54" s="455" t="s">
        <v>84</v>
      </c>
      <c r="L54" s="455"/>
      <c r="M54" s="65" t="s">
        <v>85</v>
      </c>
    </row>
    <row r="55" spans="1:13">
      <c r="A55" s="425" t="s">
        <v>126</v>
      </c>
      <c r="B55" s="426"/>
      <c r="C55" s="426"/>
      <c r="D55" s="426"/>
      <c r="E55" s="426"/>
      <c r="F55" s="426"/>
      <c r="G55" s="427"/>
      <c r="H55" s="1">
        <v>112923.49999999999</v>
      </c>
      <c r="I55" s="2">
        <v>2.2000000000000002</v>
      </c>
      <c r="J55" s="66">
        <f>(I55*H55)</f>
        <v>248431.69999999998</v>
      </c>
      <c r="K55" s="483">
        <v>1.5</v>
      </c>
      <c r="L55" s="483"/>
      <c r="M55" s="56">
        <f>J55/K55</f>
        <v>165621.13333333333</v>
      </c>
    </row>
    <row r="56" spans="1:13">
      <c r="A56" s="471"/>
      <c r="B56" s="472"/>
      <c r="C56" s="472"/>
      <c r="D56" s="472"/>
      <c r="E56" s="472"/>
      <c r="F56" s="472"/>
      <c r="G56" s="472"/>
      <c r="H56" s="1"/>
      <c r="I56" s="2"/>
      <c r="J56" s="66"/>
      <c r="K56" s="473"/>
      <c r="L56" s="473"/>
      <c r="M56" s="56"/>
    </row>
    <row r="57" spans="1:13" ht="15.75" thickBot="1">
      <c r="A57" s="432"/>
      <c r="B57" s="433"/>
      <c r="C57" s="433"/>
      <c r="D57" s="433"/>
      <c r="E57" s="433"/>
      <c r="F57" s="433"/>
      <c r="G57" s="433"/>
      <c r="H57" s="3"/>
      <c r="I57" s="4"/>
      <c r="J57" s="67"/>
      <c r="K57" s="434"/>
      <c r="L57" s="434"/>
      <c r="M57" s="68"/>
    </row>
    <row r="58" spans="1:13" ht="15.75" thickBot="1">
      <c r="A58" s="435" t="s">
        <v>87</v>
      </c>
      <c r="B58" s="436"/>
      <c r="C58" s="436"/>
      <c r="D58" s="436"/>
      <c r="E58" s="436"/>
      <c r="F58" s="436"/>
      <c r="G58" s="436"/>
      <c r="H58" s="436"/>
      <c r="I58" s="436"/>
      <c r="J58" s="436"/>
      <c r="K58" s="436"/>
      <c r="L58" s="437"/>
      <c r="M58" s="69">
        <f>SUM(M55:M57)</f>
        <v>165621.13333333333</v>
      </c>
    </row>
    <row r="59" spans="1:13" ht="15.75" thickBot="1">
      <c r="A59" s="30"/>
      <c r="B59" s="19"/>
      <c r="C59" s="19"/>
      <c r="D59" s="19"/>
      <c r="E59" s="19"/>
      <c r="F59" s="19"/>
      <c r="G59" s="19"/>
      <c r="H59" s="19"/>
      <c r="I59" s="19"/>
      <c r="J59" s="19"/>
      <c r="K59" s="19"/>
      <c r="L59" s="19"/>
      <c r="M59" s="24"/>
    </row>
    <row r="60" spans="1:13" ht="15.75" thickBot="1">
      <c r="A60" s="416" t="s">
        <v>101</v>
      </c>
      <c r="B60" s="417"/>
      <c r="C60" s="417"/>
      <c r="D60" s="417"/>
      <c r="E60" s="417"/>
      <c r="F60" s="417"/>
      <c r="G60" s="417"/>
      <c r="H60" s="417"/>
      <c r="I60" s="417"/>
      <c r="J60" s="417"/>
      <c r="K60" s="417"/>
      <c r="L60" s="418"/>
      <c r="M60" s="70">
        <f>ROUND(M58+M50+M43+M34,0)</f>
        <v>1095066</v>
      </c>
    </row>
    <row r="61" spans="1:13">
      <c r="A61" s="30"/>
      <c r="B61" s="19"/>
      <c r="C61" s="19"/>
      <c r="D61" s="19"/>
      <c r="E61" s="19"/>
      <c r="F61" s="19"/>
      <c r="G61" s="19"/>
      <c r="H61" s="19"/>
      <c r="I61" s="19"/>
      <c r="J61" s="19"/>
      <c r="K61" s="19"/>
      <c r="L61" s="19"/>
      <c r="M61" s="24"/>
    </row>
    <row r="62" spans="1:13">
      <c r="A62" s="51" t="s">
        <v>102</v>
      </c>
      <c r="B62" s="52"/>
      <c r="C62" s="52"/>
      <c r="D62" s="52"/>
      <c r="E62" s="52"/>
      <c r="F62" s="52"/>
      <c r="G62" s="52"/>
      <c r="H62" s="52"/>
      <c r="I62" s="52"/>
      <c r="J62" s="52"/>
      <c r="K62" s="52"/>
      <c r="L62" s="52"/>
      <c r="M62" s="53"/>
    </row>
    <row r="63" spans="1:13" ht="15.75" thickBot="1">
      <c r="A63" s="30"/>
      <c r="B63" s="19"/>
      <c r="C63" s="19"/>
      <c r="D63" s="19"/>
      <c r="E63" s="19"/>
      <c r="F63" s="19"/>
      <c r="G63" s="19"/>
      <c r="H63" s="19"/>
      <c r="I63" s="19"/>
      <c r="J63" s="19"/>
      <c r="K63" s="19"/>
      <c r="L63" s="19"/>
      <c r="M63" s="24"/>
    </row>
    <row r="64" spans="1:13" ht="15.75" thickBot="1">
      <c r="A64" s="438" t="s">
        <v>103</v>
      </c>
      <c r="B64" s="439"/>
      <c r="C64" s="439"/>
      <c r="D64" s="439"/>
      <c r="E64" s="439"/>
      <c r="F64" s="439"/>
      <c r="G64" s="439"/>
      <c r="H64" s="309"/>
      <c r="I64" s="310"/>
      <c r="J64" s="81" t="s">
        <v>104</v>
      </c>
      <c r="K64" s="440" t="s">
        <v>105</v>
      </c>
      <c r="L64" s="441"/>
      <c r="M64" s="82"/>
    </row>
    <row r="65" spans="1:13">
      <c r="A65" s="442" t="s">
        <v>106</v>
      </c>
      <c r="B65" s="443"/>
      <c r="C65" s="443"/>
      <c r="D65" s="443"/>
      <c r="E65" s="443"/>
      <c r="F65" s="443"/>
      <c r="G65" s="443"/>
      <c r="H65" s="83"/>
      <c r="I65" s="84"/>
      <c r="J65" s="85">
        <v>0.19</v>
      </c>
      <c r="K65" s="444">
        <f>M60*J65</f>
        <v>208062.54</v>
      </c>
      <c r="L65" s="444"/>
      <c r="M65" s="86"/>
    </row>
    <row r="66" spans="1:13">
      <c r="A66" s="447" t="s">
        <v>107</v>
      </c>
      <c r="B66" s="448"/>
      <c r="C66" s="448"/>
      <c r="D66" s="448"/>
      <c r="E66" s="448"/>
      <c r="F66" s="448"/>
      <c r="G66" s="449"/>
      <c r="H66" s="77"/>
      <c r="I66" s="78"/>
      <c r="J66" s="5">
        <v>0.01</v>
      </c>
      <c r="K66" s="445">
        <f>M60*J66</f>
        <v>10950.66</v>
      </c>
      <c r="L66" s="445"/>
      <c r="M66" s="6"/>
    </row>
    <row r="67" spans="1:13">
      <c r="A67" s="447" t="s">
        <v>108</v>
      </c>
      <c r="B67" s="448"/>
      <c r="C67" s="448"/>
      <c r="D67" s="448"/>
      <c r="E67" s="448"/>
      <c r="F67" s="448"/>
      <c r="G67" s="449"/>
      <c r="H67" s="77"/>
      <c r="I67" s="78"/>
      <c r="J67" s="5">
        <v>0.05</v>
      </c>
      <c r="K67" s="445">
        <f>M60*J67</f>
        <v>54753.3</v>
      </c>
      <c r="L67" s="445"/>
      <c r="M67" s="6"/>
    </row>
    <row r="68" spans="1:13" ht="15.75" thickBot="1">
      <c r="A68" s="450" t="s">
        <v>117</v>
      </c>
      <c r="B68" s="451"/>
      <c r="C68" s="451"/>
      <c r="D68" s="451"/>
      <c r="E68" s="451"/>
      <c r="F68" s="451"/>
      <c r="G68" s="452"/>
      <c r="H68" s="87"/>
      <c r="I68" s="88"/>
      <c r="J68" s="89">
        <v>0.19</v>
      </c>
      <c r="K68" s="446">
        <f>K67*J68</f>
        <v>10403.127</v>
      </c>
      <c r="L68" s="446"/>
      <c r="M68" s="90"/>
    </row>
    <row r="69" spans="1:13" ht="15.75" thickBot="1">
      <c r="A69" s="435" t="s">
        <v>87</v>
      </c>
      <c r="B69" s="436"/>
      <c r="C69" s="436"/>
      <c r="D69" s="436"/>
      <c r="E69" s="436"/>
      <c r="F69" s="436"/>
      <c r="G69" s="436"/>
      <c r="H69" s="436"/>
      <c r="I69" s="436"/>
      <c r="J69" s="436"/>
      <c r="K69" s="436"/>
      <c r="L69" s="437"/>
      <c r="M69" s="76">
        <f>SUM(K65:L68)</f>
        <v>284169.62699999998</v>
      </c>
    </row>
    <row r="70" spans="1:13" ht="15.75" thickBot="1">
      <c r="A70" s="30"/>
      <c r="B70" s="19"/>
      <c r="C70" s="19"/>
      <c r="D70" s="19"/>
      <c r="E70" s="19"/>
      <c r="F70" s="19"/>
      <c r="G70" s="19"/>
      <c r="H70" s="19"/>
      <c r="I70" s="19"/>
      <c r="J70" s="19"/>
      <c r="K70" s="19"/>
      <c r="L70" s="19"/>
      <c r="M70" s="24"/>
    </row>
    <row r="71" spans="1:13" ht="15.75" thickBot="1">
      <c r="A71" s="416" t="s">
        <v>109</v>
      </c>
      <c r="B71" s="417"/>
      <c r="C71" s="417"/>
      <c r="D71" s="417"/>
      <c r="E71" s="417"/>
      <c r="F71" s="417"/>
      <c r="G71" s="417"/>
      <c r="H71" s="417"/>
      <c r="I71" s="417"/>
      <c r="J71" s="417"/>
      <c r="K71" s="417"/>
      <c r="L71" s="418"/>
      <c r="M71" s="71">
        <f>ROUND(M60+M69,0)</f>
        <v>1379236</v>
      </c>
    </row>
  </sheetData>
  <mergeCells count="7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G56"/>
    <mergeCell ref="K56:L56"/>
    <mergeCell ref="A57:G57"/>
    <mergeCell ref="K57:L57"/>
    <mergeCell ref="A58:L58"/>
    <mergeCell ref="A60:L60"/>
    <mergeCell ref="A64:G64"/>
    <mergeCell ref="K64:L64"/>
    <mergeCell ref="A65:G65"/>
    <mergeCell ref="K65:L65"/>
    <mergeCell ref="A69:L69"/>
    <mergeCell ref="A71:L71"/>
    <mergeCell ref="A66:G66"/>
    <mergeCell ref="K66:L66"/>
    <mergeCell ref="A67:G67"/>
    <mergeCell ref="K67:L67"/>
    <mergeCell ref="A68:G68"/>
    <mergeCell ref="K68:L68"/>
  </mergeCells>
  <pageMargins left="0.7" right="0.7" top="0.75" bottom="0.75" header="0.3" footer="0.3"/>
  <pageSetup scale="56"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view="pageBreakPreview" topLeftCell="A55" zoomScale="80" zoomScaleNormal="100" zoomScaleSheetLayoutView="80" workbookViewId="0">
      <selection activeCell="M60" sqref="M60"/>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313"/>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314" t="s">
        <v>71</v>
      </c>
      <c r="H12" s="394"/>
      <c r="I12" s="394"/>
      <c r="J12" s="23"/>
      <c r="K12" s="23"/>
      <c r="L12" s="23"/>
      <c r="M12" s="24"/>
    </row>
    <row r="13" spans="1:13">
      <c r="A13" s="25" t="s">
        <v>72</v>
      </c>
      <c r="B13" s="26"/>
      <c r="C13" s="555"/>
      <c r="D13" s="556"/>
      <c r="E13" s="556"/>
      <c r="F13" s="556"/>
      <c r="G13" s="556"/>
      <c r="H13" s="556"/>
      <c r="I13" s="556"/>
      <c r="J13" s="556"/>
      <c r="K13" s="556"/>
      <c r="L13" s="556"/>
      <c r="M13" s="557"/>
    </row>
    <row r="14" spans="1:13">
      <c r="A14" s="25"/>
      <c r="B14" s="26"/>
      <c r="C14" s="394"/>
      <c r="D14" s="394"/>
      <c r="E14" s="394"/>
      <c r="F14" s="394"/>
      <c r="G14" s="394"/>
      <c r="H14" s="394"/>
      <c r="I14" s="394"/>
      <c r="J14" s="394"/>
      <c r="K14" s="394"/>
      <c r="L14" s="394"/>
      <c r="M14" s="558"/>
    </row>
    <row r="15" spans="1:13">
      <c r="A15" s="25"/>
      <c r="B15" s="26"/>
      <c r="C15" s="316"/>
      <c r="D15" s="316"/>
      <c r="E15" s="316"/>
      <c r="F15" s="316"/>
      <c r="G15" s="316"/>
      <c r="H15" s="316"/>
      <c r="I15" s="316"/>
      <c r="J15" s="316"/>
      <c r="K15" s="316"/>
      <c r="L15" s="316"/>
      <c r="M15" s="317"/>
    </row>
    <row r="16" spans="1:13">
      <c r="A16" s="25" t="s">
        <v>73</v>
      </c>
      <c r="B16" s="26"/>
      <c r="C16" s="379"/>
      <c r="D16" s="379"/>
      <c r="E16" s="379"/>
      <c r="F16" s="379"/>
      <c r="G16" s="379"/>
      <c r="H16" s="379"/>
      <c r="I16" s="379"/>
      <c r="J16" s="379"/>
      <c r="K16" s="379"/>
      <c r="L16" s="379"/>
      <c r="M16" s="380"/>
    </row>
    <row r="17" spans="1:19">
      <c r="A17" s="25"/>
      <c r="B17" s="26"/>
      <c r="C17" s="314"/>
      <c r="D17" s="314"/>
      <c r="E17" s="314"/>
      <c r="F17" s="314"/>
      <c r="G17" s="314"/>
      <c r="H17" s="314"/>
      <c r="I17" s="314"/>
      <c r="J17" s="314"/>
      <c r="K17" s="314"/>
      <c r="L17" s="314"/>
      <c r="M17" s="13"/>
    </row>
    <row r="18" spans="1:19">
      <c r="A18" s="25" t="s">
        <v>74</v>
      </c>
      <c r="B18" s="26"/>
      <c r="C18" s="379"/>
      <c r="D18" s="379"/>
      <c r="E18" s="379"/>
      <c r="F18" s="379"/>
      <c r="G18" s="379"/>
      <c r="H18" s="379"/>
      <c r="I18" s="379"/>
      <c r="J18" s="379"/>
      <c r="K18" s="379"/>
      <c r="L18" s="379"/>
      <c r="M18" s="380"/>
    </row>
    <row r="19" spans="1:19">
      <c r="A19" s="25"/>
      <c r="B19" s="26"/>
      <c r="C19" s="314"/>
      <c r="D19" s="314"/>
      <c r="E19" s="314"/>
      <c r="F19" s="314"/>
      <c r="G19" s="314"/>
      <c r="H19" s="314"/>
      <c r="I19" s="314"/>
      <c r="J19" s="314"/>
      <c r="K19" s="314"/>
      <c r="L19" s="314"/>
      <c r="M19" s="13"/>
    </row>
    <row r="20" spans="1:19" ht="31.5" customHeight="1">
      <c r="A20" s="464" t="s">
        <v>113</v>
      </c>
      <c r="B20" s="465"/>
      <c r="C20" s="379"/>
      <c r="D20" s="379"/>
      <c r="E20" s="379"/>
      <c r="F20" s="379"/>
      <c r="G20" s="379"/>
      <c r="H20" s="379"/>
      <c r="I20" s="379"/>
      <c r="J20" s="379"/>
      <c r="K20" s="379"/>
      <c r="L20" s="379"/>
      <c r="M20" s="380"/>
    </row>
    <row r="21" spans="1:19">
      <c r="A21" s="400"/>
      <c r="B21" s="401"/>
      <c r="C21" s="314"/>
      <c r="D21" s="314"/>
      <c r="E21" s="314"/>
      <c r="F21" s="314"/>
      <c r="G21" s="314"/>
      <c r="H21" s="314"/>
      <c r="I21" s="314"/>
      <c r="J21" s="314"/>
      <c r="K21" s="314"/>
      <c r="L21" s="31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306" t="s">
        <v>78</v>
      </c>
      <c r="K25" s="408" t="s">
        <v>79</v>
      </c>
      <c r="L25" s="409"/>
      <c r="M25" s="31" t="s">
        <v>80</v>
      </c>
    </row>
    <row r="26" spans="1:19" ht="55.5" customHeight="1" thickBot="1">
      <c r="A26" s="33"/>
      <c r="B26" s="509" t="s">
        <v>417</v>
      </c>
      <c r="C26" s="510"/>
      <c r="D26" s="510"/>
      <c r="E26" s="510"/>
      <c r="F26" s="510"/>
      <c r="G26" s="510"/>
      <c r="H26" s="510"/>
      <c r="I26" s="511"/>
      <c r="J26" s="305">
        <v>1</v>
      </c>
      <c r="K26" s="391" t="s">
        <v>9</v>
      </c>
      <c r="L26" s="393"/>
      <c r="M26" s="35"/>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311" t="s">
        <v>83</v>
      </c>
      <c r="K30" s="421" t="s">
        <v>84</v>
      </c>
      <c r="L30" s="424"/>
      <c r="M30" s="44" t="s">
        <v>85</v>
      </c>
    </row>
    <row r="31" spans="1:19" ht="15.75" thickBot="1">
      <c r="A31" s="425"/>
      <c r="B31" s="426"/>
      <c r="C31" s="426"/>
      <c r="D31" s="426"/>
      <c r="E31" s="427"/>
      <c r="F31" s="428"/>
      <c r="G31" s="429"/>
      <c r="H31" s="430"/>
      <c r="I31" s="427"/>
      <c r="J31" s="72"/>
      <c r="K31" s="428"/>
      <c r="L31" s="429"/>
      <c r="M31" s="231">
        <f>K31*J31</f>
        <v>0</v>
      </c>
      <c r="N31" s="489"/>
      <c r="O31" s="490"/>
      <c r="P31" s="95"/>
      <c r="Q31" s="96"/>
      <c r="R31" s="97"/>
      <c r="S31" s="98"/>
    </row>
    <row r="32" spans="1:19">
      <c r="A32" s="425"/>
      <c r="B32" s="426"/>
      <c r="C32" s="426"/>
      <c r="D32" s="426"/>
      <c r="E32" s="427"/>
      <c r="F32" s="428"/>
      <c r="G32" s="429"/>
      <c r="H32" s="430"/>
      <c r="I32" s="427"/>
      <c r="J32" s="72"/>
      <c r="K32" s="428"/>
      <c r="L32" s="429"/>
      <c r="M32" s="46"/>
    </row>
    <row r="33" spans="1:13" ht="15.75" thickBot="1">
      <c r="A33" s="410"/>
      <c r="B33" s="411"/>
      <c r="C33" s="411"/>
      <c r="D33" s="411"/>
      <c r="E33" s="412"/>
      <c r="F33" s="414"/>
      <c r="G33" s="415"/>
      <c r="H33" s="413"/>
      <c r="I33" s="412"/>
      <c r="J33" s="91"/>
      <c r="K33" s="414"/>
      <c r="L33" s="415"/>
      <c r="M33" s="46"/>
    </row>
    <row r="34" spans="1:13" ht="15.75" thickBot="1">
      <c r="A34" s="416" t="s">
        <v>87</v>
      </c>
      <c r="B34" s="417"/>
      <c r="C34" s="417"/>
      <c r="D34" s="417"/>
      <c r="E34" s="417"/>
      <c r="F34" s="417"/>
      <c r="G34" s="417"/>
      <c r="H34" s="417"/>
      <c r="I34" s="417"/>
      <c r="J34" s="417"/>
      <c r="K34" s="417"/>
      <c r="L34" s="418"/>
      <c r="M34" s="232">
        <f>SUM(M31:M33)</f>
        <v>0</v>
      </c>
    </row>
    <row r="35" spans="1:13">
      <c r="A35" s="50"/>
      <c r="B35" s="19"/>
      <c r="C35" s="19"/>
      <c r="D35" s="19"/>
      <c r="E35" s="19"/>
      <c r="F35" s="19"/>
      <c r="G35" s="19"/>
      <c r="H35" s="19"/>
      <c r="I35" s="19"/>
      <c r="J35" s="19"/>
      <c r="K35" s="19"/>
      <c r="L35" s="19"/>
      <c r="M35" s="24"/>
    </row>
    <row r="36" spans="1:13">
      <c r="A36" s="51" t="s">
        <v>88</v>
      </c>
      <c r="B36" s="52"/>
      <c r="C36" s="52"/>
      <c r="D36" s="52"/>
      <c r="E36" s="52"/>
      <c r="F36" s="52"/>
      <c r="G36" s="52"/>
      <c r="H36" s="52"/>
      <c r="I36" s="52"/>
      <c r="J36" s="52"/>
      <c r="K36" s="52"/>
      <c r="L36" s="52"/>
      <c r="M36" s="53"/>
    </row>
    <row r="37" spans="1:13" ht="15.75" thickBot="1">
      <c r="A37" s="14"/>
      <c r="B37" s="15"/>
      <c r="C37" s="15"/>
      <c r="D37" s="15"/>
      <c r="E37" s="15"/>
      <c r="F37" s="15"/>
      <c r="G37" s="15"/>
      <c r="H37" s="15"/>
      <c r="I37" s="19"/>
      <c r="J37" s="19"/>
      <c r="K37" s="19"/>
      <c r="L37" s="19"/>
      <c r="M37" s="24"/>
    </row>
    <row r="38" spans="1:13">
      <c r="A38" s="408" t="s">
        <v>77</v>
      </c>
      <c r="B38" s="431"/>
      <c r="C38" s="431"/>
      <c r="D38" s="431"/>
      <c r="E38" s="431"/>
      <c r="F38" s="431"/>
      <c r="G38" s="431"/>
      <c r="H38" s="424"/>
      <c r="I38" s="307" t="s">
        <v>79</v>
      </c>
      <c r="J38" s="311" t="s">
        <v>80</v>
      </c>
      <c r="K38" s="421" t="s">
        <v>89</v>
      </c>
      <c r="L38" s="424"/>
      <c r="M38" s="44" t="s">
        <v>85</v>
      </c>
    </row>
    <row r="39" spans="1:13" ht="62.25" customHeight="1">
      <c r="A39" s="516" t="s">
        <v>417</v>
      </c>
      <c r="B39" s="559"/>
      <c r="C39" s="559"/>
      <c r="D39" s="559"/>
      <c r="E39" s="559"/>
      <c r="F39" s="559"/>
      <c r="G39" s="559"/>
      <c r="H39" s="560"/>
      <c r="I39" s="73" t="s">
        <v>9</v>
      </c>
      <c r="J39" s="315">
        <v>1</v>
      </c>
      <c r="K39" s="456">
        <v>149364</v>
      </c>
      <c r="L39" s="457"/>
      <c r="M39" s="56">
        <f t="shared" ref="M39:M42" si="0">K39*J39</f>
        <v>149364</v>
      </c>
    </row>
    <row r="40" spans="1:13">
      <c r="A40" s="425"/>
      <c r="B40" s="426"/>
      <c r="C40" s="426"/>
      <c r="D40" s="426"/>
      <c r="E40" s="426"/>
      <c r="F40" s="426"/>
      <c r="G40" s="426"/>
      <c r="H40" s="427"/>
      <c r="I40" s="73"/>
      <c r="J40" s="315"/>
      <c r="K40" s="456">
        <v>0</v>
      </c>
      <c r="L40" s="457"/>
      <c r="M40" s="56">
        <f t="shared" si="0"/>
        <v>0</v>
      </c>
    </row>
    <row r="41" spans="1:13">
      <c r="A41" s="425"/>
      <c r="B41" s="426"/>
      <c r="C41" s="426"/>
      <c r="D41" s="426"/>
      <c r="E41" s="426"/>
      <c r="F41" s="426"/>
      <c r="G41" s="426"/>
      <c r="H41" s="427"/>
      <c r="I41" s="73"/>
      <c r="J41" s="315"/>
      <c r="K41" s="456">
        <v>0</v>
      </c>
      <c r="L41" s="457"/>
      <c r="M41" s="56">
        <f t="shared" si="0"/>
        <v>0</v>
      </c>
    </row>
    <row r="42" spans="1:13" ht="15.75" thickBot="1">
      <c r="A42" s="410"/>
      <c r="B42" s="411"/>
      <c r="C42" s="411"/>
      <c r="D42" s="411"/>
      <c r="E42" s="411"/>
      <c r="F42" s="411"/>
      <c r="G42" s="411"/>
      <c r="H42" s="412"/>
      <c r="I42" s="74"/>
      <c r="J42" s="211"/>
      <c r="K42" s="466">
        <v>0</v>
      </c>
      <c r="L42" s="467"/>
      <c r="M42" s="56">
        <f t="shared" si="0"/>
        <v>0</v>
      </c>
    </row>
    <row r="43" spans="1:13" ht="15.75" thickBot="1">
      <c r="A43" s="416" t="s">
        <v>87</v>
      </c>
      <c r="B43" s="417"/>
      <c r="C43" s="417"/>
      <c r="D43" s="417"/>
      <c r="E43" s="417"/>
      <c r="F43" s="417"/>
      <c r="G43" s="417"/>
      <c r="H43" s="417"/>
      <c r="I43" s="417"/>
      <c r="J43" s="417"/>
      <c r="K43" s="417"/>
      <c r="L43" s="418"/>
      <c r="M43" s="58">
        <f>SUM(M39:M42)</f>
        <v>149364</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311" t="s">
        <v>92</v>
      </c>
      <c r="I47" s="308" t="s">
        <v>93</v>
      </c>
      <c r="J47" s="60" t="s">
        <v>94</v>
      </c>
      <c r="K47" s="421" t="s">
        <v>95</v>
      </c>
      <c r="L47" s="424"/>
      <c r="M47" s="44" t="s">
        <v>85</v>
      </c>
    </row>
    <row r="48" spans="1:13">
      <c r="A48" s="425"/>
      <c r="B48" s="426"/>
      <c r="C48" s="426"/>
      <c r="D48" s="426"/>
      <c r="E48" s="426"/>
      <c r="F48" s="426"/>
      <c r="G48" s="426"/>
      <c r="H48" s="61"/>
      <c r="I48" s="55"/>
      <c r="J48" s="61"/>
      <c r="K48" s="428"/>
      <c r="L48" s="429"/>
    </row>
    <row r="49" spans="1:13" ht="15.75" thickBot="1">
      <c r="A49" s="410"/>
      <c r="B49" s="411"/>
      <c r="C49" s="411"/>
      <c r="D49" s="411"/>
      <c r="E49" s="411"/>
      <c r="F49" s="411"/>
      <c r="G49" s="411"/>
      <c r="H49" s="47"/>
      <c r="I49" s="15"/>
      <c r="J49" s="47"/>
      <c r="K49" s="414"/>
      <c r="L49" s="415"/>
      <c r="M49" s="62"/>
    </row>
    <row r="50" spans="1:13" ht="15.75" thickBot="1">
      <c r="A50" s="416" t="s">
        <v>87</v>
      </c>
      <c r="B50" s="417"/>
      <c r="C50" s="417"/>
      <c r="D50" s="417"/>
      <c r="E50" s="417"/>
      <c r="F50" s="417"/>
      <c r="G50" s="417"/>
      <c r="H50" s="417"/>
      <c r="I50" s="417"/>
      <c r="J50" s="417"/>
      <c r="K50" s="417"/>
      <c r="L50" s="418"/>
      <c r="M50" s="63">
        <f>SUM(M49:M49)</f>
        <v>0</v>
      </c>
    </row>
    <row r="51" spans="1:13">
      <c r="A51" s="30"/>
      <c r="B51" s="19"/>
      <c r="C51" s="19"/>
      <c r="D51" s="19"/>
      <c r="E51" s="19"/>
      <c r="F51" s="19"/>
      <c r="G51" s="19"/>
      <c r="H51" s="19"/>
      <c r="I51" s="19"/>
      <c r="J51" s="19"/>
      <c r="K51" s="19"/>
      <c r="L51" s="19"/>
      <c r="M51" s="24"/>
    </row>
    <row r="52" spans="1:13">
      <c r="A52" s="51" t="s">
        <v>96</v>
      </c>
      <c r="B52" s="52"/>
      <c r="C52" s="52"/>
      <c r="D52" s="52"/>
      <c r="E52" s="52"/>
      <c r="F52" s="52"/>
      <c r="G52" s="52"/>
      <c r="H52" s="52"/>
      <c r="I52" s="52"/>
      <c r="J52" s="52"/>
      <c r="K52" s="52"/>
      <c r="L52" s="52"/>
      <c r="M52" s="53"/>
    </row>
    <row r="53" spans="1:13" ht="15.75" thickBot="1">
      <c r="A53" s="30"/>
      <c r="B53" s="19"/>
      <c r="C53" s="19"/>
      <c r="D53" s="19"/>
      <c r="E53" s="19"/>
      <c r="F53" s="19"/>
      <c r="G53" s="19"/>
      <c r="H53" s="19"/>
      <c r="I53" s="19"/>
      <c r="J53" s="19"/>
      <c r="K53" s="19"/>
      <c r="L53" s="19"/>
      <c r="M53" s="24"/>
    </row>
    <row r="54" spans="1:13" ht="26.25">
      <c r="A54" s="453" t="s">
        <v>97</v>
      </c>
      <c r="B54" s="454"/>
      <c r="C54" s="454"/>
      <c r="D54" s="454"/>
      <c r="E54" s="454"/>
      <c r="F54" s="454"/>
      <c r="G54" s="454"/>
      <c r="H54" s="311" t="s">
        <v>98</v>
      </c>
      <c r="I54" s="312" t="s">
        <v>99</v>
      </c>
      <c r="J54" s="312" t="s">
        <v>100</v>
      </c>
      <c r="K54" s="455" t="s">
        <v>84</v>
      </c>
      <c r="L54" s="455"/>
      <c r="M54" s="65" t="s">
        <v>85</v>
      </c>
    </row>
    <row r="55" spans="1:13">
      <c r="A55" s="425" t="s">
        <v>126</v>
      </c>
      <c r="B55" s="426"/>
      <c r="C55" s="426"/>
      <c r="D55" s="426"/>
      <c r="E55" s="426"/>
      <c r="F55" s="426"/>
      <c r="G55" s="427"/>
      <c r="H55" s="1">
        <v>112923.49999999999</v>
      </c>
      <c r="I55" s="2">
        <v>2.2000000000000002</v>
      </c>
      <c r="J55" s="66">
        <f>(I55*H55)</f>
        <v>248431.69999999998</v>
      </c>
      <c r="K55" s="483">
        <v>1.5</v>
      </c>
      <c r="L55" s="483"/>
      <c r="M55" s="56">
        <f>J55/K55</f>
        <v>165621.13333333333</v>
      </c>
    </row>
    <row r="56" spans="1:13">
      <c r="A56" s="471"/>
      <c r="B56" s="472"/>
      <c r="C56" s="472"/>
      <c r="D56" s="472"/>
      <c r="E56" s="472"/>
      <c r="F56" s="472"/>
      <c r="G56" s="472"/>
      <c r="H56" s="1"/>
      <c r="I56" s="2"/>
      <c r="J56" s="66"/>
      <c r="K56" s="473"/>
      <c r="L56" s="473"/>
      <c r="M56" s="56"/>
    </row>
    <row r="57" spans="1:13" ht="15.75" thickBot="1">
      <c r="A57" s="432"/>
      <c r="B57" s="433"/>
      <c r="C57" s="433"/>
      <c r="D57" s="433"/>
      <c r="E57" s="433"/>
      <c r="F57" s="433"/>
      <c r="G57" s="433"/>
      <c r="H57" s="3"/>
      <c r="I57" s="4"/>
      <c r="J57" s="67"/>
      <c r="K57" s="434"/>
      <c r="L57" s="434"/>
      <c r="M57" s="68"/>
    </row>
    <row r="58" spans="1:13" ht="15.75" thickBot="1">
      <c r="A58" s="435" t="s">
        <v>87</v>
      </c>
      <c r="B58" s="436"/>
      <c r="C58" s="436"/>
      <c r="D58" s="436"/>
      <c r="E58" s="436"/>
      <c r="F58" s="436"/>
      <c r="G58" s="436"/>
      <c r="H58" s="436"/>
      <c r="I58" s="436"/>
      <c r="J58" s="436"/>
      <c r="K58" s="436"/>
      <c r="L58" s="437"/>
      <c r="M58" s="69">
        <f>SUM(M55:M57)</f>
        <v>165621.13333333333</v>
      </c>
    </row>
    <row r="59" spans="1:13" ht="15.75" thickBot="1">
      <c r="A59" s="30"/>
      <c r="B59" s="19"/>
      <c r="C59" s="19"/>
      <c r="D59" s="19"/>
      <c r="E59" s="19"/>
      <c r="F59" s="19"/>
      <c r="G59" s="19"/>
      <c r="H59" s="19"/>
      <c r="I59" s="19"/>
      <c r="J59" s="19"/>
      <c r="K59" s="19"/>
      <c r="L59" s="19"/>
      <c r="M59" s="24"/>
    </row>
    <row r="60" spans="1:13" ht="15.75" thickBot="1">
      <c r="A60" s="416" t="s">
        <v>101</v>
      </c>
      <c r="B60" s="417"/>
      <c r="C60" s="417"/>
      <c r="D60" s="417"/>
      <c r="E60" s="417"/>
      <c r="F60" s="417"/>
      <c r="G60" s="417"/>
      <c r="H60" s="417"/>
      <c r="I60" s="417"/>
      <c r="J60" s="417"/>
      <c r="K60" s="417"/>
      <c r="L60" s="418"/>
      <c r="M60" s="70">
        <f>ROUND(M58+M50+M43+M34,0)</f>
        <v>314985</v>
      </c>
    </row>
    <row r="61" spans="1:13">
      <c r="A61" s="30"/>
      <c r="B61" s="19"/>
      <c r="C61" s="19"/>
      <c r="D61" s="19"/>
      <c r="E61" s="19"/>
      <c r="F61" s="19"/>
      <c r="G61" s="19"/>
      <c r="H61" s="19"/>
      <c r="I61" s="19"/>
      <c r="J61" s="19"/>
      <c r="K61" s="19"/>
      <c r="L61" s="19"/>
      <c r="M61" s="24"/>
    </row>
    <row r="62" spans="1:13">
      <c r="A62" s="51" t="s">
        <v>102</v>
      </c>
      <c r="B62" s="52"/>
      <c r="C62" s="52"/>
      <c r="D62" s="52"/>
      <c r="E62" s="52"/>
      <c r="F62" s="52"/>
      <c r="G62" s="52"/>
      <c r="H62" s="52"/>
      <c r="I62" s="52"/>
      <c r="J62" s="52"/>
      <c r="K62" s="52"/>
      <c r="L62" s="52"/>
      <c r="M62" s="53"/>
    </row>
    <row r="63" spans="1:13" ht="15.75" thickBot="1">
      <c r="A63" s="30"/>
      <c r="B63" s="19"/>
      <c r="C63" s="19"/>
      <c r="D63" s="19"/>
      <c r="E63" s="19"/>
      <c r="F63" s="19"/>
      <c r="G63" s="19"/>
      <c r="H63" s="19"/>
      <c r="I63" s="19"/>
      <c r="J63" s="19"/>
      <c r="K63" s="19"/>
      <c r="L63" s="19"/>
      <c r="M63" s="24"/>
    </row>
    <row r="64" spans="1:13" ht="15.75" thickBot="1">
      <c r="A64" s="438" t="s">
        <v>103</v>
      </c>
      <c r="B64" s="439"/>
      <c r="C64" s="439"/>
      <c r="D64" s="439"/>
      <c r="E64" s="439"/>
      <c r="F64" s="439"/>
      <c r="G64" s="439"/>
      <c r="H64" s="309"/>
      <c r="I64" s="310"/>
      <c r="J64" s="81" t="s">
        <v>104</v>
      </c>
      <c r="K64" s="440" t="s">
        <v>105</v>
      </c>
      <c r="L64" s="441"/>
      <c r="M64" s="82"/>
    </row>
    <row r="65" spans="1:13">
      <c r="A65" s="442" t="s">
        <v>106</v>
      </c>
      <c r="B65" s="443"/>
      <c r="C65" s="443"/>
      <c r="D65" s="443"/>
      <c r="E65" s="443"/>
      <c r="F65" s="443"/>
      <c r="G65" s="443"/>
      <c r="H65" s="83"/>
      <c r="I65" s="84"/>
      <c r="J65" s="85">
        <v>0.19</v>
      </c>
      <c r="K65" s="444">
        <f>M60*J65</f>
        <v>59847.15</v>
      </c>
      <c r="L65" s="444"/>
      <c r="M65" s="86"/>
    </row>
    <row r="66" spans="1:13">
      <c r="A66" s="447" t="s">
        <v>107</v>
      </c>
      <c r="B66" s="448"/>
      <c r="C66" s="448"/>
      <c r="D66" s="448"/>
      <c r="E66" s="448"/>
      <c r="F66" s="448"/>
      <c r="G66" s="449"/>
      <c r="H66" s="77"/>
      <c r="I66" s="78"/>
      <c r="J66" s="5">
        <v>0.01</v>
      </c>
      <c r="K66" s="445">
        <f>M60*J66</f>
        <v>3149.85</v>
      </c>
      <c r="L66" s="445"/>
      <c r="M66" s="6"/>
    </row>
    <row r="67" spans="1:13">
      <c r="A67" s="447" t="s">
        <v>108</v>
      </c>
      <c r="B67" s="448"/>
      <c r="C67" s="448"/>
      <c r="D67" s="448"/>
      <c r="E67" s="448"/>
      <c r="F67" s="448"/>
      <c r="G67" s="449"/>
      <c r="H67" s="77"/>
      <c r="I67" s="78"/>
      <c r="J67" s="5">
        <v>0.05</v>
      </c>
      <c r="K67" s="445">
        <f>M60*J67</f>
        <v>15749.25</v>
      </c>
      <c r="L67" s="445"/>
      <c r="M67" s="6"/>
    </row>
    <row r="68" spans="1:13" ht="15.75" thickBot="1">
      <c r="A68" s="450" t="s">
        <v>117</v>
      </c>
      <c r="B68" s="451"/>
      <c r="C68" s="451"/>
      <c r="D68" s="451"/>
      <c r="E68" s="451"/>
      <c r="F68" s="451"/>
      <c r="G68" s="452"/>
      <c r="H68" s="87"/>
      <c r="I68" s="88"/>
      <c r="J68" s="89">
        <v>0.19</v>
      </c>
      <c r="K68" s="446">
        <f>K67*J68</f>
        <v>2992.3575000000001</v>
      </c>
      <c r="L68" s="446"/>
      <c r="M68" s="90"/>
    </row>
    <row r="69" spans="1:13" ht="15.75" thickBot="1">
      <c r="A69" s="435" t="s">
        <v>87</v>
      </c>
      <c r="B69" s="436"/>
      <c r="C69" s="436"/>
      <c r="D69" s="436"/>
      <c r="E69" s="436"/>
      <c r="F69" s="436"/>
      <c r="G69" s="436"/>
      <c r="H69" s="436"/>
      <c r="I69" s="436"/>
      <c r="J69" s="436"/>
      <c r="K69" s="436"/>
      <c r="L69" s="437"/>
      <c r="M69" s="76">
        <f>SUM(K65:L68)</f>
        <v>81738.607499999998</v>
      </c>
    </row>
    <row r="70" spans="1:13" ht="15.75" thickBot="1">
      <c r="A70" s="30"/>
      <c r="B70" s="19"/>
      <c r="C70" s="19"/>
      <c r="D70" s="19"/>
      <c r="E70" s="19"/>
      <c r="F70" s="19"/>
      <c r="G70" s="19"/>
      <c r="H70" s="19"/>
      <c r="I70" s="19"/>
      <c r="J70" s="19"/>
      <c r="K70" s="19"/>
      <c r="L70" s="19"/>
      <c r="M70" s="24"/>
    </row>
    <row r="71" spans="1:13" ht="15.75" thickBot="1">
      <c r="A71" s="416" t="s">
        <v>109</v>
      </c>
      <c r="B71" s="417"/>
      <c r="C71" s="417"/>
      <c r="D71" s="417"/>
      <c r="E71" s="417"/>
      <c r="F71" s="417"/>
      <c r="G71" s="417"/>
      <c r="H71" s="417"/>
      <c r="I71" s="417"/>
      <c r="J71" s="417"/>
      <c r="K71" s="417"/>
      <c r="L71" s="418"/>
      <c r="M71" s="71">
        <f>ROUND(M60+M69,0)</f>
        <v>396724</v>
      </c>
    </row>
  </sheetData>
  <mergeCells count="7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G56"/>
    <mergeCell ref="K56:L56"/>
    <mergeCell ref="A57:G57"/>
    <mergeCell ref="K57:L57"/>
    <mergeCell ref="A58:L58"/>
    <mergeCell ref="A60:L60"/>
    <mergeCell ref="A64:G64"/>
    <mergeCell ref="K64:L64"/>
    <mergeCell ref="A65:G65"/>
    <mergeCell ref="K65:L65"/>
    <mergeCell ref="A69:L69"/>
    <mergeCell ref="A71:L71"/>
    <mergeCell ref="A66:G66"/>
    <mergeCell ref="K66:L66"/>
    <mergeCell ref="A67:G67"/>
    <mergeCell ref="K67:L67"/>
    <mergeCell ref="A68:G68"/>
    <mergeCell ref="K68:L68"/>
  </mergeCells>
  <pageMargins left="0.7" right="0.7" top="0.75" bottom="0.75" header="0.3" footer="0.3"/>
  <pageSetup scale="5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topLeftCell="A46" zoomScale="80" zoomScaleNormal="100" zoomScaleSheetLayoutView="80" workbookViewId="0">
      <selection activeCell="M58" sqref="M58"/>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08"/>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09" t="s">
        <v>71</v>
      </c>
      <c r="H12" s="394"/>
      <c r="I12" s="394"/>
      <c r="J12" s="23"/>
      <c r="K12" s="23"/>
      <c r="L12" s="23"/>
      <c r="M12" s="24"/>
    </row>
    <row r="13" spans="1:13">
      <c r="A13" s="25" t="s">
        <v>72</v>
      </c>
      <c r="B13" s="26"/>
      <c r="C13" s="395" t="s">
        <v>136</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09"/>
      <c r="D17" s="109"/>
      <c r="E17" s="109"/>
      <c r="F17" s="109"/>
      <c r="G17" s="109"/>
      <c r="H17" s="109"/>
      <c r="I17" s="109"/>
      <c r="J17" s="109"/>
      <c r="K17" s="109"/>
      <c r="L17" s="109"/>
      <c r="M17" s="13"/>
    </row>
    <row r="18" spans="1:13">
      <c r="A18" s="25" t="s">
        <v>74</v>
      </c>
      <c r="B18" s="26"/>
      <c r="C18" s="379"/>
      <c r="D18" s="379"/>
      <c r="E18" s="379"/>
      <c r="F18" s="379"/>
      <c r="G18" s="379"/>
      <c r="H18" s="379"/>
      <c r="I18" s="379"/>
      <c r="J18" s="379"/>
      <c r="K18" s="379"/>
      <c r="L18" s="379"/>
      <c r="M18" s="380"/>
    </row>
    <row r="19" spans="1:13">
      <c r="A19" s="25"/>
      <c r="B19" s="26"/>
      <c r="C19" s="109"/>
      <c r="D19" s="109"/>
      <c r="E19" s="109"/>
      <c r="F19" s="109"/>
      <c r="G19" s="109"/>
      <c r="H19" s="109"/>
      <c r="I19" s="109"/>
      <c r="J19" s="109"/>
      <c r="K19" s="109"/>
      <c r="L19" s="109"/>
      <c r="M19" s="13"/>
    </row>
    <row r="20" spans="1:13" ht="31.5" customHeight="1">
      <c r="A20" s="464" t="s">
        <v>113</v>
      </c>
      <c r="B20" s="465"/>
      <c r="C20" s="379"/>
      <c r="D20" s="379"/>
      <c r="E20" s="379"/>
      <c r="F20" s="379"/>
      <c r="G20" s="379"/>
      <c r="H20" s="379"/>
      <c r="I20" s="379"/>
      <c r="J20" s="379"/>
      <c r="K20" s="379"/>
      <c r="L20" s="379"/>
      <c r="M20" s="380"/>
    </row>
    <row r="21" spans="1:13">
      <c r="A21" s="400"/>
      <c r="B21" s="401"/>
      <c r="C21" s="109"/>
      <c r="D21" s="109"/>
      <c r="E21" s="109"/>
      <c r="F21" s="109"/>
      <c r="G21" s="109"/>
      <c r="H21" s="109"/>
      <c r="I21" s="109"/>
      <c r="J21" s="109"/>
      <c r="K21" s="109"/>
      <c r="L21" s="109"/>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03" t="s">
        <v>78</v>
      </c>
      <c r="K25" s="408" t="s">
        <v>79</v>
      </c>
      <c r="L25" s="409"/>
      <c r="M25" s="31" t="s">
        <v>80</v>
      </c>
    </row>
    <row r="26" spans="1:13" ht="15.75" thickBot="1">
      <c r="A26" s="33"/>
      <c r="B26" s="391" t="s">
        <v>143</v>
      </c>
      <c r="C26" s="392"/>
      <c r="D26" s="392"/>
      <c r="E26" s="392"/>
      <c r="F26" s="392"/>
      <c r="G26" s="392"/>
      <c r="H26" s="392"/>
      <c r="I26" s="393"/>
      <c r="J26" s="100">
        <v>1</v>
      </c>
      <c r="K26" s="391" t="s">
        <v>8</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10" t="s">
        <v>83</v>
      </c>
      <c r="K30" s="421" t="s">
        <v>84</v>
      </c>
      <c r="L30" s="424"/>
      <c r="M30" s="44" t="s">
        <v>85</v>
      </c>
    </row>
    <row r="31" spans="1:13">
      <c r="A31" s="425" t="s">
        <v>134</v>
      </c>
      <c r="B31" s="426"/>
      <c r="C31" s="426"/>
      <c r="D31" s="426"/>
      <c r="E31" s="427"/>
      <c r="F31" s="428" t="s">
        <v>123</v>
      </c>
      <c r="G31" s="429"/>
      <c r="H31" s="430" t="s">
        <v>86</v>
      </c>
      <c r="I31" s="427"/>
      <c r="J31" s="72">
        <v>70067</v>
      </c>
      <c r="K31" s="468">
        <v>400</v>
      </c>
      <c r="L31" s="469"/>
      <c r="M31" s="46">
        <f>J31/K31</f>
        <v>175.16749999999999</v>
      </c>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175.16749999999999</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05" t="s">
        <v>79</v>
      </c>
      <c r="J37" s="110" t="s">
        <v>80</v>
      </c>
      <c r="K37" s="421" t="s">
        <v>89</v>
      </c>
      <c r="L37" s="424"/>
      <c r="M37" s="44" t="s">
        <v>85</v>
      </c>
    </row>
    <row r="38" spans="1:13">
      <c r="A38" s="425"/>
      <c r="B38" s="426"/>
      <c r="C38" s="426"/>
      <c r="D38" s="426"/>
      <c r="E38" s="426"/>
      <c r="F38" s="426"/>
      <c r="G38" s="426"/>
      <c r="H38" s="427"/>
      <c r="I38" s="73"/>
      <c r="J38" s="45"/>
      <c r="K38" s="456"/>
      <c r="L38" s="457"/>
      <c r="M38" s="56"/>
    </row>
    <row r="39" spans="1:13">
      <c r="A39" s="425"/>
      <c r="B39" s="426"/>
      <c r="C39" s="426"/>
      <c r="D39" s="426"/>
      <c r="E39" s="426"/>
      <c r="F39" s="426"/>
      <c r="G39" s="426"/>
      <c r="H39" s="427"/>
      <c r="I39" s="73"/>
      <c r="J39" s="45"/>
      <c r="K39" s="456"/>
      <c r="L39" s="457"/>
      <c r="M39" s="56"/>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ht="15.75" thickBot="1">
      <c r="A42" s="410"/>
      <c r="B42" s="411"/>
      <c r="C42" s="411"/>
      <c r="D42" s="411"/>
      <c r="E42" s="411"/>
      <c r="F42" s="411"/>
      <c r="G42" s="411"/>
      <c r="H42" s="412"/>
      <c r="I42" s="74"/>
      <c r="J42" s="57"/>
      <c r="K42" s="466"/>
      <c r="L42" s="467"/>
      <c r="M42" s="75"/>
    </row>
    <row r="43" spans="1:13" ht="15.75" thickBot="1">
      <c r="A43" s="416" t="s">
        <v>87</v>
      </c>
      <c r="B43" s="417"/>
      <c r="C43" s="417"/>
      <c r="D43" s="417"/>
      <c r="E43" s="417"/>
      <c r="F43" s="417"/>
      <c r="G43" s="417"/>
      <c r="H43" s="417"/>
      <c r="I43" s="417"/>
      <c r="J43" s="417"/>
      <c r="K43" s="417"/>
      <c r="L43" s="418"/>
      <c r="M43" s="58">
        <f>SUM(M38:M42)</f>
        <v>0</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110" t="s">
        <v>92</v>
      </c>
      <c r="I47" s="104" t="s">
        <v>93</v>
      </c>
      <c r="J47" s="60" t="s">
        <v>94</v>
      </c>
      <c r="K47" s="421" t="s">
        <v>95</v>
      </c>
      <c r="L47" s="424"/>
      <c r="M47" s="44" t="s">
        <v>85</v>
      </c>
    </row>
    <row r="48" spans="1:13">
      <c r="A48" s="425"/>
      <c r="B48" s="426"/>
      <c r="C48" s="426"/>
      <c r="D48" s="426"/>
      <c r="E48" s="426"/>
      <c r="F48" s="426"/>
      <c r="G48" s="426"/>
      <c r="H48" s="61"/>
      <c r="I48" s="55"/>
      <c r="J48" s="61"/>
      <c r="K48" s="428"/>
      <c r="L48" s="429"/>
      <c r="M48" s="62"/>
    </row>
    <row r="49" spans="1:15" ht="15.75" thickBot="1">
      <c r="A49" s="410"/>
      <c r="B49" s="411"/>
      <c r="C49" s="411"/>
      <c r="D49" s="411"/>
      <c r="E49" s="411"/>
      <c r="F49" s="411"/>
      <c r="G49" s="411"/>
      <c r="H49" s="47"/>
      <c r="I49" s="15"/>
      <c r="J49" s="47"/>
      <c r="K49" s="414"/>
      <c r="L49" s="415"/>
      <c r="M49" s="48"/>
    </row>
    <row r="50" spans="1:15" ht="15.75" thickBot="1">
      <c r="A50" s="416" t="s">
        <v>87</v>
      </c>
      <c r="B50" s="417"/>
      <c r="C50" s="417"/>
      <c r="D50" s="417"/>
      <c r="E50" s="417"/>
      <c r="F50" s="417"/>
      <c r="G50" s="417"/>
      <c r="H50" s="417"/>
      <c r="I50" s="417"/>
      <c r="J50" s="417"/>
      <c r="K50" s="417"/>
      <c r="L50" s="418"/>
      <c r="M50" s="63">
        <f>SUM(M48:M49)</f>
        <v>0</v>
      </c>
    </row>
    <row r="51" spans="1:15">
      <c r="A51" s="30"/>
      <c r="B51" s="19"/>
      <c r="C51" s="19"/>
      <c r="D51" s="19"/>
      <c r="E51" s="19"/>
      <c r="F51" s="19"/>
      <c r="G51" s="19"/>
      <c r="H51" s="19"/>
      <c r="I51" s="19"/>
      <c r="J51" s="19"/>
      <c r="K51" s="19"/>
      <c r="L51" s="19"/>
      <c r="M51" s="24"/>
    </row>
    <row r="52" spans="1:15">
      <c r="A52" s="51" t="s">
        <v>96</v>
      </c>
      <c r="B52" s="52"/>
      <c r="C52" s="52"/>
      <c r="D52" s="52"/>
      <c r="E52" s="52"/>
      <c r="F52" s="52"/>
      <c r="G52" s="52"/>
      <c r="H52" s="52"/>
      <c r="I52" s="52"/>
      <c r="J52" s="52"/>
      <c r="K52" s="52"/>
      <c r="L52" s="52"/>
      <c r="M52" s="53"/>
    </row>
    <row r="53" spans="1:15" ht="15.75" thickBot="1">
      <c r="A53" s="30"/>
      <c r="B53" s="19"/>
      <c r="C53" s="19"/>
      <c r="D53" s="19"/>
      <c r="E53" s="19"/>
      <c r="F53" s="19"/>
      <c r="G53" s="19"/>
      <c r="H53" s="19"/>
      <c r="I53" s="19"/>
      <c r="J53" s="19"/>
      <c r="K53" s="19"/>
      <c r="L53" s="19"/>
      <c r="M53" s="24"/>
    </row>
    <row r="54" spans="1:15" ht="26.25">
      <c r="A54" s="453" t="s">
        <v>97</v>
      </c>
      <c r="B54" s="454"/>
      <c r="C54" s="454"/>
      <c r="D54" s="454"/>
      <c r="E54" s="454"/>
      <c r="F54" s="454"/>
      <c r="G54" s="454"/>
      <c r="H54" s="110" t="s">
        <v>98</v>
      </c>
      <c r="I54" s="111" t="s">
        <v>99</v>
      </c>
      <c r="J54" s="111" t="s">
        <v>100</v>
      </c>
      <c r="K54" s="455" t="s">
        <v>84</v>
      </c>
      <c r="L54" s="455"/>
      <c r="M54" s="65" t="s">
        <v>85</v>
      </c>
    </row>
    <row r="55" spans="1:15" ht="15.75" thickBot="1">
      <c r="A55" s="432" t="s">
        <v>122</v>
      </c>
      <c r="B55" s="433"/>
      <c r="C55" s="433"/>
      <c r="D55" s="433"/>
      <c r="E55" s="433"/>
      <c r="F55" s="433"/>
      <c r="G55" s="433"/>
      <c r="H55" s="3">
        <v>85839.318181818162</v>
      </c>
      <c r="I55" s="4">
        <v>2.2000000000000002</v>
      </c>
      <c r="J55" s="67">
        <f>(I55*H55)</f>
        <v>188846.49999999997</v>
      </c>
      <c r="K55" s="434">
        <v>41.055080803340239</v>
      </c>
      <c r="L55" s="434"/>
      <c r="M55" s="68">
        <f>J55/K55</f>
        <v>4599.8326225346373</v>
      </c>
    </row>
    <row r="56" spans="1:15" ht="15.75" thickBot="1">
      <c r="A56" s="435" t="s">
        <v>87</v>
      </c>
      <c r="B56" s="436"/>
      <c r="C56" s="436"/>
      <c r="D56" s="436"/>
      <c r="E56" s="436"/>
      <c r="F56" s="436"/>
      <c r="G56" s="436"/>
      <c r="H56" s="436"/>
      <c r="I56" s="436"/>
      <c r="J56" s="436"/>
      <c r="K56" s="436"/>
      <c r="L56" s="437"/>
      <c r="M56" s="69">
        <f>SUM(M55:M55)</f>
        <v>4599.8326225346373</v>
      </c>
      <c r="O56" s="155"/>
    </row>
    <row r="57" spans="1:15" ht="15.75" thickBot="1">
      <c r="A57" s="30"/>
      <c r="B57" s="19"/>
      <c r="C57" s="19"/>
      <c r="D57" s="19"/>
      <c r="E57" s="19"/>
      <c r="F57" s="19"/>
      <c r="G57" s="19"/>
      <c r="H57" s="19"/>
      <c r="I57" s="19"/>
      <c r="J57" s="19"/>
      <c r="K57" s="19"/>
      <c r="L57" s="19"/>
      <c r="M57" s="24"/>
    </row>
    <row r="58" spans="1:15" ht="15.75" thickBot="1">
      <c r="A58" s="416" t="s">
        <v>101</v>
      </c>
      <c r="B58" s="417"/>
      <c r="C58" s="417"/>
      <c r="D58" s="417"/>
      <c r="E58" s="417"/>
      <c r="F58" s="417"/>
      <c r="G58" s="417"/>
      <c r="H58" s="417"/>
      <c r="I58" s="417"/>
      <c r="J58" s="417"/>
      <c r="K58" s="417"/>
      <c r="L58" s="418"/>
      <c r="M58" s="70">
        <f>ROUND(M56+M50+M43+M33,0)</f>
        <v>4775</v>
      </c>
      <c r="N58" s="155"/>
    </row>
    <row r="59" spans="1:15">
      <c r="A59" s="30"/>
      <c r="B59" s="19"/>
      <c r="C59" s="19"/>
      <c r="D59" s="19"/>
      <c r="E59" s="19"/>
      <c r="F59" s="19"/>
      <c r="G59" s="19"/>
      <c r="H59" s="19"/>
      <c r="I59" s="19"/>
      <c r="J59" s="19"/>
      <c r="K59" s="19"/>
      <c r="L59" s="19"/>
      <c r="M59" s="24"/>
    </row>
    <row r="60" spans="1:15">
      <c r="A60" s="51" t="s">
        <v>102</v>
      </c>
      <c r="B60" s="52"/>
      <c r="C60" s="52"/>
      <c r="D60" s="52"/>
      <c r="E60" s="52"/>
      <c r="F60" s="52"/>
      <c r="G60" s="52"/>
      <c r="H60" s="52"/>
      <c r="I60" s="52"/>
      <c r="J60" s="52"/>
      <c r="K60" s="52"/>
      <c r="L60" s="52"/>
      <c r="M60" s="53"/>
    </row>
    <row r="61" spans="1:15" ht="15.75" thickBot="1">
      <c r="A61" s="30"/>
      <c r="B61" s="19"/>
      <c r="C61" s="19"/>
      <c r="D61" s="19"/>
      <c r="E61" s="19"/>
      <c r="F61" s="19"/>
      <c r="G61" s="19"/>
      <c r="H61" s="19"/>
      <c r="I61" s="19"/>
      <c r="J61" s="19"/>
      <c r="K61" s="19"/>
      <c r="L61" s="19"/>
      <c r="M61" s="24"/>
    </row>
    <row r="62" spans="1:15" ht="15.75" thickBot="1">
      <c r="A62" s="438" t="s">
        <v>103</v>
      </c>
      <c r="B62" s="439"/>
      <c r="C62" s="439"/>
      <c r="D62" s="439"/>
      <c r="E62" s="439"/>
      <c r="F62" s="439"/>
      <c r="G62" s="439"/>
      <c r="H62" s="106"/>
      <c r="I62" s="107"/>
      <c r="J62" s="81" t="s">
        <v>104</v>
      </c>
      <c r="K62" s="440" t="s">
        <v>105</v>
      </c>
      <c r="L62" s="441"/>
      <c r="M62" s="82"/>
    </row>
    <row r="63" spans="1:15">
      <c r="A63" s="442" t="s">
        <v>106</v>
      </c>
      <c r="B63" s="443"/>
      <c r="C63" s="443"/>
      <c r="D63" s="443"/>
      <c r="E63" s="443"/>
      <c r="F63" s="443"/>
      <c r="G63" s="443"/>
      <c r="H63" s="83"/>
      <c r="I63" s="84"/>
      <c r="J63" s="85">
        <v>0.19</v>
      </c>
      <c r="K63" s="444">
        <f>M58*J63</f>
        <v>907.25</v>
      </c>
      <c r="L63" s="444"/>
      <c r="M63" s="86"/>
    </row>
    <row r="64" spans="1:15">
      <c r="A64" s="447" t="s">
        <v>107</v>
      </c>
      <c r="B64" s="448"/>
      <c r="C64" s="448"/>
      <c r="D64" s="448"/>
      <c r="E64" s="448"/>
      <c r="F64" s="448"/>
      <c r="G64" s="449"/>
      <c r="H64" s="77"/>
      <c r="I64" s="78"/>
      <c r="J64" s="5">
        <v>0.01</v>
      </c>
      <c r="K64" s="445">
        <f>M58*J64</f>
        <v>47.75</v>
      </c>
      <c r="L64" s="445"/>
      <c r="M64" s="6"/>
    </row>
    <row r="65" spans="1:13">
      <c r="A65" s="447" t="s">
        <v>108</v>
      </c>
      <c r="B65" s="448"/>
      <c r="C65" s="448"/>
      <c r="D65" s="448"/>
      <c r="E65" s="448"/>
      <c r="F65" s="448"/>
      <c r="G65" s="449"/>
      <c r="H65" s="77"/>
      <c r="I65" s="78"/>
      <c r="J65" s="5">
        <v>0.05</v>
      </c>
      <c r="K65" s="445">
        <f>M58*J65</f>
        <v>238.75</v>
      </c>
      <c r="L65" s="445"/>
      <c r="M65" s="6"/>
    </row>
    <row r="66" spans="1:13" ht="15.75" thickBot="1">
      <c r="A66" s="450" t="s">
        <v>117</v>
      </c>
      <c r="B66" s="451"/>
      <c r="C66" s="451"/>
      <c r="D66" s="451"/>
      <c r="E66" s="451"/>
      <c r="F66" s="451"/>
      <c r="G66" s="452"/>
      <c r="H66" s="87"/>
      <c r="I66" s="88"/>
      <c r="J66" s="89">
        <v>0.19</v>
      </c>
      <c r="K66" s="446">
        <f>K65*J66</f>
        <v>45.362499999999997</v>
      </c>
      <c r="L66" s="446"/>
      <c r="M66" s="90"/>
    </row>
    <row r="67" spans="1:13" ht="15.75" thickBot="1">
      <c r="A67" s="435" t="s">
        <v>87</v>
      </c>
      <c r="B67" s="436"/>
      <c r="C67" s="436"/>
      <c r="D67" s="436"/>
      <c r="E67" s="436"/>
      <c r="F67" s="436"/>
      <c r="G67" s="436"/>
      <c r="H67" s="436"/>
      <c r="I67" s="436"/>
      <c r="J67" s="436"/>
      <c r="K67" s="436"/>
      <c r="L67" s="437"/>
      <c r="M67" s="76">
        <f>SUM(K63:L66)</f>
        <v>1239.1125</v>
      </c>
    </row>
    <row r="68" spans="1:13" ht="15.75" thickBot="1">
      <c r="A68" s="30"/>
      <c r="B68" s="19"/>
      <c r="C68" s="19"/>
      <c r="D68" s="19"/>
      <c r="E68" s="19"/>
      <c r="F68" s="19"/>
      <c r="G68" s="19"/>
      <c r="H68" s="19"/>
      <c r="I68" s="19"/>
      <c r="J68" s="19"/>
      <c r="K68" s="19"/>
      <c r="L68" s="19"/>
      <c r="M68" s="24"/>
    </row>
    <row r="69" spans="1:13" ht="15.75" thickBot="1">
      <c r="A69" s="416" t="s">
        <v>109</v>
      </c>
      <c r="B69" s="417"/>
      <c r="C69" s="417"/>
      <c r="D69" s="417"/>
      <c r="E69" s="417"/>
      <c r="F69" s="417"/>
      <c r="G69" s="417"/>
      <c r="H69" s="417"/>
      <c r="I69" s="417"/>
      <c r="J69" s="417"/>
      <c r="K69" s="417"/>
      <c r="L69" s="418"/>
      <c r="M69" s="71">
        <f>ROUND(M58+M67,0)</f>
        <v>6014</v>
      </c>
    </row>
  </sheetData>
  <mergeCells count="71">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L56"/>
    <mergeCell ref="A58:L58"/>
    <mergeCell ref="A62:G62"/>
    <mergeCell ref="K62:L62"/>
    <mergeCell ref="A66:G66"/>
    <mergeCell ref="K66:L66"/>
    <mergeCell ref="A67:L67"/>
    <mergeCell ref="A69:L69"/>
    <mergeCell ref="A63:G63"/>
    <mergeCell ref="K63:L63"/>
    <mergeCell ref="A64:G64"/>
    <mergeCell ref="K64:L64"/>
    <mergeCell ref="A65:G65"/>
    <mergeCell ref="K65:L65"/>
  </mergeCells>
  <pageMargins left="0.7" right="0.7" top="0.75" bottom="0.75" header="0.3" footer="0.3"/>
  <pageSetup scale="57"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view="pageBreakPreview" topLeftCell="A49" zoomScale="80" zoomScaleNormal="100" zoomScaleSheetLayoutView="80" workbookViewId="0">
      <selection activeCell="M60" sqref="M60"/>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313"/>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314" t="s">
        <v>71</v>
      </c>
      <c r="H12" s="394"/>
      <c r="I12" s="394"/>
      <c r="J12" s="23"/>
      <c r="K12" s="23"/>
      <c r="L12" s="23"/>
      <c r="M12" s="24"/>
    </row>
    <row r="13" spans="1:13">
      <c r="A13" s="25" t="s">
        <v>72</v>
      </c>
      <c r="B13" s="26"/>
      <c r="C13" s="555"/>
      <c r="D13" s="556"/>
      <c r="E13" s="556"/>
      <c r="F13" s="556"/>
      <c r="G13" s="556"/>
      <c r="H13" s="556"/>
      <c r="I13" s="556"/>
      <c r="J13" s="556"/>
      <c r="K13" s="556"/>
      <c r="L13" s="556"/>
      <c r="M13" s="557"/>
    </row>
    <row r="14" spans="1:13">
      <c r="A14" s="25"/>
      <c r="B14" s="26"/>
      <c r="C14" s="394"/>
      <c r="D14" s="394"/>
      <c r="E14" s="394"/>
      <c r="F14" s="394"/>
      <c r="G14" s="394"/>
      <c r="H14" s="394"/>
      <c r="I14" s="394"/>
      <c r="J14" s="394"/>
      <c r="K14" s="394"/>
      <c r="L14" s="394"/>
      <c r="M14" s="558"/>
    </row>
    <row r="15" spans="1:13">
      <c r="A15" s="25"/>
      <c r="B15" s="26"/>
      <c r="C15" s="316"/>
      <c r="D15" s="316"/>
      <c r="E15" s="316"/>
      <c r="F15" s="316"/>
      <c r="G15" s="316"/>
      <c r="H15" s="316"/>
      <c r="I15" s="316"/>
      <c r="J15" s="316"/>
      <c r="K15" s="316"/>
      <c r="L15" s="316"/>
      <c r="M15" s="317"/>
    </row>
    <row r="16" spans="1:13">
      <c r="A16" s="25" t="s">
        <v>73</v>
      </c>
      <c r="B16" s="26"/>
      <c r="C16" s="379"/>
      <c r="D16" s="379"/>
      <c r="E16" s="379"/>
      <c r="F16" s="379"/>
      <c r="G16" s="379"/>
      <c r="H16" s="379"/>
      <c r="I16" s="379"/>
      <c r="J16" s="379"/>
      <c r="K16" s="379"/>
      <c r="L16" s="379"/>
      <c r="M16" s="380"/>
    </row>
    <row r="17" spans="1:19">
      <c r="A17" s="25"/>
      <c r="B17" s="26"/>
      <c r="C17" s="314"/>
      <c r="D17" s="314"/>
      <c r="E17" s="314"/>
      <c r="F17" s="314"/>
      <c r="G17" s="314"/>
      <c r="H17" s="314"/>
      <c r="I17" s="314"/>
      <c r="J17" s="314"/>
      <c r="K17" s="314"/>
      <c r="L17" s="314"/>
      <c r="M17" s="13"/>
    </row>
    <row r="18" spans="1:19">
      <c r="A18" s="25" t="s">
        <v>74</v>
      </c>
      <c r="B18" s="26"/>
      <c r="C18" s="379"/>
      <c r="D18" s="379"/>
      <c r="E18" s="379"/>
      <c r="F18" s="379"/>
      <c r="G18" s="379"/>
      <c r="H18" s="379"/>
      <c r="I18" s="379"/>
      <c r="J18" s="379"/>
      <c r="K18" s="379"/>
      <c r="L18" s="379"/>
      <c r="M18" s="380"/>
    </row>
    <row r="19" spans="1:19">
      <c r="A19" s="25"/>
      <c r="B19" s="26"/>
      <c r="C19" s="314"/>
      <c r="D19" s="314"/>
      <c r="E19" s="314"/>
      <c r="F19" s="314"/>
      <c r="G19" s="314"/>
      <c r="H19" s="314"/>
      <c r="I19" s="314"/>
      <c r="J19" s="314"/>
      <c r="K19" s="314"/>
      <c r="L19" s="314"/>
      <c r="M19" s="13"/>
    </row>
    <row r="20" spans="1:19" ht="31.5" customHeight="1">
      <c r="A20" s="464" t="s">
        <v>113</v>
      </c>
      <c r="B20" s="465"/>
      <c r="C20" s="379"/>
      <c r="D20" s="379"/>
      <c r="E20" s="379"/>
      <c r="F20" s="379"/>
      <c r="G20" s="379"/>
      <c r="H20" s="379"/>
      <c r="I20" s="379"/>
      <c r="J20" s="379"/>
      <c r="K20" s="379"/>
      <c r="L20" s="379"/>
      <c r="M20" s="380"/>
    </row>
    <row r="21" spans="1:19">
      <c r="A21" s="400"/>
      <c r="B21" s="401"/>
      <c r="C21" s="314"/>
      <c r="D21" s="314"/>
      <c r="E21" s="314"/>
      <c r="F21" s="314"/>
      <c r="G21" s="314"/>
      <c r="H21" s="314"/>
      <c r="I21" s="314"/>
      <c r="J21" s="314"/>
      <c r="K21" s="314"/>
      <c r="L21" s="31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306" t="s">
        <v>78</v>
      </c>
      <c r="K25" s="408" t="s">
        <v>79</v>
      </c>
      <c r="L25" s="409"/>
      <c r="M25" s="31" t="s">
        <v>80</v>
      </c>
    </row>
    <row r="26" spans="1:19" ht="63" customHeight="1" thickBot="1">
      <c r="A26" s="33"/>
      <c r="B26" s="509" t="s">
        <v>421</v>
      </c>
      <c r="C26" s="510"/>
      <c r="D26" s="510"/>
      <c r="E26" s="510"/>
      <c r="F26" s="510"/>
      <c r="G26" s="510"/>
      <c r="H26" s="510"/>
      <c r="I26" s="511"/>
      <c r="J26" s="305">
        <v>1</v>
      </c>
      <c r="K26" s="391" t="s">
        <v>9</v>
      </c>
      <c r="L26" s="393"/>
      <c r="M26" s="35"/>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311" t="s">
        <v>83</v>
      </c>
      <c r="K30" s="421" t="s">
        <v>84</v>
      </c>
      <c r="L30" s="424"/>
      <c r="M30" s="44" t="s">
        <v>85</v>
      </c>
    </row>
    <row r="31" spans="1:19" ht="15.75" thickBot="1">
      <c r="A31" s="425"/>
      <c r="B31" s="426"/>
      <c r="C31" s="426"/>
      <c r="D31" s="426"/>
      <c r="E31" s="427"/>
      <c r="F31" s="428"/>
      <c r="G31" s="429"/>
      <c r="H31" s="430"/>
      <c r="I31" s="427"/>
      <c r="J31" s="72"/>
      <c r="K31" s="428"/>
      <c r="L31" s="429"/>
      <c r="M31" s="231">
        <f>K31*J31</f>
        <v>0</v>
      </c>
      <c r="N31" s="489"/>
      <c r="O31" s="490"/>
      <c r="P31" s="95"/>
      <c r="Q31" s="96"/>
      <c r="R31" s="97"/>
      <c r="S31" s="98"/>
    </row>
    <row r="32" spans="1:19">
      <c r="A32" s="425"/>
      <c r="B32" s="426"/>
      <c r="C32" s="426"/>
      <c r="D32" s="426"/>
      <c r="E32" s="427"/>
      <c r="F32" s="428"/>
      <c r="G32" s="429"/>
      <c r="H32" s="430"/>
      <c r="I32" s="427"/>
      <c r="J32" s="72"/>
      <c r="K32" s="428"/>
      <c r="L32" s="429"/>
      <c r="M32" s="46"/>
    </row>
    <row r="33" spans="1:13" ht="15.75" thickBot="1">
      <c r="A33" s="410"/>
      <c r="B33" s="411"/>
      <c r="C33" s="411"/>
      <c r="D33" s="411"/>
      <c r="E33" s="412"/>
      <c r="F33" s="414"/>
      <c r="G33" s="415"/>
      <c r="H33" s="413"/>
      <c r="I33" s="412"/>
      <c r="J33" s="91"/>
      <c r="K33" s="414"/>
      <c r="L33" s="415"/>
      <c r="M33" s="46"/>
    </row>
    <row r="34" spans="1:13" ht="15.75" thickBot="1">
      <c r="A34" s="416" t="s">
        <v>87</v>
      </c>
      <c r="B34" s="417"/>
      <c r="C34" s="417"/>
      <c r="D34" s="417"/>
      <c r="E34" s="417"/>
      <c r="F34" s="417"/>
      <c r="G34" s="417"/>
      <c r="H34" s="417"/>
      <c r="I34" s="417"/>
      <c r="J34" s="417"/>
      <c r="K34" s="417"/>
      <c r="L34" s="418"/>
      <c r="M34" s="232">
        <f>SUM(M31:M33)</f>
        <v>0</v>
      </c>
    </row>
    <row r="35" spans="1:13">
      <c r="A35" s="50"/>
      <c r="B35" s="19"/>
      <c r="C35" s="19"/>
      <c r="D35" s="19"/>
      <c r="E35" s="19"/>
      <c r="F35" s="19"/>
      <c r="G35" s="19"/>
      <c r="H35" s="19"/>
      <c r="I35" s="19"/>
      <c r="J35" s="19"/>
      <c r="K35" s="19"/>
      <c r="L35" s="19"/>
      <c r="M35" s="24"/>
    </row>
    <row r="36" spans="1:13">
      <c r="A36" s="51" t="s">
        <v>88</v>
      </c>
      <c r="B36" s="52"/>
      <c r="C36" s="52"/>
      <c r="D36" s="52"/>
      <c r="E36" s="52"/>
      <c r="F36" s="52"/>
      <c r="G36" s="52"/>
      <c r="H36" s="52"/>
      <c r="I36" s="52"/>
      <c r="J36" s="52"/>
      <c r="K36" s="52"/>
      <c r="L36" s="52"/>
      <c r="M36" s="53"/>
    </row>
    <row r="37" spans="1:13" ht="15.75" thickBot="1">
      <c r="A37" s="14"/>
      <c r="B37" s="15"/>
      <c r="C37" s="15"/>
      <c r="D37" s="15"/>
      <c r="E37" s="15"/>
      <c r="F37" s="15"/>
      <c r="G37" s="15"/>
      <c r="H37" s="15"/>
      <c r="I37" s="19"/>
      <c r="J37" s="19"/>
      <c r="K37" s="19"/>
      <c r="L37" s="19"/>
      <c r="M37" s="24"/>
    </row>
    <row r="38" spans="1:13">
      <c r="A38" s="408" t="s">
        <v>77</v>
      </c>
      <c r="B38" s="431"/>
      <c r="C38" s="431"/>
      <c r="D38" s="431"/>
      <c r="E38" s="431"/>
      <c r="F38" s="431"/>
      <c r="G38" s="431"/>
      <c r="H38" s="424"/>
      <c r="I38" s="307" t="s">
        <v>79</v>
      </c>
      <c r="J38" s="311" t="s">
        <v>80</v>
      </c>
      <c r="K38" s="421" t="s">
        <v>89</v>
      </c>
      <c r="L38" s="424"/>
      <c r="M38" s="44" t="s">
        <v>85</v>
      </c>
    </row>
    <row r="39" spans="1:13" ht="62.25" customHeight="1">
      <c r="A39" s="516" t="s">
        <v>420</v>
      </c>
      <c r="B39" s="559"/>
      <c r="C39" s="559"/>
      <c r="D39" s="559"/>
      <c r="E39" s="559"/>
      <c r="F39" s="559"/>
      <c r="G39" s="559"/>
      <c r="H39" s="560"/>
      <c r="I39" s="73" t="s">
        <v>9</v>
      </c>
      <c r="J39" s="315">
        <v>1</v>
      </c>
      <c r="K39" s="456">
        <v>149364</v>
      </c>
      <c r="L39" s="457"/>
      <c r="M39" s="56">
        <f t="shared" ref="M39:M42" si="0">K39*J39</f>
        <v>149364</v>
      </c>
    </row>
    <row r="40" spans="1:13">
      <c r="A40" s="425" t="s">
        <v>423</v>
      </c>
      <c r="B40" s="426"/>
      <c r="C40" s="426"/>
      <c r="D40" s="426"/>
      <c r="E40" s="426"/>
      <c r="F40" s="426"/>
      <c r="G40" s="426"/>
      <c r="H40" s="427"/>
      <c r="I40" s="73" t="s">
        <v>9</v>
      </c>
      <c r="J40" s="315">
        <v>1</v>
      </c>
      <c r="K40" s="456">
        <v>283995</v>
      </c>
      <c r="L40" s="457"/>
      <c r="M40" s="56">
        <f t="shared" si="0"/>
        <v>283995</v>
      </c>
    </row>
    <row r="41" spans="1:13">
      <c r="A41" s="425" t="s">
        <v>419</v>
      </c>
      <c r="B41" s="426"/>
      <c r="C41" s="426"/>
      <c r="D41" s="426"/>
      <c r="E41" s="426"/>
      <c r="F41" s="426"/>
      <c r="G41" s="426"/>
      <c r="H41" s="427"/>
      <c r="I41" s="73" t="s">
        <v>11</v>
      </c>
      <c r="J41" s="315">
        <v>0.5</v>
      </c>
      <c r="K41" s="456">
        <v>89900</v>
      </c>
      <c r="L41" s="457"/>
      <c r="M41" s="56">
        <f t="shared" si="0"/>
        <v>44950</v>
      </c>
    </row>
    <row r="42" spans="1:13" ht="15.75" thickBot="1">
      <c r="A42" s="410"/>
      <c r="B42" s="411"/>
      <c r="C42" s="411"/>
      <c r="D42" s="411"/>
      <c r="E42" s="411"/>
      <c r="F42" s="411"/>
      <c r="G42" s="411"/>
      <c r="H42" s="412"/>
      <c r="I42" s="74"/>
      <c r="J42" s="211"/>
      <c r="K42" s="466">
        <v>0</v>
      </c>
      <c r="L42" s="467"/>
      <c r="M42" s="56">
        <f t="shared" si="0"/>
        <v>0</v>
      </c>
    </row>
    <row r="43" spans="1:13" ht="15.75" thickBot="1">
      <c r="A43" s="416" t="s">
        <v>87</v>
      </c>
      <c r="B43" s="417"/>
      <c r="C43" s="417"/>
      <c r="D43" s="417"/>
      <c r="E43" s="417"/>
      <c r="F43" s="417"/>
      <c r="G43" s="417"/>
      <c r="H43" s="417"/>
      <c r="I43" s="417"/>
      <c r="J43" s="417"/>
      <c r="K43" s="417"/>
      <c r="L43" s="418"/>
      <c r="M43" s="58">
        <f>SUM(M39:M42)</f>
        <v>478309</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311" t="s">
        <v>92</v>
      </c>
      <c r="I47" s="308" t="s">
        <v>93</v>
      </c>
      <c r="J47" s="60" t="s">
        <v>94</v>
      </c>
      <c r="K47" s="421" t="s">
        <v>95</v>
      </c>
      <c r="L47" s="424"/>
      <c r="M47" s="44" t="s">
        <v>85</v>
      </c>
    </row>
    <row r="48" spans="1:13">
      <c r="A48" s="425"/>
      <c r="B48" s="426"/>
      <c r="C48" s="426"/>
      <c r="D48" s="426"/>
      <c r="E48" s="426"/>
      <c r="F48" s="426"/>
      <c r="G48" s="426"/>
      <c r="H48" s="61"/>
      <c r="I48" s="55"/>
      <c r="J48" s="61"/>
      <c r="K48" s="428"/>
      <c r="L48" s="429"/>
    </row>
    <row r="49" spans="1:13" ht="15.75" thickBot="1">
      <c r="A49" s="410"/>
      <c r="B49" s="411"/>
      <c r="C49" s="411"/>
      <c r="D49" s="411"/>
      <c r="E49" s="411"/>
      <c r="F49" s="411"/>
      <c r="G49" s="411"/>
      <c r="H49" s="47"/>
      <c r="I49" s="15"/>
      <c r="J49" s="47"/>
      <c r="K49" s="414"/>
      <c r="L49" s="415"/>
      <c r="M49" s="62"/>
    </row>
    <row r="50" spans="1:13" ht="15.75" thickBot="1">
      <c r="A50" s="416" t="s">
        <v>87</v>
      </c>
      <c r="B50" s="417"/>
      <c r="C50" s="417"/>
      <c r="D50" s="417"/>
      <c r="E50" s="417"/>
      <c r="F50" s="417"/>
      <c r="G50" s="417"/>
      <c r="H50" s="417"/>
      <c r="I50" s="417"/>
      <c r="J50" s="417"/>
      <c r="K50" s="417"/>
      <c r="L50" s="418"/>
      <c r="M50" s="63">
        <f>SUM(M49:M49)</f>
        <v>0</v>
      </c>
    </row>
    <row r="51" spans="1:13">
      <c r="A51" s="30"/>
      <c r="B51" s="19"/>
      <c r="C51" s="19"/>
      <c r="D51" s="19"/>
      <c r="E51" s="19"/>
      <c r="F51" s="19"/>
      <c r="G51" s="19"/>
      <c r="H51" s="19"/>
      <c r="I51" s="19"/>
      <c r="J51" s="19"/>
      <c r="K51" s="19"/>
      <c r="L51" s="19"/>
      <c r="M51" s="24"/>
    </row>
    <row r="52" spans="1:13">
      <c r="A52" s="51" t="s">
        <v>96</v>
      </c>
      <c r="B52" s="52"/>
      <c r="C52" s="52"/>
      <c r="D52" s="52"/>
      <c r="E52" s="52"/>
      <c r="F52" s="52"/>
      <c r="G52" s="52"/>
      <c r="H52" s="52"/>
      <c r="I52" s="52"/>
      <c r="J52" s="52"/>
      <c r="K52" s="52"/>
      <c r="L52" s="52"/>
      <c r="M52" s="53"/>
    </row>
    <row r="53" spans="1:13" ht="15.75" thickBot="1">
      <c r="A53" s="30"/>
      <c r="B53" s="19"/>
      <c r="C53" s="19"/>
      <c r="D53" s="19"/>
      <c r="E53" s="19"/>
      <c r="F53" s="19"/>
      <c r="G53" s="19"/>
      <c r="H53" s="19"/>
      <c r="I53" s="19"/>
      <c r="J53" s="19"/>
      <c r="K53" s="19"/>
      <c r="L53" s="19"/>
      <c r="M53" s="24"/>
    </row>
    <row r="54" spans="1:13" ht="26.25">
      <c r="A54" s="453" t="s">
        <v>97</v>
      </c>
      <c r="B54" s="454"/>
      <c r="C54" s="454"/>
      <c r="D54" s="454"/>
      <c r="E54" s="454"/>
      <c r="F54" s="454"/>
      <c r="G54" s="454"/>
      <c r="H54" s="311" t="s">
        <v>98</v>
      </c>
      <c r="I54" s="312" t="s">
        <v>99</v>
      </c>
      <c r="J54" s="312" t="s">
        <v>100</v>
      </c>
      <c r="K54" s="455" t="s">
        <v>84</v>
      </c>
      <c r="L54" s="455"/>
      <c r="M54" s="65" t="s">
        <v>85</v>
      </c>
    </row>
    <row r="55" spans="1:13">
      <c r="A55" s="425" t="s">
        <v>126</v>
      </c>
      <c r="B55" s="426"/>
      <c r="C55" s="426"/>
      <c r="D55" s="426"/>
      <c r="E55" s="426"/>
      <c r="F55" s="426"/>
      <c r="G55" s="427"/>
      <c r="H55" s="1">
        <v>112923.49999999999</v>
      </c>
      <c r="I55" s="2">
        <v>2.2000000000000002</v>
      </c>
      <c r="J55" s="66">
        <f>(I55*H55)</f>
        <v>248431.69999999998</v>
      </c>
      <c r="K55" s="483">
        <v>1.2</v>
      </c>
      <c r="L55" s="483"/>
      <c r="M55" s="56">
        <f>J55/K55</f>
        <v>207026.41666666666</v>
      </c>
    </row>
    <row r="56" spans="1:13">
      <c r="A56" s="471"/>
      <c r="B56" s="472"/>
      <c r="C56" s="472"/>
      <c r="D56" s="472"/>
      <c r="E56" s="472"/>
      <c r="F56" s="472"/>
      <c r="G56" s="472"/>
      <c r="H56" s="1"/>
      <c r="I56" s="2"/>
      <c r="J56" s="66"/>
      <c r="K56" s="473"/>
      <c r="L56" s="473"/>
      <c r="M56" s="56"/>
    </row>
    <row r="57" spans="1:13" ht="15.75" thickBot="1">
      <c r="A57" s="432"/>
      <c r="B57" s="433"/>
      <c r="C57" s="433"/>
      <c r="D57" s="433"/>
      <c r="E57" s="433"/>
      <c r="F57" s="433"/>
      <c r="G57" s="433"/>
      <c r="H57" s="3"/>
      <c r="I57" s="4"/>
      <c r="J57" s="67"/>
      <c r="K57" s="434"/>
      <c r="L57" s="434"/>
      <c r="M57" s="68"/>
    </row>
    <row r="58" spans="1:13" ht="15.75" thickBot="1">
      <c r="A58" s="435" t="s">
        <v>87</v>
      </c>
      <c r="B58" s="436"/>
      <c r="C58" s="436"/>
      <c r="D58" s="436"/>
      <c r="E58" s="436"/>
      <c r="F58" s="436"/>
      <c r="G58" s="436"/>
      <c r="H58" s="436"/>
      <c r="I58" s="436"/>
      <c r="J58" s="436"/>
      <c r="K58" s="436"/>
      <c r="L58" s="437"/>
      <c r="M58" s="69">
        <f>SUM(M55:M57)</f>
        <v>207026.41666666666</v>
      </c>
    </row>
    <row r="59" spans="1:13" ht="15.75" thickBot="1">
      <c r="A59" s="30"/>
      <c r="B59" s="19"/>
      <c r="C59" s="19"/>
      <c r="D59" s="19"/>
      <c r="E59" s="19"/>
      <c r="F59" s="19"/>
      <c r="G59" s="19"/>
      <c r="H59" s="19"/>
      <c r="I59" s="19"/>
      <c r="J59" s="19"/>
      <c r="K59" s="19"/>
      <c r="L59" s="19"/>
      <c r="M59" s="24"/>
    </row>
    <row r="60" spans="1:13" ht="15.75" thickBot="1">
      <c r="A60" s="416" t="s">
        <v>101</v>
      </c>
      <c r="B60" s="417"/>
      <c r="C60" s="417"/>
      <c r="D60" s="417"/>
      <c r="E60" s="417"/>
      <c r="F60" s="417"/>
      <c r="G60" s="417"/>
      <c r="H60" s="417"/>
      <c r="I60" s="417"/>
      <c r="J60" s="417"/>
      <c r="K60" s="417"/>
      <c r="L60" s="418"/>
      <c r="M60" s="70">
        <f>ROUND(M58+M50+M43+M34,0)</f>
        <v>685335</v>
      </c>
    </row>
    <row r="61" spans="1:13">
      <c r="A61" s="30"/>
      <c r="B61" s="19"/>
      <c r="C61" s="19"/>
      <c r="D61" s="19"/>
      <c r="E61" s="19"/>
      <c r="F61" s="19"/>
      <c r="G61" s="19"/>
      <c r="H61" s="19"/>
      <c r="I61" s="19"/>
      <c r="J61" s="19"/>
      <c r="K61" s="19"/>
      <c r="L61" s="19"/>
      <c r="M61" s="24"/>
    </row>
    <row r="62" spans="1:13">
      <c r="A62" s="51" t="s">
        <v>102</v>
      </c>
      <c r="B62" s="52"/>
      <c r="C62" s="52"/>
      <c r="D62" s="52"/>
      <c r="E62" s="52"/>
      <c r="F62" s="52"/>
      <c r="G62" s="52"/>
      <c r="H62" s="52"/>
      <c r="I62" s="52"/>
      <c r="J62" s="52"/>
      <c r="K62" s="52"/>
      <c r="L62" s="52"/>
      <c r="M62" s="53"/>
    </row>
    <row r="63" spans="1:13" ht="15.75" thickBot="1">
      <c r="A63" s="30"/>
      <c r="B63" s="19"/>
      <c r="C63" s="19"/>
      <c r="D63" s="19"/>
      <c r="E63" s="19"/>
      <c r="F63" s="19"/>
      <c r="G63" s="19"/>
      <c r="H63" s="19"/>
      <c r="I63" s="19"/>
      <c r="J63" s="19"/>
      <c r="K63" s="19"/>
      <c r="L63" s="19"/>
      <c r="M63" s="24"/>
    </row>
    <row r="64" spans="1:13" ht="15.75" thickBot="1">
      <c r="A64" s="438" t="s">
        <v>103</v>
      </c>
      <c r="B64" s="439"/>
      <c r="C64" s="439"/>
      <c r="D64" s="439"/>
      <c r="E64" s="439"/>
      <c r="F64" s="439"/>
      <c r="G64" s="439"/>
      <c r="H64" s="309"/>
      <c r="I64" s="310"/>
      <c r="J64" s="81" t="s">
        <v>104</v>
      </c>
      <c r="K64" s="440" t="s">
        <v>105</v>
      </c>
      <c r="L64" s="441"/>
      <c r="M64" s="82"/>
    </row>
    <row r="65" spans="1:13">
      <c r="A65" s="442" t="s">
        <v>106</v>
      </c>
      <c r="B65" s="443"/>
      <c r="C65" s="443"/>
      <c r="D65" s="443"/>
      <c r="E65" s="443"/>
      <c r="F65" s="443"/>
      <c r="G65" s="443"/>
      <c r="H65" s="83"/>
      <c r="I65" s="84"/>
      <c r="J65" s="85">
        <v>0.19</v>
      </c>
      <c r="K65" s="444">
        <f>M60*J65</f>
        <v>130213.65000000001</v>
      </c>
      <c r="L65" s="444"/>
      <c r="M65" s="86"/>
    </row>
    <row r="66" spans="1:13">
      <c r="A66" s="447" t="s">
        <v>107</v>
      </c>
      <c r="B66" s="448"/>
      <c r="C66" s="448"/>
      <c r="D66" s="448"/>
      <c r="E66" s="448"/>
      <c r="F66" s="448"/>
      <c r="G66" s="449"/>
      <c r="H66" s="77"/>
      <c r="I66" s="78"/>
      <c r="J66" s="5">
        <v>0.01</v>
      </c>
      <c r="K66" s="445">
        <f>M60*J66</f>
        <v>6853.35</v>
      </c>
      <c r="L66" s="445"/>
      <c r="M66" s="6"/>
    </row>
    <row r="67" spans="1:13">
      <c r="A67" s="447" t="s">
        <v>108</v>
      </c>
      <c r="B67" s="448"/>
      <c r="C67" s="448"/>
      <c r="D67" s="448"/>
      <c r="E67" s="448"/>
      <c r="F67" s="448"/>
      <c r="G67" s="449"/>
      <c r="H67" s="77"/>
      <c r="I67" s="78"/>
      <c r="J67" s="5">
        <v>0.05</v>
      </c>
      <c r="K67" s="445">
        <f>M60*J67</f>
        <v>34266.75</v>
      </c>
      <c r="L67" s="445"/>
      <c r="M67" s="6"/>
    </row>
    <row r="68" spans="1:13" ht="15.75" thickBot="1">
      <c r="A68" s="450" t="s">
        <v>117</v>
      </c>
      <c r="B68" s="451"/>
      <c r="C68" s="451"/>
      <c r="D68" s="451"/>
      <c r="E68" s="451"/>
      <c r="F68" s="451"/>
      <c r="G68" s="452"/>
      <c r="H68" s="87"/>
      <c r="I68" s="88"/>
      <c r="J68" s="89">
        <v>0.19</v>
      </c>
      <c r="K68" s="446">
        <f>K67*J68</f>
        <v>6510.6824999999999</v>
      </c>
      <c r="L68" s="446"/>
      <c r="M68" s="90"/>
    </row>
    <row r="69" spans="1:13" ht="15.75" thickBot="1">
      <c r="A69" s="435" t="s">
        <v>87</v>
      </c>
      <c r="B69" s="436"/>
      <c r="C69" s="436"/>
      <c r="D69" s="436"/>
      <c r="E69" s="436"/>
      <c r="F69" s="436"/>
      <c r="G69" s="436"/>
      <c r="H69" s="436"/>
      <c r="I69" s="436"/>
      <c r="J69" s="436"/>
      <c r="K69" s="436"/>
      <c r="L69" s="437"/>
      <c r="M69" s="76">
        <f>SUM(K65:L68)</f>
        <v>177844.4325</v>
      </c>
    </row>
    <row r="70" spans="1:13" ht="15.75" thickBot="1">
      <c r="A70" s="30"/>
      <c r="B70" s="19"/>
      <c r="C70" s="19"/>
      <c r="D70" s="19"/>
      <c r="E70" s="19"/>
      <c r="F70" s="19"/>
      <c r="G70" s="19"/>
      <c r="H70" s="19"/>
      <c r="I70" s="19"/>
      <c r="J70" s="19"/>
      <c r="K70" s="19"/>
      <c r="L70" s="19"/>
      <c r="M70" s="24"/>
    </row>
    <row r="71" spans="1:13" ht="15.75" thickBot="1">
      <c r="A71" s="416" t="s">
        <v>109</v>
      </c>
      <c r="B71" s="417"/>
      <c r="C71" s="417"/>
      <c r="D71" s="417"/>
      <c r="E71" s="417"/>
      <c r="F71" s="417"/>
      <c r="G71" s="417"/>
      <c r="H71" s="417"/>
      <c r="I71" s="417"/>
      <c r="J71" s="417"/>
      <c r="K71" s="417"/>
      <c r="L71" s="418"/>
      <c r="M71" s="71">
        <f>ROUND(M60+M69,0)</f>
        <v>863179</v>
      </c>
    </row>
  </sheetData>
  <mergeCells count="7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G56"/>
    <mergeCell ref="K56:L56"/>
    <mergeCell ref="A57:G57"/>
    <mergeCell ref="K57:L57"/>
    <mergeCell ref="A58:L58"/>
    <mergeCell ref="A60:L60"/>
    <mergeCell ref="A64:G64"/>
    <mergeCell ref="K64:L64"/>
    <mergeCell ref="A65:G65"/>
    <mergeCell ref="K65:L65"/>
    <mergeCell ref="A69:L69"/>
    <mergeCell ref="A71:L71"/>
    <mergeCell ref="A66:G66"/>
    <mergeCell ref="K66:L66"/>
    <mergeCell ref="A67:G67"/>
    <mergeCell ref="K67:L67"/>
    <mergeCell ref="A68:G68"/>
    <mergeCell ref="K68:L68"/>
  </mergeCells>
  <pageMargins left="0.7" right="0.7" top="0.75" bottom="0.75" header="0.3" footer="0.3"/>
  <pageSetup scale="56"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view="pageBreakPreview" topLeftCell="A46" zoomScale="80" zoomScaleNormal="100" zoomScaleSheetLayoutView="80" workbookViewId="0">
      <selection activeCell="M60" sqref="M60"/>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313"/>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314" t="s">
        <v>71</v>
      </c>
      <c r="H12" s="394"/>
      <c r="I12" s="394"/>
      <c r="J12" s="23"/>
      <c r="K12" s="23"/>
      <c r="L12" s="23"/>
      <c r="M12" s="24"/>
    </row>
    <row r="13" spans="1:13">
      <c r="A13" s="25" t="s">
        <v>72</v>
      </c>
      <c r="B13" s="26"/>
      <c r="C13" s="555"/>
      <c r="D13" s="556"/>
      <c r="E13" s="556"/>
      <c r="F13" s="556"/>
      <c r="G13" s="556"/>
      <c r="H13" s="556"/>
      <c r="I13" s="556"/>
      <c r="J13" s="556"/>
      <c r="K13" s="556"/>
      <c r="L13" s="556"/>
      <c r="M13" s="557"/>
    </row>
    <row r="14" spans="1:13">
      <c r="A14" s="25"/>
      <c r="B14" s="26"/>
      <c r="C14" s="394"/>
      <c r="D14" s="394"/>
      <c r="E14" s="394"/>
      <c r="F14" s="394"/>
      <c r="G14" s="394"/>
      <c r="H14" s="394"/>
      <c r="I14" s="394"/>
      <c r="J14" s="394"/>
      <c r="K14" s="394"/>
      <c r="L14" s="394"/>
      <c r="M14" s="558"/>
    </row>
    <row r="15" spans="1:13">
      <c r="A15" s="25"/>
      <c r="B15" s="26"/>
      <c r="C15" s="316"/>
      <c r="D15" s="316"/>
      <c r="E15" s="316"/>
      <c r="F15" s="316"/>
      <c r="G15" s="316"/>
      <c r="H15" s="316"/>
      <c r="I15" s="316"/>
      <c r="J15" s="316"/>
      <c r="K15" s="316"/>
      <c r="L15" s="316"/>
      <c r="M15" s="317"/>
    </row>
    <row r="16" spans="1:13">
      <c r="A16" s="25" t="s">
        <v>73</v>
      </c>
      <c r="B16" s="26"/>
      <c r="C16" s="379"/>
      <c r="D16" s="379"/>
      <c r="E16" s="379"/>
      <c r="F16" s="379"/>
      <c r="G16" s="379"/>
      <c r="H16" s="379"/>
      <c r="I16" s="379"/>
      <c r="J16" s="379"/>
      <c r="K16" s="379"/>
      <c r="L16" s="379"/>
      <c r="M16" s="380"/>
    </row>
    <row r="17" spans="1:19">
      <c r="A17" s="25"/>
      <c r="B17" s="26"/>
      <c r="C17" s="314"/>
      <c r="D17" s="314"/>
      <c r="E17" s="314"/>
      <c r="F17" s="314"/>
      <c r="G17" s="314"/>
      <c r="H17" s="314"/>
      <c r="I17" s="314"/>
      <c r="J17" s="314"/>
      <c r="K17" s="314"/>
      <c r="L17" s="314"/>
      <c r="M17" s="13"/>
    </row>
    <row r="18" spans="1:19">
      <c r="A18" s="25" t="s">
        <v>74</v>
      </c>
      <c r="B18" s="26"/>
      <c r="C18" s="379"/>
      <c r="D18" s="379"/>
      <c r="E18" s="379"/>
      <c r="F18" s="379"/>
      <c r="G18" s="379"/>
      <c r="H18" s="379"/>
      <c r="I18" s="379"/>
      <c r="J18" s="379"/>
      <c r="K18" s="379"/>
      <c r="L18" s="379"/>
      <c r="M18" s="380"/>
    </row>
    <row r="19" spans="1:19">
      <c r="A19" s="25"/>
      <c r="B19" s="26"/>
      <c r="C19" s="314"/>
      <c r="D19" s="314"/>
      <c r="E19" s="314"/>
      <c r="F19" s="314"/>
      <c r="G19" s="314"/>
      <c r="H19" s="314"/>
      <c r="I19" s="314"/>
      <c r="J19" s="314"/>
      <c r="K19" s="314"/>
      <c r="L19" s="314"/>
      <c r="M19" s="13"/>
    </row>
    <row r="20" spans="1:19" ht="31.5" customHeight="1">
      <c r="A20" s="464" t="s">
        <v>113</v>
      </c>
      <c r="B20" s="465"/>
      <c r="C20" s="379"/>
      <c r="D20" s="379"/>
      <c r="E20" s="379"/>
      <c r="F20" s="379"/>
      <c r="G20" s="379"/>
      <c r="H20" s="379"/>
      <c r="I20" s="379"/>
      <c r="J20" s="379"/>
      <c r="K20" s="379"/>
      <c r="L20" s="379"/>
      <c r="M20" s="380"/>
    </row>
    <row r="21" spans="1:19">
      <c r="A21" s="400"/>
      <c r="B21" s="401"/>
      <c r="C21" s="314"/>
      <c r="D21" s="314"/>
      <c r="E21" s="314"/>
      <c r="F21" s="314"/>
      <c r="G21" s="314"/>
      <c r="H21" s="314"/>
      <c r="I21" s="314"/>
      <c r="J21" s="314"/>
      <c r="K21" s="314"/>
      <c r="L21" s="31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306" t="s">
        <v>78</v>
      </c>
      <c r="K25" s="408" t="s">
        <v>79</v>
      </c>
      <c r="L25" s="409"/>
      <c r="M25" s="31" t="s">
        <v>80</v>
      </c>
    </row>
    <row r="26" spans="1:19" ht="63" customHeight="1" thickBot="1">
      <c r="A26" s="33"/>
      <c r="B26" s="509" t="s">
        <v>378</v>
      </c>
      <c r="C26" s="510"/>
      <c r="D26" s="510"/>
      <c r="E26" s="510"/>
      <c r="F26" s="510"/>
      <c r="G26" s="510"/>
      <c r="H26" s="510"/>
      <c r="I26" s="511"/>
      <c r="J26" s="305">
        <v>1</v>
      </c>
      <c r="K26" s="391" t="s">
        <v>9</v>
      </c>
      <c r="L26" s="393"/>
      <c r="M26" s="35"/>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311" t="s">
        <v>83</v>
      </c>
      <c r="K30" s="421" t="s">
        <v>84</v>
      </c>
      <c r="L30" s="424"/>
      <c r="M30" s="44" t="s">
        <v>85</v>
      </c>
    </row>
    <row r="31" spans="1:19" ht="15.75" thickBot="1">
      <c r="A31" s="425"/>
      <c r="B31" s="426"/>
      <c r="C31" s="426"/>
      <c r="D31" s="426"/>
      <c r="E31" s="427"/>
      <c r="F31" s="428"/>
      <c r="G31" s="429"/>
      <c r="H31" s="430"/>
      <c r="I31" s="427"/>
      <c r="J31" s="72"/>
      <c r="K31" s="428"/>
      <c r="L31" s="429"/>
      <c r="M31" s="231">
        <f>K31*J31</f>
        <v>0</v>
      </c>
      <c r="N31" s="489"/>
      <c r="O31" s="490"/>
      <c r="P31" s="95"/>
      <c r="Q31" s="96"/>
      <c r="R31" s="97"/>
      <c r="S31" s="98"/>
    </row>
    <row r="32" spans="1:19">
      <c r="A32" s="425"/>
      <c r="B32" s="426"/>
      <c r="C32" s="426"/>
      <c r="D32" s="426"/>
      <c r="E32" s="427"/>
      <c r="F32" s="428"/>
      <c r="G32" s="429"/>
      <c r="H32" s="430"/>
      <c r="I32" s="427"/>
      <c r="J32" s="72"/>
      <c r="K32" s="428"/>
      <c r="L32" s="429"/>
      <c r="M32" s="46"/>
    </row>
    <row r="33" spans="1:13" ht="15.75" thickBot="1">
      <c r="A33" s="410"/>
      <c r="B33" s="411"/>
      <c r="C33" s="411"/>
      <c r="D33" s="411"/>
      <c r="E33" s="412"/>
      <c r="F33" s="414"/>
      <c r="G33" s="415"/>
      <c r="H33" s="413"/>
      <c r="I33" s="412"/>
      <c r="J33" s="91"/>
      <c r="K33" s="414"/>
      <c r="L33" s="415"/>
      <c r="M33" s="46"/>
    </row>
    <row r="34" spans="1:13" ht="15.75" thickBot="1">
      <c r="A34" s="416" t="s">
        <v>87</v>
      </c>
      <c r="B34" s="417"/>
      <c r="C34" s="417"/>
      <c r="D34" s="417"/>
      <c r="E34" s="417"/>
      <c r="F34" s="417"/>
      <c r="G34" s="417"/>
      <c r="H34" s="417"/>
      <c r="I34" s="417"/>
      <c r="J34" s="417"/>
      <c r="K34" s="417"/>
      <c r="L34" s="418"/>
      <c r="M34" s="232">
        <f>SUM(M31:M33)</f>
        <v>0</v>
      </c>
    </row>
    <row r="35" spans="1:13">
      <c r="A35" s="50"/>
      <c r="B35" s="19"/>
      <c r="C35" s="19"/>
      <c r="D35" s="19"/>
      <c r="E35" s="19"/>
      <c r="F35" s="19"/>
      <c r="G35" s="19"/>
      <c r="H35" s="19"/>
      <c r="I35" s="19"/>
      <c r="J35" s="19"/>
      <c r="K35" s="19"/>
      <c r="L35" s="19"/>
      <c r="M35" s="24"/>
    </row>
    <row r="36" spans="1:13">
      <c r="A36" s="51" t="s">
        <v>88</v>
      </c>
      <c r="B36" s="52"/>
      <c r="C36" s="52"/>
      <c r="D36" s="52"/>
      <c r="E36" s="52"/>
      <c r="F36" s="52"/>
      <c r="G36" s="52"/>
      <c r="H36" s="52"/>
      <c r="I36" s="52"/>
      <c r="J36" s="52"/>
      <c r="K36" s="52"/>
      <c r="L36" s="52"/>
      <c r="M36" s="53"/>
    </row>
    <row r="37" spans="1:13" ht="15.75" thickBot="1">
      <c r="A37" s="14"/>
      <c r="B37" s="15"/>
      <c r="C37" s="15"/>
      <c r="D37" s="15"/>
      <c r="E37" s="15"/>
      <c r="F37" s="15"/>
      <c r="G37" s="15"/>
      <c r="H37" s="15"/>
      <c r="I37" s="19"/>
      <c r="J37" s="19"/>
      <c r="K37" s="19"/>
      <c r="L37" s="19"/>
      <c r="M37" s="24"/>
    </row>
    <row r="38" spans="1:13">
      <c r="A38" s="408" t="s">
        <v>77</v>
      </c>
      <c r="B38" s="431"/>
      <c r="C38" s="431"/>
      <c r="D38" s="431"/>
      <c r="E38" s="431"/>
      <c r="F38" s="431"/>
      <c r="G38" s="431"/>
      <c r="H38" s="424"/>
      <c r="I38" s="307" t="s">
        <v>79</v>
      </c>
      <c r="J38" s="311" t="s">
        <v>80</v>
      </c>
      <c r="K38" s="421" t="s">
        <v>89</v>
      </c>
      <c r="L38" s="424"/>
      <c r="M38" s="44" t="s">
        <v>85</v>
      </c>
    </row>
    <row r="39" spans="1:13">
      <c r="A39" s="516" t="s">
        <v>424</v>
      </c>
      <c r="B39" s="559"/>
      <c r="C39" s="559"/>
      <c r="D39" s="559"/>
      <c r="E39" s="559"/>
      <c r="F39" s="559"/>
      <c r="G39" s="559"/>
      <c r="H39" s="560"/>
      <c r="I39" s="73" t="s">
        <v>8</v>
      </c>
      <c r="J39" s="315">
        <v>0.5</v>
      </c>
      <c r="K39" s="456">
        <v>311000</v>
      </c>
      <c r="L39" s="457"/>
      <c r="M39" s="56">
        <f t="shared" ref="M39:M42" si="0">K39*J39</f>
        <v>155500</v>
      </c>
    </row>
    <row r="40" spans="1:13">
      <c r="A40" s="425" t="s">
        <v>422</v>
      </c>
      <c r="B40" s="426"/>
      <c r="C40" s="426"/>
      <c r="D40" s="426"/>
      <c r="E40" s="426"/>
      <c r="F40" s="426"/>
      <c r="G40" s="426"/>
      <c r="H40" s="427"/>
      <c r="I40" s="73" t="s">
        <v>9</v>
      </c>
      <c r="J40" s="315">
        <v>1</v>
      </c>
      <c r="K40" s="456">
        <v>404514</v>
      </c>
      <c r="L40" s="457"/>
      <c r="M40" s="56">
        <f t="shared" si="0"/>
        <v>404514</v>
      </c>
    </row>
    <row r="41" spans="1:13">
      <c r="A41" s="425"/>
      <c r="B41" s="426"/>
      <c r="C41" s="426"/>
      <c r="D41" s="426"/>
      <c r="E41" s="426"/>
      <c r="F41" s="426"/>
      <c r="G41" s="426"/>
      <c r="H41" s="427"/>
      <c r="I41" s="73"/>
      <c r="J41" s="315"/>
      <c r="K41" s="456">
        <v>0</v>
      </c>
      <c r="L41" s="457"/>
      <c r="M41" s="56">
        <f t="shared" si="0"/>
        <v>0</v>
      </c>
    </row>
    <row r="42" spans="1:13" ht="15.75" thickBot="1">
      <c r="A42" s="410"/>
      <c r="B42" s="411"/>
      <c r="C42" s="411"/>
      <c r="D42" s="411"/>
      <c r="E42" s="411"/>
      <c r="F42" s="411"/>
      <c r="G42" s="411"/>
      <c r="H42" s="412"/>
      <c r="I42" s="74"/>
      <c r="J42" s="211"/>
      <c r="K42" s="466">
        <v>0</v>
      </c>
      <c r="L42" s="467"/>
      <c r="M42" s="56">
        <f t="shared" si="0"/>
        <v>0</v>
      </c>
    </row>
    <row r="43" spans="1:13" ht="15.75" thickBot="1">
      <c r="A43" s="416" t="s">
        <v>87</v>
      </c>
      <c r="B43" s="417"/>
      <c r="C43" s="417"/>
      <c r="D43" s="417"/>
      <c r="E43" s="417"/>
      <c r="F43" s="417"/>
      <c r="G43" s="417"/>
      <c r="H43" s="417"/>
      <c r="I43" s="417"/>
      <c r="J43" s="417"/>
      <c r="K43" s="417"/>
      <c r="L43" s="418"/>
      <c r="M43" s="58">
        <f>SUM(M39:M42)</f>
        <v>560014</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311" t="s">
        <v>92</v>
      </c>
      <c r="I47" s="308" t="s">
        <v>93</v>
      </c>
      <c r="J47" s="60" t="s">
        <v>94</v>
      </c>
      <c r="K47" s="421" t="s">
        <v>95</v>
      </c>
      <c r="L47" s="424"/>
      <c r="M47" s="44" t="s">
        <v>85</v>
      </c>
    </row>
    <row r="48" spans="1:13">
      <c r="A48" s="425"/>
      <c r="B48" s="426"/>
      <c r="C48" s="426"/>
      <c r="D48" s="426"/>
      <c r="E48" s="426"/>
      <c r="F48" s="426"/>
      <c r="G48" s="426"/>
      <c r="H48" s="61"/>
      <c r="I48" s="55"/>
      <c r="J48" s="61"/>
      <c r="K48" s="428"/>
      <c r="L48" s="429"/>
    </row>
    <row r="49" spans="1:13" ht="15.75" thickBot="1">
      <c r="A49" s="410"/>
      <c r="B49" s="411"/>
      <c r="C49" s="411"/>
      <c r="D49" s="411"/>
      <c r="E49" s="411"/>
      <c r="F49" s="411"/>
      <c r="G49" s="411"/>
      <c r="H49" s="47"/>
      <c r="I49" s="15"/>
      <c r="J49" s="47"/>
      <c r="K49" s="414"/>
      <c r="L49" s="415"/>
      <c r="M49" s="62"/>
    </row>
    <row r="50" spans="1:13" ht="15.75" thickBot="1">
      <c r="A50" s="416" t="s">
        <v>87</v>
      </c>
      <c r="B50" s="417"/>
      <c r="C50" s="417"/>
      <c r="D50" s="417"/>
      <c r="E50" s="417"/>
      <c r="F50" s="417"/>
      <c r="G50" s="417"/>
      <c r="H50" s="417"/>
      <c r="I50" s="417"/>
      <c r="J50" s="417"/>
      <c r="K50" s="417"/>
      <c r="L50" s="418"/>
      <c r="M50" s="63">
        <f>SUM(M49:M49)</f>
        <v>0</v>
      </c>
    </row>
    <row r="51" spans="1:13">
      <c r="A51" s="30"/>
      <c r="B51" s="19"/>
      <c r="C51" s="19"/>
      <c r="D51" s="19"/>
      <c r="E51" s="19"/>
      <c r="F51" s="19"/>
      <c r="G51" s="19"/>
      <c r="H51" s="19"/>
      <c r="I51" s="19"/>
      <c r="J51" s="19"/>
      <c r="K51" s="19"/>
      <c r="L51" s="19"/>
      <c r="M51" s="24"/>
    </row>
    <row r="52" spans="1:13">
      <c r="A52" s="51" t="s">
        <v>96</v>
      </c>
      <c r="B52" s="52"/>
      <c r="C52" s="52"/>
      <c r="D52" s="52"/>
      <c r="E52" s="52"/>
      <c r="F52" s="52"/>
      <c r="G52" s="52"/>
      <c r="H52" s="52"/>
      <c r="I52" s="52"/>
      <c r="J52" s="52"/>
      <c r="K52" s="52"/>
      <c r="L52" s="52"/>
      <c r="M52" s="53"/>
    </row>
    <row r="53" spans="1:13" ht="15.75" thickBot="1">
      <c r="A53" s="30"/>
      <c r="B53" s="19"/>
      <c r="C53" s="19"/>
      <c r="D53" s="19"/>
      <c r="E53" s="19"/>
      <c r="F53" s="19"/>
      <c r="G53" s="19"/>
      <c r="H53" s="19"/>
      <c r="I53" s="19"/>
      <c r="J53" s="19"/>
      <c r="K53" s="19"/>
      <c r="L53" s="19"/>
      <c r="M53" s="24"/>
    </row>
    <row r="54" spans="1:13" ht="26.25">
      <c r="A54" s="453" t="s">
        <v>97</v>
      </c>
      <c r="B54" s="454"/>
      <c r="C54" s="454"/>
      <c r="D54" s="454"/>
      <c r="E54" s="454"/>
      <c r="F54" s="454"/>
      <c r="G54" s="454"/>
      <c r="H54" s="311" t="s">
        <v>98</v>
      </c>
      <c r="I54" s="312" t="s">
        <v>99</v>
      </c>
      <c r="J54" s="312" t="s">
        <v>100</v>
      </c>
      <c r="K54" s="455" t="s">
        <v>84</v>
      </c>
      <c r="L54" s="455"/>
      <c r="M54" s="65" t="s">
        <v>85</v>
      </c>
    </row>
    <row r="55" spans="1:13">
      <c r="A55" s="425" t="s">
        <v>126</v>
      </c>
      <c r="B55" s="426"/>
      <c r="C55" s="426"/>
      <c r="D55" s="426"/>
      <c r="E55" s="426"/>
      <c r="F55" s="426"/>
      <c r="G55" s="427"/>
      <c r="H55" s="1">
        <v>112923.49999999999</v>
      </c>
      <c r="I55" s="2">
        <v>2.2000000000000002</v>
      </c>
      <c r="J55" s="66">
        <f>(I55*H55)</f>
        <v>248431.69999999998</v>
      </c>
      <c r="K55" s="483">
        <v>1.5</v>
      </c>
      <c r="L55" s="483"/>
      <c r="M55" s="56">
        <f>J55/K55</f>
        <v>165621.13333333333</v>
      </c>
    </row>
    <row r="56" spans="1:13">
      <c r="A56" s="471"/>
      <c r="B56" s="472"/>
      <c r="C56" s="472"/>
      <c r="D56" s="472"/>
      <c r="E56" s="472"/>
      <c r="F56" s="472"/>
      <c r="G56" s="472"/>
      <c r="H56" s="1"/>
      <c r="I56" s="2"/>
      <c r="J56" s="66"/>
      <c r="K56" s="473"/>
      <c r="L56" s="473"/>
      <c r="M56" s="56"/>
    </row>
    <row r="57" spans="1:13" ht="15.75" thickBot="1">
      <c r="A57" s="432"/>
      <c r="B57" s="433"/>
      <c r="C57" s="433"/>
      <c r="D57" s="433"/>
      <c r="E57" s="433"/>
      <c r="F57" s="433"/>
      <c r="G57" s="433"/>
      <c r="H57" s="3"/>
      <c r="I57" s="4"/>
      <c r="J57" s="67"/>
      <c r="K57" s="434"/>
      <c r="L57" s="434"/>
      <c r="M57" s="68"/>
    </row>
    <row r="58" spans="1:13" ht="15.75" thickBot="1">
      <c r="A58" s="435" t="s">
        <v>87</v>
      </c>
      <c r="B58" s="436"/>
      <c r="C58" s="436"/>
      <c r="D58" s="436"/>
      <c r="E58" s="436"/>
      <c r="F58" s="436"/>
      <c r="G58" s="436"/>
      <c r="H58" s="436"/>
      <c r="I58" s="436"/>
      <c r="J58" s="436"/>
      <c r="K58" s="436"/>
      <c r="L58" s="437"/>
      <c r="M58" s="69">
        <f>SUM(M55:M57)</f>
        <v>165621.13333333333</v>
      </c>
    </row>
    <row r="59" spans="1:13" ht="15.75" thickBot="1">
      <c r="A59" s="30"/>
      <c r="B59" s="19"/>
      <c r="C59" s="19"/>
      <c r="D59" s="19"/>
      <c r="E59" s="19"/>
      <c r="F59" s="19"/>
      <c r="G59" s="19"/>
      <c r="H59" s="19"/>
      <c r="I59" s="19"/>
      <c r="J59" s="19"/>
      <c r="K59" s="19"/>
      <c r="L59" s="19"/>
      <c r="M59" s="24"/>
    </row>
    <row r="60" spans="1:13" ht="15.75" thickBot="1">
      <c r="A60" s="416" t="s">
        <v>101</v>
      </c>
      <c r="B60" s="417"/>
      <c r="C60" s="417"/>
      <c r="D60" s="417"/>
      <c r="E60" s="417"/>
      <c r="F60" s="417"/>
      <c r="G60" s="417"/>
      <c r="H60" s="417"/>
      <c r="I60" s="417"/>
      <c r="J60" s="417"/>
      <c r="K60" s="417"/>
      <c r="L60" s="418"/>
      <c r="M60" s="70">
        <f>ROUND(M58+M50+M43+M34,0)</f>
        <v>725635</v>
      </c>
    </row>
    <row r="61" spans="1:13">
      <c r="A61" s="30"/>
      <c r="B61" s="19"/>
      <c r="C61" s="19"/>
      <c r="D61" s="19"/>
      <c r="E61" s="19"/>
      <c r="F61" s="19"/>
      <c r="G61" s="19"/>
      <c r="H61" s="19"/>
      <c r="I61" s="19"/>
      <c r="J61" s="19"/>
      <c r="K61" s="19"/>
      <c r="L61" s="19"/>
      <c r="M61" s="24"/>
    </row>
    <row r="62" spans="1:13">
      <c r="A62" s="51" t="s">
        <v>102</v>
      </c>
      <c r="B62" s="52"/>
      <c r="C62" s="52"/>
      <c r="D62" s="52"/>
      <c r="E62" s="52"/>
      <c r="F62" s="52"/>
      <c r="G62" s="52"/>
      <c r="H62" s="52"/>
      <c r="I62" s="52"/>
      <c r="J62" s="52"/>
      <c r="K62" s="52"/>
      <c r="L62" s="52"/>
      <c r="M62" s="53"/>
    </row>
    <row r="63" spans="1:13" ht="15.75" thickBot="1">
      <c r="A63" s="30"/>
      <c r="B63" s="19"/>
      <c r="C63" s="19"/>
      <c r="D63" s="19"/>
      <c r="E63" s="19"/>
      <c r="F63" s="19"/>
      <c r="G63" s="19"/>
      <c r="H63" s="19"/>
      <c r="I63" s="19"/>
      <c r="J63" s="19"/>
      <c r="K63" s="19"/>
      <c r="L63" s="19"/>
      <c r="M63" s="24"/>
    </row>
    <row r="64" spans="1:13" ht="15.75" thickBot="1">
      <c r="A64" s="438" t="s">
        <v>103</v>
      </c>
      <c r="B64" s="439"/>
      <c r="C64" s="439"/>
      <c r="D64" s="439"/>
      <c r="E64" s="439"/>
      <c r="F64" s="439"/>
      <c r="G64" s="439"/>
      <c r="H64" s="309"/>
      <c r="I64" s="310"/>
      <c r="J64" s="81" t="s">
        <v>104</v>
      </c>
      <c r="K64" s="440" t="s">
        <v>105</v>
      </c>
      <c r="L64" s="441"/>
      <c r="M64" s="82"/>
    </row>
    <row r="65" spans="1:13">
      <c r="A65" s="442" t="s">
        <v>106</v>
      </c>
      <c r="B65" s="443"/>
      <c r="C65" s="443"/>
      <c r="D65" s="443"/>
      <c r="E65" s="443"/>
      <c r="F65" s="443"/>
      <c r="G65" s="443"/>
      <c r="H65" s="83"/>
      <c r="I65" s="84"/>
      <c r="J65" s="85">
        <v>0.19</v>
      </c>
      <c r="K65" s="444">
        <f>M60*J65</f>
        <v>137870.65</v>
      </c>
      <c r="L65" s="444"/>
      <c r="M65" s="86"/>
    </row>
    <row r="66" spans="1:13">
      <c r="A66" s="447" t="s">
        <v>107</v>
      </c>
      <c r="B66" s="448"/>
      <c r="C66" s="448"/>
      <c r="D66" s="448"/>
      <c r="E66" s="448"/>
      <c r="F66" s="448"/>
      <c r="G66" s="449"/>
      <c r="H66" s="77"/>
      <c r="I66" s="78"/>
      <c r="J66" s="5">
        <v>0.01</v>
      </c>
      <c r="K66" s="445">
        <f>M60*J66</f>
        <v>7256.35</v>
      </c>
      <c r="L66" s="445"/>
      <c r="M66" s="6"/>
    </row>
    <row r="67" spans="1:13">
      <c r="A67" s="447" t="s">
        <v>108</v>
      </c>
      <c r="B67" s="448"/>
      <c r="C67" s="448"/>
      <c r="D67" s="448"/>
      <c r="E67" s="448"/>
      <c r="F67" s="448"/>
      <c r="G67" s="449"/>
      <c r="H67" s="77"/>
      <c r="I67" s="78"/>
      <c r="J67" s="5">
        <v>0.05</v>
      </c>
      <c r="K67" s="445">
        <f>M60*J67</f>
        <v>36281.75</v>
      </c>
      <c r="L67" s="445"/>
      <c r="M67" s="6"/>
    </row>
    <row r="68" spans="1:13" ht="15.75" thickBot="1">
      <c r="A68" s="450" t="s">
        <v>117</v>
      </c>
      <c r="B68" s="451"/>
      <c r="C68" s="451"/>
      <c r="D68" s="451"/>
      <c r="E68" s="451"/>
      <c r="F68" s="451"/>
      <c r="G68" s="452"/>
      <c r="H68" s="87"/>
      <c r="I68" s="88"/>
      <c r="J68" s="89">
        <v>0.19</v>
      </c>
      <c r="K68" s="446">
        <f>K67*J68</f>
        <v>6893.5325000000003</v>
      </c>
      <c r="L68" s="446"/>
      <c r="M68" s="90"/>
    </row>
    <row r="69" spans="1:13" ht="15.75" thickBot="1">
      <c r="A69" s="435" t="s">
        <v>87</v>
      </c>
      <c r="B69" s="436"/>
      <c r="C69" s="436"/>
      <c r="D69" s="436"/>
      <c r="E69" s="436"/>
      <c r="F69" s="436"/>
      <c r="G69" s="436"/>
      <c r="H69" s="436"/>
      <c r="I69" s="436"/>
      <c r="J69" s="436"/>
      <c r="K69" s="436"/>
      <c r="L69" s="437"/>
      <c r="M69" s="76">
        <f>SUM(K65:L68)</f>
        <v>188302.2825</v>
      </c>
    </row>
    <row r="70" spans="1:13" ht="15.75" thickBot="1">
      <c r="A70" s="30"/>
      <c r="B70" s="19"/>
      <c r="C70" s="19"/>
      <c r="D70" s="19"/>
      <c r="E70" s="19"/>
      <c r="F70" s="19"/>
      <c r="G70" s="19"/>
      <c r="H70" s="19"/>
      <c r="I70" s="19"/>
      <c r="J70" s="19"/>
      <c r="K70" s="19"/>
      <c r="L70" s="19"/>
      <c r="M70" s="24"/>
    </row>
    <row r="71" spans="1:13" ht="15.75" thickBot="1">
      <c r="A71" s="416" t="s">
        <v>109</v>
      </c>
      <c r="B71" s="417"/>
      <c r="C71" s="417"/>
      <c r="D71" s="417"/>
      <c r="E71" s="417"/>
      <c r="F71" s="417"/>
      <c r="G71" s="417"/>
      <c r="H71" s="417"/>
      <c r="I71" s="417"/>
      <c r="J71" s="417"/>
      <c r="K71" s="417"/>
      <c r="L71" s="418"/>
      <c r="M71" s="71">
        <f>ROUND(M60+M69,0)</f>
        <v>913937</v>
      </c>
    </row>
  </sheetData>
  <mergeCells count="7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G56"/>
    <mergeCell ref="K56:L56"/>
    <mergeCell ref="A57:G57"/>
    <mergeCell ref="K57:L57"/>
    <mergeCell ref="A58:L58"/>
    <mergeCell ref="A60:L60"/>
    <mergeCell ref="A64:G64"/>
    <mergeCell ref="K64:L64"/>
    <mergeCell ref="A65:G65"/>
    <mergeCell ref="K65:L65"/>
    <mergeCell ref="A69:L69"/>
    <mergeCell ref="A71:L71"/>
    <mergeCell ref="A66:G66"/>
    <mergeCell ref="K66:L66"/>
    <mergeCell ref="A67:G67"/>
    <mergeCell ref="K67:L67"/>
    <mergeCell ref="A68:G68"/>
    <mergeCell ref="K68:L68"/>
  </mergeCells>
  <pageMargins left="0.7" right="0.7" top="0.75" bottom="0.75" header="0.3" footer="0.3"/>
  <pageSetup scale="56"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view="pageBreakPreview" topLeftCell="A46" zoomScale="80" zoomScaleNormal="100" zoomScaleSheetLayoutView="80" workbookViewId="0">
      <selection activeCell="M60" sqref="M60"/>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313"/>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314" t="s">
        <v>71</v>
      </c>
      <c r="H12" s="394"/>
      <c r="I12" s="394"/>
      <c r="J12" s="23"/>
      <c r="K12" s="23"/>
      <c r="L12" s="23"/>
      <c r="M12" s="24"/>
    </row>
    <row r="13" spans="1:13">
      <c r="A13" s="25" t="s">
        <v>72</v>
      </c>
      <c r="B13" s="26"/>
      <c r="C13" s="555"/>
      <c r="D13" s="556"/>
      <c r="E13" s="556"/>
      <c r="F13" s="556"/>
      <c r="G13" s="556"/>
      <c r="H13" s="556"/>
      <c r="I13" s="556"/>
      <c r="J13" s="556"/>
      <c r="K13" s="556"/>
      <c r="L13" s="556"/>
      <c r="M13" s="557"/>
    </row>
    <row r="14" spans="1:13">
      <c r="A14" s="25"/>
      <c r="B14" s="26"/>
      <c r="C14" s="394"/>
      <c r="D14" s="394"/>
      <c r="E14" s="394"/>
      <c r="F14" s="394"/>
      <c r="G14" s="394"/>
      <c r="H14" s="394"/>
      <c r="I14" s="394"/>
      <c r="J14" s="394"/>
      <c r="K14" s="394"/>
      <c r="L14" s="394"/>
      <c r="M14" s="558"/>
    </row>
    <row r="15" spans="1:13">
      <c r="A15" s="25"/>
      <c r="B15" s="26"/>
      <c r="C15" s="316"/>
      <c r="D15" s="316"/>
      <c r="E15" s="316"/>
      <c r="F15" s="316"/>
      <c r="G15" s="316"/>
      <c r="H15" s="316"/>
      <c r="I15" s="316"/>
      <c r="J15" s="316"/>
      <c r="K15" s="316"/>
      <c r="L15" s="316"/>
      <c r="M15" s="317"/>
    </row>
    <row r="16" spans="1:13">
      <c r="A16" s="25" t="s">
        <v>73</v>
      </c>
      <c r="B16" s="26"/>
      <c r="C16" s="379"/>
      <c r="D16" s="379"/>
      <c r="E16" s="379"/>
      <c r="F16" s="379"/>
      <c r="G16" s="379"/>
      <c r="H16" s="379"/>
      <c r="I16" s="379"/>
      <c r="J16" s="379"/>
      <c r="K16" s="379"/>
      <c r="L16" s="379"/>
      <c r="M16" s="380"/>
    </row>
    <row r="17" spans="1:19">
      <c r="A17" s="25"/>
      <c r="B17" s="26"/>
      <c r="C17" s="314"/>
      <c r="D17" s="314"/>
      <c r="E17" s="314"/>
      <c r="F17" s="314"/>
      <c r="G17" s="314"/>
      <c r="H17" s="314"/>
      <c r="I17" s="314"/>
      <c r="J17" s="314"/>
      <c r="K17" s="314"/>
      <c r="L17" s="314"/>
      <c r="M17" s="13"/>
    </row>
    <row r="18" spans="1:19">
      <c r="A18" s="25" t="s">
        <v>74</v>
      </c>
      <c r="B18" s="26"/>
      <c r="C18" s="379"/>
      <c r="D18" s="379"/>
      <c r="E18" s="379"/>
      <c r="F18" s="379"/>
      <c r="G18" s="379"/>
      <c r="H18" s="379"/>
      <c r="I18" s="379"/>
      <c r="J18" s="379"/>
      <c r="K18" s="379"/>
      <c r="L18" s="379"/>
      <c r="M18" s="380"/>
    </row>
    <row r="19" spans="1:19">
      <c r="A19" s="25"/>
      <c r="B19" s="26"/>
      <c r="C19" s="314"/>
      <c r="D19" s="314"/>
      <c r="E19" s="314"/>
      <c r="F19" s="314"/>
      <c r="G19" s="314"/>
      <c r="H19" s="314"/>
      <c r="I19" s="314"/>
      <c r="J19" s="314"/>
      <c r="K19" s="314"/>
      <c r="L19" s="314"/>
      <c r="M19" s="13"/>
    </row>
    <row r="20" spans="1:19" ht="31.5" customHeight="1">
      <c r="A20" s="464" t="s">
        <v>113</v>
      </c>
      <c r="B20" s="465"/>
      <c r="C20" s="379"/>
      <c r="D20" s="379"/>
      <c r="E20" s="379"/>
      <c r="F20" s="379"/>
      <c r="G20" s="379"/>
      <c r="H20" s="379"/>
      <c r="I20" s="379"/>
      <c r="J20" s="379"/>
      <c r="K20" s="379"/>
      <c r="L20" s="379"/>
      <c r="M20" s="380"/>
    </row>
    <row r="21" spans="1:19">
      <c r="A21" s="400"/>
      <c r="B21" s="401"/>
      <c r="C21" s="314"/>
      <c r="D21" s="314"/>
      <c r="E21" s="314"/>
      <c r="F21" s="314"/>
      <c r="G21" s="314"/>
      <c r="H21" s="314"/>
      <c r="I21" s="314"/>
      <c r="J21" s="314"/>
      <c r="K21" s="314"/>
      <c r="L21" s="31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306" t="s">
        <v>78</v>
      </c>
      <c r="K25" s="408" t="s">
        <v>79</v>
      </c>
      <c r="L25" s="409"/>
      <c r="M25" s="31" t="s">
        <v>80</v>
      </c>
    </row>
    <row r="26" spans="1:19" ht="48.75" customHeight="1" thickBot="1">
      <c r="A26" s="33"/>
      <c r="B26" s="509" t="s">
        <v>379</v>
      </c>
      <c r="C26" s="510"/>
      <c r="D26" s="510"/>
      <c r="E26" s="510"/>
      <c r="F26" s="510"/>
      <c r="G26" s="510"/>
      <c r="H26" s="510"/>
      <c r="I26" s="511"/>
      <c r="J26" s="305">
        <v>1</v>
      </c>
      <c r="K26" s="391" t="s">
        <v>9</v>
      </c>
      <c r="L26" s="393"/>
      <c r="M26" s="35"/>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311" t="s">
        <v>83</v>
      </c>
      <c r="K30" s="421" t="s">
        <v>84</v>
      </c>
      <c r="L30" s="424"/>
      <c r="M30" s="44" t="s">
        <v>85</v>
      </c>
    </row>
    <row r="31" spans="1:19" ht="15.75" thickBot="1">
      <c r="A31" s="425"/>
      <c r="B31" s="426"/>
      <c r="C31" s="426"/>
      <c r="D31" s="426"/>
      <c r="E31" s="427"/>
      <c r="F31" s="428"/>
      <c r="G31" s="429"/>
      <c r="H31" s="430"/>
      <c r="I31" s="427"/>
      <c r="J31" s="72"/>
      <c r="K31" s="428"/>
      <c r="L31" s="429"/>
      <c r="M31" s="231">
        <f>K31*J31</f>
        <v>0</v>
      </c>
      <c r="N31" s="489"/>
      <c r="O31" s="490"/>
      <c r="P31" s="95"/>
      <c r="Q31" s="96"/>
      <c r="R31" s="97"/>
      <c r="S31" s="98"/>
    </row>
    <row r="32" spans="1:19">
      <c r="A32" s="425"/>
      <c r="B32" s="426"/>
      <c r="C32" s="426"/>
      <c r="D32" s="426"/>
      <c r="E32" s="427"/>
      <c r="F32" s="428"/>
      <c r="G32" s="429"/>
      <c r="H32" s="430"/>
      <c r="I32" s="427"/>
      <c r="J32" s="72"/>
      <c r="K32" s="428"/>
      <c r="L32" s="429"/>
      <c r="M32" s="46"/>
    </row>
    <row r="33" spans="1:13" ht="15.75" thickBot="1">
      <c r="A33" s="410"/>
      <c r="B33" s="411"/>
      <c r="C33" s="411"/>
      <c r="D33" s="411"/>
      <c r="E33" s="412"/>
      <c r="F33" s="414"/>
      <c r="G33" s="415"/>
      <c r="H33" s="413"/>
      <c r="I33" s="412"/>
      <c r="J33" s="91"/>
      <c r="K33" s="414"/>
      <c r="L33" s="415"/>
      <c r="M33" s="46"/>
    </row>
    <row r="34" spans="1:13" ht="15.75" thickBot="1">
      <c r="A34" s="416" t="s">
        <v>87</v>
      </c>
      <c r="B34" s="417"/>
      <c r="C34" s="417"/>
      <c r="D34" s="417"/>
      <c r="E34" s="417"/>
      <c r="F34" s="417"/>
      <c r="G34" s="417"/>
      <c r="H34" s="417"/>
      <c r="I34" s="417"/>
      <c r="J34" s="417"/>
      <c r="K34" s="417"/>
      <c r="L34" s="418"/>
      <c r="M34" s="232">
        <f>SUM(M31:M33)</f>
        <v>0</v>
      </c>
    </row>
    <row r="35" spans="1:13">
      <c r="A35" s="50"/>
      <c r="B35" s="19"/>
      <c r="C35" s="19"/>
      <c r="D35" s="19"/>
      <c r="E35" s="19"/>
      <c r="F35" s="19"/>
      <c r="G35" s="19"/>
      <c r="H35" s="19"/>
      <c r="I35" s="19"/>
      <c r="J35" s="19"/>
      <c r="K35" s="19"/>
      <c r="L35" s="19"/>
      <c r="M35" s="24"/>
    </row>
    <row r="36" spans="1:13">
      <c r="A36" s="51" t="s">
        <v>88</v>
      </c>
      <c r="B36" s="52"/>
      <c r="C36" s="52"/>
      <c r="D36" s="52"/>
      <c r="E36" s="52"/>
      <c r="F36" s="52"/>
      <c r="G36" s="52"/>
      <c r="H36" s="52"/>
      <c r="I36" s="52"/>
      <c r="J36" s="52"/>
      <c r="K36" s="52"/>
      <c r="L36" s="52"/>
      <c r="M36" s="53"/>
    </row>
    <row r="37" spans="1:13" ht="15.75" thickBot="1">
      <c r="A37" s="14"/>
      <c r="B37" s="15"/>
      <c r="C37" s="15"/>
      <c r="D37" s="15"/>
      <c r="E37" s="15"/>
      <c r="F37" s="15"/>
      <c r="G37" s="15"/>
      <c r="H37" s="15"/>
      <c r="I37" s="19"/>
      <c r="J37" s="19"/>
      <c r="K37" s="19"/>
      <c r="L37" s="19"/>
      <c r="M37" s="24"/>
    </row>
    <row r="38" spans="1:13">
      <c r="A38" s="408" t="s">
        <v>77</v>
      </c>
      <c r="B38" s="431"/>
      <c r="C38" s="431"/>
      <c r="D38" s="431"/>
      <c r="E38" s="431"/>
      <c r="F38" s="431"/>
      <c r="G38" s="431"/>
      <c r="H38" s="424"/>
      <c r="I38" s="307" t="s">
        <v>79</v>
      </c>
      <c r="J38" s="311" t="s">
        <v>80</v>
      </c>
      <c r="K38" s="421" t="s">
        <v>89</v>
      </c>
      <c r="L38" s="424"/>
      <c r="M38" s="44" t="s">
        <v>85</v>
      </c>
    </row>
    <row r="39" spans="1:13" ht="36.75" customHeight="1">
      <c r="A39" s="516" t="s">
        <v>379</v>
      </c>
      <c r="B39" s="559"/>
      <c r="C39" s="559"/>
      <c r="D39" s="559"/>
      <c r="E39" s="559"/>
      <c r="F39" s="559"/>
      <c r="G39" s="559"/>
      <c r="H39" s="560"/>
      <c r="I39" s="73" t="s">
        <v>9</v>
      </c>
      <c r="J39" s="315">
        <v>1</v>
      </c>
      <c r="K39" s="456">
        <v>57894</v>
      </c>
      <c r="L39" s="457"/>
      <c r="M39" s="56">
        <f t="shared" ref="M39:M42" si="0">K39*J39</f>
        <v>57894</v>
      </c>
    </row>
    <row r="40" spans="1:13">
      <c r="A40" s="425"/>
      <c r="B40" s="426"/>
      <c r="C40" s="426"/>
      <c r="D40" s="426"/>
      <c r="E40" s="426"/>
      <c r="F40" s="426"/>
      <c r="G40" s="426"/>
      <c r="H40" s="427"/>
      <c r="I40" s="73"/>
      <c r="J40" s="315"/>
      <c r="K40" s="456">
        <v>0</v>
      </c>
      <c r="L40" s="457"/>
      <c r="M40" s="56">
        <f t="shared" si="0"/>
        <v>0</v>
      </c>
    </row>
    <row r="41" spans="1:13">
      <c r="A41" s="425"/>
      <c r="B41" s="426"/>
      <c r="C41" s="426"/>
      <c r="D41" s="426"/>
      <c r="E41" s="426"/>
      <c r="F41" s="426"/>
      <c r="G41" s="426"/>
      <c r="H41" s="427"/>
      <c r="I41" s="73"/>
      <c r="J41" s="315"/>
      <c r="K41" s="456">
        <v>0</v>
      </c>
      <c r="L41" s="457"/>
      <c r="M41" s="56">
        <f t="shared" si="0"/>
        <v>0</v>
      </c>
    </row>
    <row r="42" spans="1:13" ht="15.75" thickBot="1">
      <c r="A42" s="410"/>
      <c r="B42" s="411"/>
      <c r="C42" s="411"/>
      <c r="D42" s="411"/>
      <c r="E42" s="411"/>
      <c r="F42" s="411"/>
      <c r="G42" s="411"/>
      <c r="H42" s="412"/>
      <c r="I42" s="74"/>
      <c r="J42" s="211"/>
      <c r="K42" s="466">
        <v>0</v>
      </c>
      <c r="L42" s="467"/>
      <c r="M42" s="56">
        <f t="shared" si="0"/>
        <v>0</v>
      </c>
    </row>
    <row r="43" spans="1:13" ht="15.75" thickBot="1">
      <c r="A43" s="416" t="s">
        <v>87</v>
      </c>
      <c r="B43" s="417"/>
      <c r="C43" s="417"/>
      <c r="D43" s="417"/>
      <c r="E43" s="417"/>
      <c r="F43" s="417"/>
      <c r="G43" s="417"/>
      <c r="H43" s="417"/>
      <c r="I43" s="417"/>
      <c r="J43" s="417"/>
      <c r="K43" s="417"/>
      <c r="L43" s="418"/>
      <c r="M43" s="58">
        <f>SUM(M39:M42)</f>
        <v>57894</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311" t="s">
        <v>92</v>
      </c>
      <c r="I47" s="308" t="s">
        <v>93</v>
      </c>
      <c r="J47" s="60" t="s">
        <v>94</v>
      </c>
      <c r="K47" s="421" t="s">
        <v>95</v>
      </c>
      <c r="L47" s="424"/>
      <c r="M47" s="44" t="s">
        <v>85</v>
      </c>
    </row>
    <row r="48" spans="1:13">
      <c r="A48" s="425"/>
      <c r="B48" s="426"/>
      <c r="C48" s="426"/>
      <c r="D48" s="426"/>
      <c r="E48" s="426"/>
      <c r="F48" s="426"/>
      <c r="G48" s="426"/>
      <c r="H48" s="61"/>
      <c r="I48" s="55"/>
      <c r="J48" s="61"/>
      <c r="K48" s="428"/>
      <c r="L48" s="429"/>
    </row>
    <row r="49" spans="1:13" ht="15.75" thickBot="1">
      <c r="A49" s="410"/>
      <c r="B49" s="411"/>
      <c r="C49" s="411"/>
      <c r="D49" s="411"/>
      <c r="E49" s="411"/>
      <c r="F49" s="411"/>
      <c r="G49" s="411"/>
      <c r="H49" s="47"/>
      <c r="I49" s="15"/>
      <c r="J49" s="47"/>
      <c r="K49" s="414"/>
      <c r="L49" s="415"/>
      <c r="M49" s="62"/>
    </row>
    <row r="50" spans="1:13" ht="15.75" thickBot="1">
      <c r="A50" s="416" t="s">
        <v>87</v>
      </c>
      <c r="B50" s="417"/>
      <c r="C50" s="417"/>
      <c r="D50" s="417"/>
      <c r="E50" s="417"/>
      <c r="F50" s="417"/>
      <c r="G50" s="417"/>
      <c r="H50" s="417"/>
      <c r="I50" s="417"/>
      <c r="J50" s="417"/>
      <c r="K50" s="417"/>
      <c r="L50" s="418"/>
      <c r="M50" s="63">
        <f>SUM(M49:M49)</f>
        <v>0</v>
      </c>
    </row>
    <row r="51" spans="1:13">
      <c r="A51" s="30"/>
      <c r="B51" s="19"/>
      <c r="C51" s="19"/>
      <c r="D51" s="19"/>
      <c r="E51" s="19"/>
      <c r="F51" s="19"/>
      <c r="G51" s="19"/>
      <c r="H51" s="19"/>
      <c r="I51" s="19"/>
      <c r="J51" s="19"/>
      <c r="K51" s="19"/>
      <c r="L51" s="19"/>
      <c r="M51" s="24"/>
    </row>
    <row r="52" spans="1:13">
      <c r="A52" s="51" t="s">
        <v>96</v>
      </c>
      <c r="B52" s="52"/>
      <c r="C52" s="52"/>
      <c r="D52" s="52"/>
      <c r="E52" s="52"/>
      <c r="F52" s="52"/>
      <c r="G52" s="52"/>
      <c r="H52" s="52"/>
      <c r="I52" s="52"/>
      <c r="J52" s="52"/>
      <c r="K52" s="52"/>
      <c r="L52" s="52"/>
      <c r="M52" s="53"/>
    </row>
    <row r="53" spans="1:13" ht="15.75" thickBot="1">
      <c r="A53" s="30"/>
      <c r="B53" s="19"/>
      <c r="C53" s="19"/>
      <c r="D53" s="19"/>
      <c r="E53" s="19"/>
      <c r="F53" s="19"/>
      <c r="G53" s="19"/>
      <c r="H53" s="19"/>
      <c r="I53" s="19"/>
      <c r="J53" s="19"/>
      <c r="K53" s="19"/>
      <c r="L53" s="19"/>
      <c r="M53" s="24"/>
    </row>
    <row r="54" spans="1:13" ht="26.25">
      <c r="A54" s="453" t="s">
        <v>97</v>
      </c>
      <c r="B54" s="454"/>
      <c r="C54" s="454"/>
      <c r="D54" s="454"/>
      <c r="E54" s="454"/>
      <c r="F54" s="454"/>
      <c r="G54" s="454"/>
      <c r="H54" s="311" t="s">
        <v>98</v>
      </c>
      <c r="I54" s="312" t="s">
        <v>99</v>
      </c>
      <c r="J54" s="312" t="s">
        <v>100</v>
      </c>
      <c r="K54" s="455" t="s">
        <v>84</v>
      </c>
      <c r="L54" s="455"/>
      <c r="M54" s="65" t="s">
        <v>85</v>
      </c>
    </row>
    <row r="55" spans="1:13">
      <c r="A55" s="425" t="s">
        <v>126</v>
      </c>
      <c r="B55" s="426"/>
      <c r="C55" s="426"/>
      <c r="D55" s="426"/>
      <c r="E55" s="426"/>
      <c r="F55" s="426"/>
      <c r="G55" s="427"/>
      <c r="H55" s="1">
        <v>112923.49999999999</v>
      </c>
      <c r="I55" s="2">
        <v>2.2000000000000002</v>
      </c>
      <c r="J55" s="66">
        <f>(I55*H55)</f>
        <v>248431.69999999998</v>
      </c>
      <c r="K55" s="483">
        <v>7</v>
      </c>
      <c r="L55" s="483"/>
      <c r="M55" s="56">
        <f>J55/K55</f>
        <v>35490.242857142854</v>
      </c>
    </row>
    <row r="56" spans="1:13">
      <c r="A56" s="471"/>
      <c r="B56" s="472"/>
      <c r="C56" s="472"/>
      <c r="D56" s="472"/>
      <c r="E56" s="472"/>
      <c r="F56" s="472"/>
      <c r="G56" s="472"/>
      <c r="H56" s="1"/>
      <c r="I56" s="2"/>
      <c r="J56" s="66"/>
      <c r="K56" s="473"/>
      <c r="L56" s="473"/>
      <c r="M56" s="56"/>
    </row>
    <row r="57" spans="1:13" ht="15.75" thickBot="1">
      <c r="A57" s="432"/>
      <c r="B57" s="433"/>
      <c r="C57" s="433"/>
      <c r="D57" s="433"/>
      <c r="E57" s="433"/>
      <c r="F57" s="433"/>
      <c r="G57" s="433"/>
      <c r="H57" s="3"/>
      <c r="I57" s="4"/>
      <c r="J57" s="67"/>
      <c r="K57" s="434"/>
      <c r="L57" s="434"/>
      <c r="M57" s="68"/>
    </row>
    <row r="58" spans="1:13" ht="15.75" thickBot="1">
      <c r="A58" s="435" t="s">
        <v>87</v>
      </c>
      <c r="B58" s="436"/>
      <c r="C58" s="436"/>
      <c r="D58" s="436"/>
      <c r="E58" s="436"/>
      <c r="F58" s="436"/>
      <c r="G58" s="436"/>
      <c r="H58" s="436"/>
      <c r="I58" s="436"/>
      <c r="J58" s="436"/>
      <c r="K58" s="436"/>
      <c r="L58" s="437"/>
      <c r="M58" s="69">
        <f>SUM(M55:M57)</f>
        <v>35490.242857142854</v>
      </c>
    </row>
    <row r="59" spans="1:13" ht="15.75" thickBot="1">
      <c r="A59" s="30"/>
      <c r="B59" s="19"/>
      <c r="C59" s="19"/>
      <c r="D59" s="19"/>
      <c r="E59" s="19"/>
      <c r="F59" s="19"/>
      <c r="G59" s="19"/>
      <c r="H59" s="19"/>
      <c r="I59" s="19"/>
      <c r="J59" s="19"/>
      <c r="K59" s="19"/>
      <c r="L59" s="19"/>
      <c r="M59" s="24"/>
    </row>
    <row r="60" spans="1:13" ht="15.75" thickBot="1">
      <c r="A60" s="416" t="s">
        <v>101</v>
      </c>
      <c r="B60" s="417"/>
      <c r="C60" s="417"/>
      <c r="D60" s="417"/>
      <c r="E60" s="417"/>
      <c r="F60" s="417"/>
      <c r="G60" s="417"/>
      <c r="H60" s="417"/>
      <c r="I60" s="417"/>
      <c r="J60" s="417"/>
      <c r="K60" s="417"/>
      <c r="L60" s="418"/>
      <c r="M60" s="70">
        <f>ROUND(M58+M50+M43+M34,0)</f>
        <v>93384</v>
      </c>
    </row>
    <row r="61" spans="1:13">
      <c r="A61" s="30"/>
      <c r="B61" s="19"/>
      <c r="C61" s="19"/>
      <c r="D61" s="19"/>
      <c r="E61" s="19"/>
      <c r="F61" s="19"/>
      <c r="G61" s="19"/>
      <c r="H61" s="19"/>
      <c r="I61" s="19"/>
      <c r="J61" s="19"/>
      <c r="K61" s="19"/>
      <c r="L61" s="19"/>
      <c r="M61" s="24"/>
    </row>
    <row r="62" spans="1:13">
      <c r="A62" s="51" t="s">
        <v>102</v>
      </c>
      <c r="B62" s="52"/>
      <c r="C62" s="52"/>
      <c r="D62" s="52"/>
      <c r="E62" s="52"/>
      <c r="F62" s="52"/>
      <c r="G62" s="52"/>
      <c r="H62" s="52"/>
      <c r="I62" s="52"/>
      <c r="J62" s="52"/>
      <c r="K62" s="52"/>
      <c r="L62" s="52"/>
      <c r="M62" s="53"/>
    </row>
    <row r="63" spans="1:13" ht="15.75" thickBot="1">
      <c r="A63" s="30"/>
      <c r="B63" s="19"/>
      <c r="C63" s="19"/>
      <c r="D63" s="19"/>
      <c r="E63" s="19"/>
      <c r="F63" s="19"/>
      <c r="G63" s="19"/>
      <c r="H63" s="19"/>
      <c r="I63" s="19"/>
      <c r="J63" s="19"/>
      <c r="K63" s="19"/>
      <c r="L63" s="19"/>
      <c r="M63" s="24"/>
    </row>
    <row r="64" spans="1:13" ht="15.75" thickBot="1">
      <c r="A64" s="438" t="s">
        <v>103</v>
      </c>
      <c r="B64" s="439"/>
      <c r="C64" s="439"/>
      <c r="D64" s="439"/>
      <c r="E64" s="439"/>
      <c r="F64" s="439"/>
      <c r="G64" s="439"/>
      <c r="H64" s="309"/>
      <c r="I64" s="310"/>
      <c r="J64" s="81" t="s">
        <v>104</v>
      </c>
      <c r="K64" s="440" t="s">
        <v>105</v>
      </c>
      <c r="L64" s="441"/>
      <c r="M64" s="82"/>
    </row>
    <row r="65" spans="1:13">
      <c r="A65" s="442" t="s">
        <v>106</v>
      </c>
      <c r="B65" s="443"/>
      <c r="C65" s="443"/>
      <c r="D65" s="443"/>
      <c r="E65" s="443"/>
      <c r="F65" s="443"/>
      <c r="G65" s="443"/>
      <c r="H65" s="83"/>
      <c r="I65" s="84"/>
      <c r="J65" s="85">
        <v>0.19</v>
      </c>
      <c r="K65" s="444">
        <f>M60*J65</f>
        <v>17742.96</v>
      </c>
      <c r="L65" s="444"/>
      <c r="M65" s="86"/>
    </row>
    <row r="66" spans="1:13">
      <c r="A66" s="447" t="s">
        <v>107</v>
      </c>
      <c r="B66" s="448"/>
      <c r="C66" s="448"/>
      <c r="D66" s="448"/>
      <c r="E66" s="448"/>
      <c r="F66" s="448"/>
      <c r="G66" s="449"/>
      <c r="H66" s="77"/>
      <c r="I66" s="78"/>
      <c r="J66" s="5">
        <v>0.01</v>
      </c>
      <c r="K66" s="445">
        <f>M60*J66</f>
        <v>933.84</v>
      </c>
      <c r="L66" s="445"/>
      <c r="M66" s="6"/>
    </row>
    <row r="67" spans="1:13">
      <c r="A67" s="447" t="s">
        <v>108</v>
      </c>
      <c r="B67" s="448"/>
      <c r="C67" s="448"/>
      <c r="D67" s="448"/>
      <c r="E67" s="448"/>
      <c r="F67" s="448"/>
      <c r="G67" s="449"/>
      <c r="H67" s="77"/>
      <c r="I67" s="78"/>
      <c r="J67" s="5">
        <v>0.05</v>
      </c>
      <c r="K67" s="445">
        <f>M60*J67</f>
        <v>4669.2</v>
      </c>
      <c r="L67" s="445"/>
      <c r="M67" s="6"/>
    </row>
    <row r="68" spans="1:13" ht="15.75" thickBot="1">
      <c r="A68" s="450" t="s">
        <v>117</v>
      </c>
      <c r="B68" s="451"/>
      <c r="C68" s="451"/>
      <c r="D68" s="451"/>
      <c r="E68" s="451"/>
      <c r="F68" s="451"/>
      <c r="G68" s="452"/>
      <c r="H68" s="87"/>
      <c r="I68" s="88"/>
      <c r="J68" s="89">
        <v>0.19</v>
      </c>
      <c r="K68" s="446">
        <f>K67*J68</f>
        <v>887.14800000000002</v>
      </c>
      <c r="L68" s="446"/>
      <c r="M68" s="90"/>
    </row>
    <row r="69" spans="1:13" ht="15.75" thickBot="1">
      <c r="A69" s="435" t="s">
        <v>87</v>
      </c>
      <c r="B69" s="436"/>
      <c r="C69" s="436"/>
      <c r="D69" s="436"/>
      <c r="E69" s="436"/>
      <c r="F69" s="436"/>
      <c r="G69" s="436"/>
      <c r="H69" s="436"/>
      <c r="I69" s="436"/>
      <c r="J69" s="436"/>
      <c r="K69" s="436"/>
      <c r="L69" s="437"/>
      <c r="M69" s="76">
        <f>SUM(K65:L68)</f>
        <v>24233.148000000001</v>
      </c>
    </row>
    <row r="70" spans="1:13" ht="15.75" thickBot="1">
      <c r="A70" s="30"/>
      <c r="B70" s="19"/>
      <c r="C70" s="19"/>
      <c r="D70" s="19"/>
      <c r="E70" s="19"/>
      <c r="F70" s="19"/>
      <c r="G70" s="19"/>
      <c r="H70" s="19"/>
      <c r="I70" s="19"/>
      <c r="J70" s="19"/>
      <c r="K70" s="19"/>
      <c r="L70" s="19"/>
      <c r="M70" s="24"/>
    </row>
    <row r="71" spans="1:13" ht="15.75" thickBot="1">
      <c r="A71" s="416" t="s">
        <v>109</v>
      </c>
      <c r="B71" s="417"/>
      <c r="C71" s="417"/>
      <c r="D71" s="417"/>
      <c r="E71" s="417"/>
      <c r="F71" s="417"/>
      <c r="G71" s="417"/>
      <c r="H71" s="417"/>
      <c r="I71" s="417"/>
      <c r="J71" s="417"/>
      <c r="K71" s="417"/>
      <c r="L71" s="418"/>
      <c r="M71" s="71">
        <f>ROUND(M60+M69,0)</f>
        <v>117617</v>
      </c>
    </row>
  </sheetData>
  <mergeCells count="7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G56"/>
    <mergeCell ref="K56:L56"/>
    <mergeCell ref="A57:G57"/>
    <mergeCell ref="K57:L57"/>
    <mergeCell ref="A58:L58"/>
    <mergeCell ref="A60:L60"/>
    <mergeCell ref="A64:G64"/>
    <mergeCell ref="K64:L64"/>
    <mergeCell ref="A65:G65"/>
    <mergeCell ref="K65:L65"/>
    <mergeCell ref="A69:L69"/>
    <mergeCell ref="A71:L71"/>
    <mergeCell ref="A66:G66"/>
    <mergeCell ref="K66:L66"/>
    <mergeCell ref="A67:G67"/>
    <mergeCell ref="K67:L67"/>
    <mergeCell ref="A68:G68"/>
    <mergeCell ref="K68:L68"/>
  </mergeCells>
  <pageMargins left="0.7" right="0.7" top="0.75" bottom="0.75" header="0.3" footer="0.3"/>
  <pageSetup scale="56"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view="pageBreakPreview" topLeftCell="A49" zoomScale="80" zoomScaleNormal="100" zoomScaleSheetLayoutView="80" workbookViewId="0">
      <selection activeCell="M60" sqref="M60"/>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313"/>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314" t="s">
        <v>71</v>
      </c>
      <c r="H12" s="394"/>
      <c r="I12" s="394"/>
      <c r="J12" s="23"/>
      <c r="K12" s="23"/>
      <c r="L12" s="23"/>
      <c r="M12" s="24"/>
    </row>
    <row r="13" spans="1:13">
      <c r="A13" s="25" t="s">
        <v>72</v>
      </c>
      <c r="B13" s="26"/>
      <c r="C13" s="555"/>
      <c r="D13" s="556"/>
      <c r="E13" s="556"/>
      <c r="F13" s="556"/>
      <c r="G13" s="556"/>
      <c r="H13" s="556"/>
      <c r="I13" s="556"/>
      <c r="J13" s="556"/>
      <c r="K13" s="556"/>
      <c r="L13" s="556"/>
      <c r="M13" s="557"/>
    </row>
    <row r="14" spans="1:13">
      <c r="A14" s="25"/>
      <c r="B14" s="26"/>
      <c r="C14" s="394"/>
      <c r="D14" s="394"/>
      <c r="E14" s="394"/>
      <c r="F14" s="394"/>
      <c r="G14" s="394"/>
      <c r="H14" s="394"/>
      <c r="I14" s="394"/>
      <c r="J14" s="394"/>
      <c r="K14" s="394"/>
      <c r="L14" s="394"/>
      <c r="M14" s="558"/>
    </row>
    <row r="15" spans="1:13">
      <c r="A15" s="25"/>
      <c r="B15" s="26"/>
      <c r="C15" s="316"/>
      <c r="D15" s="316"/>
      <c r="E15" s="316"/>
      <c r="F15" s="316"/>
      <c r="G15" s="316"/>
      <c r="H15" s="316"/>
      <c r="I15" s="316"/>
      <c r="J15" s="316"/>
      <c r="K15" s="316"/>
      <c r="L15" s="316"/>
      <c r="M15" s="317"/>
    </row>
    <row r="16" spans="1:13">
      <c r="A16" s="25" t="s">
        <v>73</v>
      </c>
      <c r="B16" s="26"/>
      <c r="C16" s="379"/>
      <c r="D16" s="379"/>
      <c r="E16" s="379"/>
      <c r="F16" s="379"/>
      <c r="G16" s="379"/>
      <c r="H16" s="379"/>
      <c r="I16" s="379"/>
      <c r="J16" s="379"/>
      <c r="K16" s="379"/>
      <c r="L16" s="379"/>
      <c r="M16" s="380"/>
    </row>
    <row r="17" spans="1:19">
      <c r="A17" s="25"/>
      <c r="B17" s="26"/>
      <c r="C17" s="314"/>
      <c r="D17" s="314"/>
      <c r="E17" s="314"/>
      <c r="F17" s="314"/>
      <c r="G17" s="314"/>
      <c r="H17" s="314"/>
      <c r="I17" s="314"/>
      <c r="J17" s="314"/>
      <c r="K17" s="314"/>
      <c r="L17" s="314"/>
      <c r="M17" s="13"/>
    </row>
    <row r="18" spans="1:19">
      <c r="A18" s="25" t="s">
        <v>74</v>
      </c>
      <c r="B18" s="26"/>
      <c r="C18" s="379"/>
      <c r="D18" s="379"/>
      <c r="E18" s="379"/>
      <c r="F18" s="379"/>
      <c r="G18" s="379"/>
      <c r="H18" s="379"/>
      <c r="I18" s="379"/>
      <c r="J18" s="379"/>
      <c r="K18" s="379"/>
      <c r="L18" s="379"/>
      <c r="M18" s="380"/>
    </row>
    <row r="19" spans="1:19">
      <c r="A19" s="25"/>
      <c r="B19" s="26"/>
      <c r="C19" s="314"/>
      <c r="D19" s="314"/>
      <c r="E19" s="314"/>
      <c r="F19" s="314"/>
      <c r="G19" s="314"/>
      <c r="H19" s="314"/>
      <c r="I19" s="314"/>
      <c r="J19" s="314"/>
      <c r="K19" s="314"/>
      <c r="L19" s="314"/>
      <c r="M19" s="13"/>
    </row>
    <row r="20" spans="1:19" ht="31.5" customHeight="1">
      <c r="A20" s="464" t="s">
        <v>113</v>
      </c>
      <c r="B20" s="465"/>
      <c r="C20" s="379"/>
      <c r="D20" s="379"/>
      <c r="E20" s="379"/>
      <c r="F20" s="379"/>
      <c r="G20" s="379"/>
      <c r="H20" s="379"/>
      <c r="I20" s="379"/>
      <c r="J20" s="379"/>
      <c r="K20" s="379"/>
      <c r="L20" s="379"/>
      <c r="M20" s="380"/>
    </row>
    <row r="21" spans="1:19">
      <c r="A21" s="400"/>
      <c r="B21" s="401"/>
      <c r="C21" s="314"/>
      <c r="D21" s="314"/>
      <c r="E21" s="314"/>
      <c r="F21" s="314"/>
      <c r="G21" s="314"/>
      <c r="H21" s="314"/>
      <c r="I21" s="314"/>
      <c r="J21" s="314"/>
      <c r="K21" s="314"/>
      <c r="L21" s="31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306" t="s">
        <v>78</v>
      </c>
      <c r="K25" s="408" t="s">
        <v>79</v>
      </c>
      <c r="L25" s="409"/>
      <c r="M25" s="31" t="s">
        <v>80</v>
      </c>
    </row>
    <row r="26" spans="1:19" ht="48.75" customHeight="1" thickBot="1">
      <c r="A26" s="33"/>
      <c r="B26" s="509" t="s">
        <v>380</v>
      </c>
      <c r="C26" s="510"/>
      <c r="D26" s="510"/>
      <c r="E26" s="510"/>
      <c r="F26" s="510"/>
      <c r="G26" s="510"/>
      <c r="H26" s="510"/>
      <c r="I26" s="511"/>
      <c r="J26" s="305">
        <v>1</v>
      </c>
      <c r="K26" s="391" t="s">
        <v>9</v>
      </c>
      <c r="L26" s="393"/>
      <c r="M26" s="35"/>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311" t="s">
        <v>83</v>
      </c>
      <c r="K30" s="421" t="s">
        <v>84</v>
      </c>
      <c r="L30" s="424"/>
      <c r="M30" s="44" t="s">
        <v>85</v>
      </c>
    </row>
    <row r="31" spans="1:19" ht="15.75" thickBot="1">
      <c r="A31" s="425"/>
      <c r="B31" s="426"/>
      <c r="C31" s="426"/>
      <c r="D31" s="426"/>
      <c r="E31" s="427"/>
      <c r="F31" s="428"/>
      <c r="G31" s="429"/>
      <c r="H31" s="430"/>
      <c r="I31" s="427"/>
      <c r="J31" s="72"/>
      <c r="K31" s="428"/>
      <c r="L31" s="429"/>
      <c r="M31" s="231">
        <f>K31*J31</f>
        <v>0</v>
      </c>
      <c r="N31" s="489"/>
      <c r="O31" s="490"/>
      <c r="P31" s="95"/>
      <c r="Q31" s="96"/>
      <c r="R31" s="97"/>
      <c r="S31" s="98"/>
    </row>
    <row r="32" spans="1:19">
      <c r="A32" s="425"/>
      <c r="B32" s="426"/>
      <c r="C32" s="426"/>
      <c r="D32" s="426"/>
      <c r="E32" s="427"/>
      <c r="F32" s="428"/>
      <c r="G32" s="429"/>
      <c r="H32" s="430"/>
      <c r="I32" s="427"/>
      <c r="J32" s="72"/>
      <c r="K32" s="428"/>
      <c r="L32" s="429"/>
      <c r="M32" s="46"/>
    </row>
    <row r="33" spans="1:13" ht="15.75" thickBot="1">
      <c r="A33" s="410"/>
      <c r="B33" s="411"/>
      <c r="C33" s="411"/>
      <c r="D33" s="411"/>
      <c r="E33" s="412"/>
      <c r="F33" s="414"/>
      <c r="G33" s="415"/>
      <c r="H33" s="413"/>
      <c r="I33" s="412"/>
      <c r="J33" s="91"/>
      <c r="K33" s="414"/>
      <c r="L33" s="415"/>
      <c r="M33" s="46"/>
    </row>
    <row r="34" spans="1:13" ht="15.75" thickBot="1">
      <c r="A34" s="416" t="s">
        <v>87</v>
      </c>
      <c r="B34" s="417"/>
      <c r="C34" s="417"/>
      <c r="D34" s="417"/>
      <c r="E34" s="417"/>
      <c r="F34" s="417"/>
      <c r="G34" s="417"/>
      <c r="H34" s="417"/>
      <c r="I34" s="417"/>
      <c r="J34" s="417"/>
      <c r="K34" s="417"/>
      <c r="L34" s="418"/>
      <c r="M34" s="232">
        <f>SUM(M31:M33)</f>
        <v>0</v>
      </c>
    </row>
    <row r="35" spans="1:13">
      <c r="A35" s="50"/>
      <c r="B35" s="19"/>
      <c r="C35" s="19"/>
      <c r="D35" s="19"/>
      <c r="E35" s="19"/>
      <c r="F35" s="19"/>
      <c r="G35" s="19"/>
      <c r="H35" s="19"/>
      <c r="I35" s="19"/>
      <c r="J35" s="19"/>
      <c r="K35" s="19"/>
      <c r="L35" s="19"/>
      <c r="M35" s="24"/>
    </row>
    <row r="36" spans="1:13">
      <c r="A36" s="51" t="s">
        <v>88</v>
      </c>
      <c r="B36" s="52"/>
      <c r="C36" s="52"/>
      <c r="D36" s="52"/>
      <c r="E36" s="52"/>
      <c r="F36" s="52"/>
      <c r="G36" s="52"/>
      <c r="H36" s="52"/>
      <c r="I36" s="52"/>
      <c r="J36" s="52"/>
      <c r="K36" s="52"/>
      <c r="L36" s="52"/>
      <c r="M36" s="53"/>
    </row>
    <row r="37" spans="1:13" ht="15.75" thickBot="1">
      <c r="A37" s="14"/>
      <c r="B37" s="15"/>
      <c r="C37" s="15"/>
      <c r="D37" s="15"/>
      <c r="E37" s="15"/>
      <c r="F37" s="15"/>
      <c r="G37" s="15"/>
      <c r="H37" s="15"/>
      <c r="I37" s="19"/>
      <c r="J37" s="19"/>
      <c r="K37" s="19"/>
      <c r="L37" s="19"/>
      <c r="M37" s="24"/>
    </row>
    <row r="38" spans="1:13">
      <c r="A38" s="408" t="s">
        <v>77</v>
      </c>
      <c r="B38" s="431"/>
      <c r="C38" s="431"/>
      <c r="D38" s="431"/>
      <c r="E38" s="431"/>
      <c r="F38" s="431"/>
      <c r="G38" s="431"/>
      <c r="H38" s="424"/>
      <c r="I38" s="307" t="s">
        <v>79</v>
      </c>
      <c r="J38" s="311" t="s">
        <v>80</v>
      </c>
      <c r="K38" s="421" t="s">
        <v>89</v>
      </c>
      <c r="L38" s="424"/>
      <c r="M38" s="44" t="s">
        <v>85</v>
      </c>
    </row>
    <row r="39" spans="1:13" ht="36.75" customHeight="1">
      <c r="A39" s="516" t="s">
        <v>380</v>
      </c>
      <c r="B39" s="559"/>
      <c r="C39" s="559"/>
      <c r="D39" s="559"/>
      <c r="E39" s="559"/>
      <c r="F39" s="559"/>
      <c r="G39" s="559"/>
      <c r="H39" s="560"/>
      <c r="I39" s="73" t="s">
        <v>9</v>
      </c>
      <c r="J39" s="315">
        <v>1</v>
      </c>
      <c r="K39" s="456">
        <v>124528</v>
      </c>
      <c r="L39" s="457"/>
      <c r="M39" s="56">
        <f t="shared" ref="M39:M42" si="0">K39*J39</f>
        <v>124528</v>
      </c>
    </row>
    <row r="40" spans="1:13">
      <c r="A40" s="425"/>
      <c r="B40" s="426"/>
      <c r="C40" s="426"/>
      <c r="D40" s="426"/>
      <c r="E40" s="426"/>
      <c r="F40" s="426"/>
      <c r="G40" s="426"/>
      <c r="H40" s="427"/>
      <c r="I40" s="73"/>
      <c r="J40" s="315"/>
      <c r="K40" s="456">
        <v>0</v>
      </c>
      <c r="L40" s="457"/>
      <c r="M40" s="56">
        <f t="shared" si="0"/>
        <v>0</v>
      </c>
    </row>
    <row r="41" spans="1:13">
      <c r="A41" s="425"/>
      <c r="B41" s="426"/>
      <c r="C41" s="426"/>
      <c r="D41" s="426"/>
      <c r="E41" s="426"/>
      <c r="F41" s="426"/>
      <c r="G41" s="426"/>
      <c r="H41" s="427"/>
      <c r="I41" s="73"/>
      <c r="J41" s="315"/>
      <c r="K41" s="456">
        <v>0</v>
      </c>
      <c r="L41" s="457"/>
      <c r="M41" s="56">
        <f t="shared" si="0"/>
        <v>0</v>
      </c>
    </row>
    <row r="42" spans="1:13" ht="15.75" thickBot="1">
      <c r="A42" s="410"/>
      <c r="B42" s="411"/>
      <c r="C42" s="411"/>
      <c r="D42" s="411"/>
      <c r="E42" s="411"/>
      <c r="F42" s="411"/>
      <c r="G42" s="411"/>
      <c r="H42" s="412"/>
      <c r="I42" s="74"/>
      <c r="J42" s="211"/>
      <c r="K42" s="466">
        <v>0</v>
      </c>
      <c r="L42" s="467"/>
      <c r="M42" s="56">
        <f t="shared" si="0"/>
        <v>0</v>
      </c>
    </row>
    <row r="43" spans="1:13" ht="15.75" thickBot="1">
      <c r="A43" s="416" t="s">
        <v>87</v>
      </c>
      <c r="B43" s="417"/>
      <c r="C43" s="417"/>
      <c r="D43" s="417"/>
      <c r="E43" s="417"/>
      <c r="F43" s="417"/>
      <c r="G43" s="417"/>
      <c r="H43" s="417"/>
      <c r="I43" s="417"/>
      <c r="J43" s="417"/>
      <c r="K43" s="417"/>
      <c r="L43" s="418"/>
      <c r="M43" s="58">
        <f>SUM(M39:M42)</f>
        <v>124528</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311" t="s">
        <v>92</v>
      </c>
      <c r="I47" s="308" t="s">
        <v>93</v>
      </c>
      <c r="J47" s="60" t="s">
        <v>94</v>
      </c>
      <c r="K47" s="421" t="s">
        <v>95</v>
      </c>
      <c r="L47" s="424"/>
      <c r="M47" s="44" t="s">
        <v>85</v>
      </c>
    </row>
    <row r="48" spans="1:13">
      <c r="A48" s="425"/>
      <c r="B48" s="426"/>
      <c r="C48" s="426"/>
      <c r="D48" s="426"/>
      <c r="E48" s="426"/>
      <c r="F48" s="426"/>
      <c r="G48" s="426"/>
      <c r="H48" s="61"/>
      <c r="I48" s="55"/>
      <c r="J48" s="61"/>
      <c r="K48" s="428"/>
      <c r="L48" s="429"/>
    </row>
    <row r="49" spans="1:13" ht="15.75" thickBot="1">
      <c r="A49" s="410"/>
      <c r="B49" s="411"/>
      <c r="C49" s="411"/>
      <c r="D49" s="411"/>
      <c r="E49" s="411"/>
      <c r="F49" s="411"/>
      <c r="G49" s="411"/>
      <c r="H49" s="47"/>
      <c r="I49" s="15"/>
      <c r="J49" s="47"/>
      <c r="K49" s="414"/>
      <c r="L49" s="415"/>
      <c r="M49" s="62"/>
    </row>
    <row r="50" spans="1:13" ht="15.75" thickBot="1">
      <c r="A50" s="416" t="s">
        <v>87</v>
      </c>
      <c r="B50" s="417"/>
      <c r="C50" s="417"/>
      <c r="D50" s="417"/>
      <c r="E50" s="417"/>
      <c r="F50" s="417"/>
      <c r="G50" s="417"/>
      <c r="H50" s="417"/>
      <c r="I50" s="417"/>
      <c r="J50" s="417"/>
      <c r="K50" s="417"/>
      <c r="L50" s="418"/>
      <c r="M50" s="63">
        <f>SUM(M49:M49)</f>
        <v>0</v>
      </c>
    </row>
    <row r="51" spans="1:13">
      <c r="A51" s="30"/>
      <c r="B51" s="19"/>
      <c r="C51" s="19"/>
      <c r="D51" s="19"/>
      <c r="E51" s="19"/>
      <c r="F51" s="19"/>
      <c r="G51" s="19"/>
      <c r="H51" s="19"/>
      <c r="I51" s="19"/>
      <c r="J51" s="19"/>
      <c r="K51" s="19"/>
      <c r="L51" s="19"/>
      <c r="M51" s="24"/>
    </row>
    <row r="52" spans="1:13">
      <c r="A52" s="51" t="s">
        <v>96</v>
      </c>
      <c r="B52" s="52"/>
      <c r="C52" s="52"/>
      <c r="D52" s="52"/>
      <c r="E52" s="52"/>
      <c r="F52" s="52"/>
      <c r="G52" s="52"/>
      <c r="H52" s="52"/>
      <c r="I52" s="52"/>
      <c r="J52" s="52"/>
      <c r="K52" s="52"/>
      <c r="L52" s="52"/>
      <c r="M52" s="53"/>
    </row>
    <row r="53" spans="1:13" ht="15.75" thickBot="1">
      <c r="A53" s="30"/>
      <c r="B53" s="19"/>
      <c r="C53" s="19"/>
      <c r="D53" s="19"/>
      <c r="E53" s="19"/>
      <c r="F53" s="19"/>
      <c r="G53" s="19"/>
      <c r="H53" s="19"/>
      <c r="I53" s="19"/>
      <c r="J53" s="19"/>
      <c r="K53" s="19"/>
      <c r="L53" s="19"/>
      <c r="M53" s="24"/>
    </row>
    <row r="54" spans="1:13" ht="26.25">
      <c r="A54" s="453" t="s">
        <v>97</v>
      </c>
      <c r="B54" s="454"/>
      <c r="C54" s="454"/>
      <c r="D54" s="454"/>
      <c r="E54" s="454"/>
      <c r="F54" s="454"/>
      <c r="G54" s="454"/>
      <c r="H54" s="311" t="s">
        <v>98</v>
      </c>
      <c r="I54" s="312" t="s">
        <v>99</v>
      </c>
      <c r="J54" s="312" t="s">
        <v>100</v>
      </c>
      <c r="K54" s="455" t="s">
        <v>84</v>
      </c>
      <c r="L54" s="455"/>
      <c r="M54" s="65" t="s">
        <v>85</v>
      </c>
    </row>
    <row r="55" spans="1:13">
      <c r="A55" s="425" t="s">
        <v>126</v>
      </c>
      <c r="B55" s="426"/>
      <c r="C55" s="426"/>
      <c r="D55" s="426"/>
      <c r="E55" s="426"/>
      <c r="F55" s="426"/>
      <c r="G55" s="427"/>
      <c r="H55" s="1">
        <v>112923.49999999999</v>
      </c>
      <c r="I55" s="2">
        <v>2.2000000000000002</v>
      </c>
      <c r="J55" s="66">
        <f>(I55*H55)</f>
        <v>248431.69999999998</v>
      </c>
      <c r="K55" s="483">
        <v>20</v>
      </c>
      <c r="L55" s="483"/>
      <c r="M55" s="56">
        <f>J55/K55</f>
        <v>12421.584999999999</v>
      </c>
    </row>
    <row r="56" spans="1:13">
      <c r="A56" s="471"/>
      <c r="B56" s="472"/>
      <c r="C56" s="472"/>
      <c r="D56" s="472"/>
      <c r="E56" s="472"/>
      <c r="F56" s="472"/>
      <c r="G56" s="472"/>
      <c r="H56" s="1"/>
      <c r="I56" s="2"/>
      <c r="J56" s="66"/>
      <c r="K56" s="473"/>
      <c r="L56" s="473"/>
      <c r="M56" s="56"/>
    </row>
    <row r="57" spans="1:13" ht="15.75" thickBot="1">
      <c r="A57" s="432"/>
      <c r="B57" s="433"/>
      <c r="C57" s="433"/>
      <c r="D57" s="433"/>
      <c r="E57" s="433"/>
      <c r="F57" s="433"/>
      <c r="G57" s="433"/>
      <c r="H57" s="3"/>
      <c r="I57" s="4"/>
      <c r="J57" s="67"/>
      <c r="K57" s="434"/>
      <c r="L57" s="434"/>
      <c r="M57" s="68"/>
    </row>
    <row r="58" spans="1:13" ht="15.75" thickBot="1">
      <c r="A58" s="435" t="s">
        <v>87</v>
      </c>
      <c r="B58" s="436"/>
      <c r="C58" s="436"/>
      <c r="D58" s="436"/>
      <c r="E58" s="436"/>
      <c r="F58" s="436"/>
      <c r="G58" s="436"/>
      <c r="H58" s="436"/>
      <c r="I58" s="436"/>
      <c r="J58" s="436"/>
      <c r="K58" s="436"/>
      <c r="L58" s="437"/>
      <c r="M58" s="69">
        <f>SUM(M55:M57)</f>
        <v>12421.584999999999</v>
      </c>
    </row>
    <row r="59" spans="1:13" ht="15.75" thickBot="1">
      <c r="A59" s="30"/>
      <c r="B59" s="19"/>
      <c r="C59" s="19"/>
      <c r="D59" s="19"/>
      <c r="E59" s="19"/>
      <c r="F59" s="19"/>
      <c r="G59" s="19"/>
      <c r="H59" s="19"/>
      <c r="I59" s="19"/>
      <c r="J59" s="19"/>
      <c r="K59" s="19"/>
      <c r="L59" s="19"/>
      <c r="M59" s="24"/>
    </row>
    <row r="60" spans="1:13" ht="15.75" thickBot="1">
      <c r="A60" s="416" t="s">
        <v>101</v>
      </c>
      <c r="B60" s="417"/>
      <c r="C60" s="417"/>
      <c r="D60" s="417"/>
      <c r="E60" s="417"/>
      <c r="F60" s="417"/>
      <c r="G60" s="417"/>
      <c r="H60" s="417"/>
      <c r="I60" s="417"/>
      <c r="J60" s="417"/>
      <c r="K60" s="417"/>
      <c r="L60" s="418"/>
      <c r="M60" s="70">
        <f>ROUND(M58+M50+M43+M34,0)</f>
        <v>136950</v>
      </c>
    </row>
    <row r="61" spans="1:13">
      <c r="A61" s="30"/>
      <c r="B61" s="19"/>
      <c r="C61" s="19"/>
      <c r="D61" s="19"/>
      <c r="E61" s="19"/>
      <c r="F61" s="19"/>
      <c r="G61" s="19"/>
      <c r="H61" s="19"/>
      <c r="I61" s="19"/>
      <c r="J61" s="19"/>
      <c r="K61" s="19"/>
      <c r="L61" s="19"/>
      <c r="M61" s="24"/>
    </row>
    <row r="62" spans="1:13">
      <c r="A62" s="51" t="s">
        <v>102</v>
      </c>
      <c r="B62" s="52"/>
      <c r="C62" s="52"/>
      <c r="D62" s="52"/>
      <c r="E62" s="52"/>
      <c r="F62" s="52"/>
      <c r="G62" s="52"/>
      <c r="H62" s="52"/>
      <c r="I62" s="52"/>
      <c r="J62" s="52"/>
      <c r="K62" s="52"/>
      <c r="L62" s="52"/>
      <c r="M62" s="53"/>
    </row>
    <row r="63" spans="1:13" ht="15.75" thickBot="1">
      <c r="A63" s="30"/>
      <c r="B63" s="19"/>
      <c r="C63" s="19"/>
      <c r="D63" s="19"/>
      <c r="E63" s="19"/>
      <c r="F63" s="19"/>
      <c r="G63" s="19"/>
      <c r="H63" s="19"/>
      <c r="I63" s="19"/>
      <c r="J63" s="19"/>
      <c r="K63" s="19"/>
      <c r="L63" s="19"/>
      <c r="M63" s="24"/>
    </row>
    <row r="64" spans="1:13" ht="15.75" thickBot="1">
      <c r="A64" s="438" t="s">
        <v>103</v>
      </c>
      <c r="B64" s="439"/>
      <c r="C64" s="439"/>
      <c r="D64" s="439"/>
      <c r="E64" s="439"/>
      <c r="F64" s="439"/>
      <c r="G64" s="439"/>
      <c r="H64" s="309"/>
      <c r="I64" s="310"/>
      <c r="J64" s="81" t="s">
        <v>104</v>
      </c>
      <c r="K64" s="440" t="s">
        <v>105</v>
      </c>
      <c r="L64" s="441"/>
      <c r="M64" s="82"/>
    </row>
    <row r="65" spans="1:13">
      <c r="A65" s="442" t="s">
        <v>106</v>
      </c>
      <c r="B65" s="443"/>
      <c r="C65" s="443"/>
      <c r="D65" s="443"/>
      <c r="E65" s="443"/>
      <c r="F65" s="443"/>
      <c r="G65" s="443"/>
      <c r="H65" s="83"/>
      <c r="I65" s="84"/>
      <c r="J65" s="85">
        <v>0.19</v>
      </c>
      <c r="K65" s="444">
        <f>M60*J65</f>
        <v>26020.5</v>
      </c>
      <c r="L65" s="444"/>
      <c r="M65" s="86"/>
    </row>
    <row r="66" spans="1:13">
      <c r="A66" s="447" t="s">
        <v>107</v>
      </c>
      <c r="B66" s="448"/>
      <c r="C66" s="448"/>
      <c r="D66" s="448"/>
      <c r="E66" s="448"/>
      <c r="F66" s="448"/>
      <c r="G66" s="449"/>
      <c r="H66" s="77"/>
      <c r="I66" s="78"/>
      <c r="J66" s="5">
        <v>0.01</v>
      </c>
      <c r="K66" s="445">
        <f>M60*J66</f>
        <v>1369.5</v>
      </c>
      <c r="L66" s="445"/>
      <c r="M66" s="6"/>
    </row>
    <row r="67" spans="1:13">
      <c r="A67" s="447" t="s">
        <v>108</v>
      </c>
      <c r="B67" s="448"/>
      <c r="C67" s="448"/>
      <c r="D67" s="448"/>
      <c r="E67" s="448"/>
      <c r="F67" s="448"/>
      <c r="G67" s="449"/>
      <c r="H67" s="77"/>
      <c r="I67" s="78"/>
      <c r="J67" s="5">
        <v>0.05</v>
      </c>
      <c r="K67" s="445">
        <f>M60*J67</f>
        <v>6847.5</v>
      </c>
      <c r="L67" s="445"/>
      <c r="M67" s="6"/>
    </row>
    <row r="68" spans="1:13" ht="15.75" thickBot="1">
      <c r="A68" s="450" t="s">
        <v>117</v>
      </c>
      <c r="B68" s="451"/>
      <c r="C68" s="451"/>
      <c r="D68" s="451"/>
      <c r="E68" s="451"/>
      <c r="F68" s="451"/>
      <c r="G68" s="452"/>
      <c r="H68" s="87"/>
      <c r="I68" s="88"/>
      <c r="J68" s="89">
        <v>0.19</v>
      </c>
      <c r="K68" s="446">
        <f>K67*J68</f>
        <v>1301.0250000000001</v>
      </c>
      <c r="L68" s="446"/>
      <c r="M68" s="90"/>
    </row>
    <row r="69" spans="1:13" ht="15.75" thickBot="1">
      <c r="A69" s="435" t="s">
        <v>87</v>
      </c>
      <c r="B69" s="436"/>
      <c r="C69" s="436"/>
      <c r="D69" s="436"/>
      <c r="E69" s="436"/>
      <c r="F69" s="436"/>
      <c r="G69" s="436"/>
      <c r="H69" s="436"/>
      <c r="I69" s="436"/>
      <c r="J69" s="436"/>
      <c r="K69" s="436"/>
      <c r="L69" s="437"/>
      <c r="M69" s="76">
        <f>SUM(K65:L68)</f>
        <v>35538.525000000001</v>
      </c>
    </row>
    <row r="70" spans="1:13" ht="15.75" thickBot="1">
      <c r="A70" s="30"/>
      <c r="B70" s="19"/>
      <c r="C70" s="19"/>
      <c r="D70" s="19"/>
      <c r="E70" s="19"/>
      <c r="F70" s="19"/>
      <c r="G70" s="19"/>
      <c r="H70" s="19"/>
      <c r="I70" s="19"/>
      <c r="J70" s="19"/>
      <c r="K70" s="19"/>
      <c r="L70" s="19"/>
      <c r="M70" s="24"/>
    </row>
    <row r="71" spans="1:13" ht="15.75" thickBot="1">
      <c r="A71" s="416" t="s">
        <v>109</v>
      </c>
      <c r="B71" s="417"/>
      <c r="C71" s="417"/>
      <c r="D71" s="417"/>
      <c r="E71" s="417"/>
      <c r="F71" s="417"/>
      <c r="G71" s="417"/>
      <c r="H71" s="417"/>
      <c r="I71" s="417"/>
      <c r="J71" s="417"/>
      <c r="K71" s="417"/>
      <c r="L71" s="418"/>
      <c r="M71" s="71">
        <f>ROUND(M60+M69,0)</f>
        <v>172489</v>
      </c>
    </row>
  </sheetData>
  <mergeCells count="7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G56"/>
    <mergeCell ref="K56:L56"/>
    <mergeCell ref="A57:G57"/>
    <mergeCell ref="K57:L57"/>
    <mergeCell ref="A58:L58"/>
    <mergeCell ref="A60:L60"/>
    <mergeCell ref="A64:G64"/>
    <mergeCell ref="K64:L64"/>
    <mergeCell ref="A65:G65"/>
    <mergeCell ref="K65:L65"/>
    <mergeCell ref="A69:L69"/>
    <mergeCell ref="A71:L71"/>
    <mergeCell ref="A66:G66"/>
    <mergeCell ref="K66:L66"/>
    <mergeCell ref="A67:G67"/>
    <mergeCell ref="K67:L67"/>
    <mergeCell ref="A68:G68"/>
    <mergeCell ref="K68:L68"/>
  </mergeCells>
  <pageMargins left="0.7" right="0.7" top="0.75" bottom="0.75" header="0.3" footer="0.3"/>
  <pageSetup scale="56"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view="pageBreakPreview" topLeftCell="A46" zoomScale="80" zoomScaleNormal="100" zoomScaleSheetLayoutView="80" workbookViewId="0">
      <selection activeCell="M60" sqref="M60"/>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313"/>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314" t="s">
        <v>71</v>
      </c>
      <c r="H12" s="394"/>
      <c r="I12" s="394"/>
      <c r="J12" s="23"/>
      <c r="K12" s="23"/>
      <c r="L12" s="23"/>
      <c r="M12" s="24"/>
    </row>
    <row r="13" spans="1:13">
      <c r="A13" s="25" t="s">
        <v>72</v>
      </c>
      <c r="B13" s="26"/>
      <c r="C13" s="555"/>
      <c r="D13" s="556"/>
      <c r="E13" s="556"/>
      <c r="F13" s="556"/>
      <c r="G13" s="556"/>
      <c r="H13" s="556"/>
      <c r="I13" s="556"/>
      <c r="J13" s="556"/>
      <c r="K13" s="556"/>
      <c r="L13" s="556"/>
      <c r="M13" s="557"/>
    </row>
    <row r="14" spans="1:13">
      <c r="A14" s="25"/>
      <c r="B14" s="26"/>
      <c r="C14" s="394"/>
      <c r="D14" s="394"/>
      <c r="E14" s="394"/>
      <c r="F14" s="394"/>
      <c r="G14" s="394"/>
      <c r="H14" s="394"/>
      <c r="I14" s="394"/>
      <c r="J14" s="394"/>
      <c r="K14" s="394"/>
      <c r="L14" s="394"/>
      <c r="M14" s="558"/>
    </row>
    <row r="15" spans="1:13">
      <c r="A15" s="25"/>
      <c r="B15" s="26"/>
      <c r="C15" s="316"/>
      <c r="D15" s="316"/>
      <c r="E15" s="316"/>
      <c r="F15" s="316"/>
      <c r="G15" s="316"/>
      <c r="H15" s="316"/>
      <c r="I15" s="316"/>
      <c r="J15" s="316"/>
      <c r="K15" s="316"/>
      <c r="L15" s="316"/>
      <c r="M15" s="317"/>
    </row>
    <row r="16" spans="1:13">
      <c r="A16" s="25" t="s">
        <v>73</v>
      </c>
      <c r="B16" s="26"/>
      <c r="C16" s="379"/>
      <c r="D16" s="379"/>
      <c r="E16" s="379"/>
      <c r="F16" s="379"/>
      <c r="G16" s="379"/>
      <c r="H16" s="379"/>
      <c r="I16" s="379"/>
      <c r="J16" s="379"/>
      <c r="K16" s="379"/>
      <c r="L16" s="379"/>
      <c r="M16" s="380"/>
    </row>
    <row r="17" spans="1:19">
      <c r="A17" s="25"/>
      <c r="B17" s="26"/>
      <c r="C17" s="314"/>
      <c r="D17" s="314"/>
      <c r="E17" s="314"/>
      <c r="F17" s="314"/>
      <c r="G17" s="314"/>
      <c r="H17" s="314"/>
      <c r="I17" s="314"/>
      <c r="J17" s="314"/>
      <c r="K17" s="314"/>
      <c r="L17" s="314"/>
      <c r="M17" s="13"/>
    </row>
    <row r="18" spans="1:19">
      <c r="A18" s="25" t="s">
        <v>74</v>
      </c>
      <c r="B18" s="26"/>
      <c r="C18" s="379"/>
      <c r="D18" s="379"/>
      <c r="E18" s="379"/>
      <c r="F18" s="379"/>
      <c r="G18" s="379"/>
      <c r="H18" s="379"/>
      <c r="I18" s="379"/>
      <c r="J18" s="379"/>
      <c r="K18" s="379"/>
      <c r="L18" s="379"/>
      <c r="M18" s="380"/>
    </row>
    <row r="19" spans="1:19">
      <c r="A19" s="25"/>
      <c r="B19" s="26"/>
      <c r="C19" s="314"/>
      <c r="D19" s="314"/>
      <c r="E19" s="314"/>
      <c r="F19" s="314"/>
      <c r="G19" s="314"/>
      <c r="H19" s="314"/>
      <c r="I19" s="314"/>
      <c r="J19" s="314"/>
      <c r="K19" s="314"/>
      <c r="L19" s="314"/>
      <c r="M19" s="13"/>
    </row>
    <row r="20" spans="1:19" ht="31.5" customHeight="1">
      <c r="A20" s="464" t="s">
        <v>113</v>
      </c>
      <c r="B20" s="465"/>
      <c r="C20" s="379"/>
      <c r="D20" s="379"/>
      <c r="E20" s="379"/>
      <c r="F20" s="379"/>
      <c r="G20" s="379"/>
      <c r="H20" s="379"/>
      <c r="I20" s="379"/>
      <c r="J20" s="379"/>
      <c r="K20" s="379"/>
      <c r="L20" s="379"/>
      <c r="M20" s="380"/>
    </row>
    <row r="21" spans="1:19">
      <c r="A21" s="400"/>
      <c r="B21" s="401"/>
      <c r="C21" s="314"/>
      <c r="D21" s="314"/>
      <c r="E21" s="314"/>
      <c r="F21" s="314"/>
      <c r="G21" s="314"/>
      <c r="H21" s="314"/>
      <c r="I21" s="314"/>
      <c r="J21" s="314"/>
      <c r="K21" s="314"/>
      <c r="L21" s="31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306" t="s">
        <v>78</v>
      </c>
      <c r="K25" s="408" t="s">
        <v>79</v>
      </c>
      <c r="L25" s="409"/>
      <c r="M25" s="31" t="s">
        <v>80</v>
      </c>
    </row>
    <row r="26" spans="1:19" ht="48.75" customHeight="1" thickBot="1">
      <c r="A26" s="33"/>
      <c r="B26" s="509" t="s">
        <v>381</v>
      </c>
      <c r="C26" s="510"/>
      <c r="D26" s="510"/>
      <c r="E26" s="510"/>
      <c r="F26" s="510"/>
      <c r="G26" s="510"/>
      <c r="H26" s="510"/>
      <c r="I26" s="511"/>
      <c r="J26" s="305">
        <v>1</v>
      </c>
      <c r="K26" s="391" t="s">
        <v>9</v>
      </c>
      <c r="L26" s="393"/>
      <c r="M26" s="35"/>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311" t="s">
        <v>83</v>
      </c>
      <c r="K30" s="421" t="s">
        <v>84</v>
      </c>
      <c r="L30" s="424"/>
      <c r="M30" s="44" t="s">
        <v>85</v>
      </c>
    </row>
    <row r="31" spans="1:19" ht="15.75" thickBot="1">
      <c r="A31" s="425"/>
      <c r="B31" s="426"/>
      <c r="C31" s="426"/>
      <c r="D31" s="426"/>
      <c r="E31" s="427"/>
      <c r="F31" s="428"/>
      <c r="G31" s="429"/>
      <c r="H31" s="430"/>
      <c r="I31" s="427"/>
      <c r="J31" s="72"/>
      <c r="K31" s="428"/>
      <c r="L31" s="429"/>
      <c r="M31" s="231">
        <f>K31*J31</f>
        <v>0</v>
      </c>
      <c r="N31" s="489"/>
      <c r="O31" s="490"/>
      <c r="P31" s="95"/>
      <c r="Q31" s="96"/>
      <c r="R31" s="97"/>
      <c r="S31" s="98"/>
    </row>
    <row r="32" spans="1:19">
      <c r="A32" s="425"/>
      <c r="B32" s="426"/>
      <c r="C32" s="426"/>
      <c r="D32" s="426"/>
      <c r="E32" s="427"/>
      <c r="F32" s="428"/>
      <c r="G32" s="429"/>
      <c r="H32" s="430"/>
      <c r="I32" s="427"/>
      <c r="J32" s="72"/>
      <c r="K32" s="428"/>
      <c r="L32" s="429"/>
      <c r="M32" s="46"/>
    </row>
    <row r="33" spans="1:13" ht="15.75" thickBot="1">
      <c r="A33" s="410"/>
      <c r="B33" s="411"/>
      <c r="C33" s="411"/>
      <c r="D33" s="411"/>
      <c r="E33" s="412"/>
      <c r="F33" s="414"/>
      <c r="G33" s="415"/>
      <c r="H33" s="413"/>
      <c r="I33" s="412"/>
      <c r="J33" s="91"/>
      <c r="K33" s="414"/>
      <c r="L33" s="415"/>
      <c r="M33" s="46"/>
    </row>
    <row r="34" spans="1:13" ht="15.75" thickBot="1">
      <c r="A34" s="416" t="s">
        <v>87</v>
      </c>
      <c r="B34" s="417"/>
      <c r="C34" s="417"/>
      <c r="D34" s="417"/>
      <c r="E34" s="417"/>
      <c r="F34" s="417"/>
      <c r="G34" s="417"/>
      <c r="H34" s="417"/>
      <c r="I34" s="417"/>
      <c r="J34" s="417"/>
      <c r="K34" s="417"/>
      <c r="L34" s="418"/>
      <c r="M34" s="232">
        <f>SUM(M31:M33)</f>
        <v>0</v>
      </c>
    </row>
    <row r="35" spans="1:13">
      <c r="A35" s="50"/>
      <c r="B35" s="19"/>
      <c r="C35" s="19"/>
      <c r="D35" s="19"/>
      <c r="E35" s="19"/>
      <c r="F35" s="19"/>
      <c r="G35" s="19"/>
      <c r="H35" s="19"/>
      <c r="I35" s="19"/>
      <c r="J35" s="19"/>
      <c r="K35" s="19"/>
      <c r="L35" s="19"/>
      <c r="M35" s="24"/>
    </row>
    <row r="36" spans="1:13">
      <c r="A36" s="51" t="s">
        <v>88</v>
      </c>
      <c r="B36" s="52"/>
      <c r="C36" s="52"/>
      <c r="D36" s="52"/>
      <c r="E36" s="52"/>
      <c r="F36" s="52"/>
      <c r="G36" s="52"/>
      <c r="H36" s="52"/>
      <c r="I36" s="52"/>
      <c r="J36" s="52"/>
      <c r="K36" s="52"/>
      <c r="L36" s="52"/>
      <c r="M36" s="53"/>
    </row>
    <row r="37" spans="1:13" ht="15.75" thickBot="1">
      <c r="A37" s="14"/>
      <c r="B37" s="15"/>
      <c r="C37" s="15"/>
      <c r="D37" s="15"/>
      <c r="E37" s="15"/>
      <c r="F37" s="15"/>
      <c r="G37" s="15"/>
      <c r="H37" s="15"/>
      <c r="I37" s="19"/>
      <c r="J37" s="19"/>
      <c r="K37" s="19"/>
      <c r="L37" s="19"/>
      <c r="M37" s="24"/>
    </row>
    <row r="38" spans="1:13">
      <c r="A38" s="408" t="s">
        <v>77</v>
      </c>
      <c r="B38" s="431"/>
      <c r="C38" s="431"/>
      <c r="D38" s="431"/>
      <c r="E38" s="431"/>
      <c r="F38" s="431"/>
      <c r="G38" s="431"/>
      <c r="H38" s="424"/>
      <c r="I38" s="307" t="s">
        <v>79</v>
      </c>
      <c r="J38" s="311" t="s">
        <v>80</v>
      </c>
      <c r="K38" s="421" t="s">
        <v>89</v>
      </c>
      <c r="L38" s="424"/>
      <c r="M38" s="44" t="s">
        <v>85</v>
      </c>
    </row>
    <row r="39" spans="1:13" ht="36.75" customHeight="1">
      <c r="A39" s="516" t="s">
        <v>381</v>
      </c>
      <c r="B39" s="559"/>
      <c r="C39" s="559"/>
      <c r="D39" s="559"/>
      <c r="E39" s="559"/>
      <c r="F39" s="559"/>
      <c r="G39" s="559"/>
      <c r="H39" s="560"/>
      <c r="I39" s="73" t="s">
        <v>9</v>
      </c>
      <c r="J39" s="315">
        <v>1</v>
      </c>
      <c r="K39" s="456">
        <v>17688</v>
      </c>
      <c r="L39" s="457"/>
      <c r="M39" s="56">
        <f t="shared" ref="M39:M42" si="0">K39*J39</f>
        <v>17688</v>
      </c>
    </row>
    <row r="40" spans="1:13">
      <c r="A40" s="425"/>
      <c r="B40" s="426"/>
      <c r="C40" s="426"/>
      <c r="D40" s="426"/>
      <c r="E40" s="426"/>
      <c r="F40" s="426"/>
      <c r="G40" s="426"/>
      <c r="H40" s="427"/>
      <c r="I40" s="73"/>
      <c r="J40" s="315"/>
      <c r="K40" s="456">
        <v>0</v>
      </c>
      <c r="L40" s="457"/>
      <c r="M40" s="56">
        <f t="shared" si="0"/>
        <v>0</v>
      </c>
    </row>
    <row r="41" spans="1:13">
      <c r="A41" s="425"/>
      <c r="B41" s="426"/>
      <c r="C41" s="426"/>
      <c r="D41" s="426"/>
      <c r="E41" s="426"/>
      <c r="F41" s="426"/>
      <c r="G41" s="426"/>
      <c r="H41" s="427"/>
      <c r="I41" s="73"/>
      <c r="J41" s="315"/>
      <c r="K41" s="456">
        <v>0</v>
      </c>
      <c r="L41" s="457"/>
      <c r="M41" s="56">
        <f t="shared" si="0"/>
        <v>0</v>
      </c>
    </row>
    <row r="42" spans="1:13" ht="15.75" thickBot="1">
      <c r="A42" s="410"/>
      <c r="B42" s="411"/>
      <c r="C42" s="411"/>
      <c r="D42" s="411"/>
      <c r="E42" s="411"/>
      <c r="F42" s="411"/>
      <c r="G42" s="411"/>
      <c r="H42" s="412"/>
      <c r="I42" s="74"/>
      <c r="J42" s="211"/>
      <c r="K42" s="466">
        <v>0</v>
      </c>
      <c r="L42" s="467"/>
      <c r="M42" s="56">
        <f t="shared" si="0"/>
        <v>0</v>
      </c>
    </row>
    <row r="43" spans="1:13" ht="15.75" thickBot="1">
      <c r="A43" s="416" t="s">
        <v>87</v>
      </c>
      <c r="B43" s="417"/>
      <c r="C43" s="417"/>
      <c r="D43" s="417"/>
      <c r="E43" s="417"/>
      <c r="F43" s="417"/>
      <c r="G43" s="417"/>
      <c r="H43" s="417"/>
      <c r="I43" s="417"/>
      <c r="J43" s="417"/>
      <c r="K43" s="417"/>
      <c r="L43" s="418"/>
      <c r="M43" s="58">
        <f>SUM(M39:M42)</f>
        <v>17688</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311" t="s">
        <v>92</v>
      </c>
      <c r="I47" s="308" t="s">
        <v>93</v>
      </c>
      <c r="J47" s="60" t="s">
        <v>94</v>
      </c>
      <c r="K47" s="421" t="s">
        <v>95</v>
      </c>
      <c r="L47" s="424"/>
      <c r="M47" s="44" t="s">
        <v>85</v>
      </c>
    </row>
    <row r="48" spans="1:13">
      <c r="A48" s="425"/>
      <c r="B48" s="426"/>
      <c r="C48" s="426"/>
      <c r="D48" s="426"/>
      <c r="E48" s="426"/>
      <c r="F48" s="426"/>
      <c r="G48" s="426"/>
      <c r="H48" s="61"/>
      <c r="I48" s="55"/>
      <c r="J48" s="61"/>
      <c r="K48" s="428"/>
      <c r="L48" s="429"/>
    </row>
    <row r="49" spans="1:13" ht="15.75" thickBot="1">
      <c r="A49" s="410"/>
      <c r="B49" s="411"/>
      <c r="C49" s="411"/>
      <c r="D49" s="411"/>
      <c r="E49" s="411"/>
      <c r="F49" s="411"/>
      <c r="G49" s="411"/>
      <c r="H49" s="47"/>
      <c r="I49" s="15"/>
      <c r="J49" s="47"/>
      <c r="K49" s="414"/>
      <c r="L49" s="415"/>
      <c r="M49" s="62"/>
    </row>
    <row r="50" spans="1:13" ht="15.75" thickBot="1">
      <c r="A50" s="416" t="s">
        <v>87</v>
      </c>
      <c r="B50" s="417"/>
      <c r="C50" s="417"/>
      <c r="D50" s="417"/>
      <c r="E50" s="417"/>
      <c r="F50" s="417"/>
      <c r="G50" s="417"/>
      <c r="H50" s="417"/>
      <c r="I50" s="417"/>
      <c r="J50" s="417"/>
      <c r="K50" s="417"/>
      <c r="L50" s="418"/>
      <c r="M50" s="63">
        <f>SUM(M49:M49)</f>
        <v>0</v>
      </c>
    </row>
    <row r="51" spans="1:13">
      <c r="A51" s="30"/>
      <c r="B51" s="19"/>
      <c r="C51" s="19"/>
      <c r="D51" s="19"/>
      <c r="E51" s="19"/>
      <c r="F51" s="19"/>
      <c r="G51" s="19"/>
      <c r="H51" s="19"/>
      <c r="I51" s="19"/>
      <c r="J51" s="19"/>
      <c r="K51" s="19"/>
      <c r="L51" s="19"/>
      <c r="M51" s="24"/>
    </row>
    <row r="52" spans="1:13">
      <c r="A52" s="51" t="s">
        <v>96</v>
      </c>
      <c r="B52" s="52"/>
      <c r="C52" s="52"/>
      <c r="D52" s="52"/>
      <c r="E52" s="52"/>
      <c r="F52" s="52"/>
      <c r="G52" s="52"/>
      <c r="H52" s="52"/>
      <c r="I52" s="52"/>
      <c r="J52" s="52"/>
      <c r="K52" s="52"/>
      <c r="L52" s="52"/>
      <c r="M52" s="53"/>
    </row>
    <row r="53" spans="1:13" ht="15.75" thickBot="1">
      <c r="A53" s="30"/>
      <c r="B53" s="19"/>
      <c r="C53" s="19"/>
      <c r="D53" s="19"/>
      <c r="E53" s="19"/>
      <c r="F53" s="19"/>
      <c r="G53" s="19"/>
      <c r="H53" s="19"/>
      <c r="I53" s="19"/>
      <c r="J53" s="19"/>
      <c r="K53" s="19"/>
      <c r="L53" s="19"/>
      <c r="M53" s="24"/>
    </row>
    <row r="54" spans="1:13" ht="26.25">
      <c r="A54" s="453" t="s">
        <v>97</v>
      </c>
      <c r="B54" s="454"/>
      <c r="C54" s="454"/>
      <c r="D54" s="454"/>
      <c r="E54" s="454"/>
      <c r="F54" s="454"/>
      <c r="G54" s="454"/>
      <c r="H54" s="311" t="s">
        <v>98</v>
      </c>
      <c r="I54" s="312" t="s">
        <v>99</v>
      </c>
      <c r="J54" s="312" t="s">
        <v>100</v>
      </c>
      <c r="K54" s="455" t="s">
        <v>84</v>
      </c>
      <c r="L54" s="455"/>
      <c r="M54" s="65" t="s">
        <v>85</v>
      </c>
    </row>
    <row r="55" spans="1:13">
      <c r="A55" s="425" t="s">
        <v>126</v>
      </c>
      <c r="B55" s="426"/>
      <c r="C55" s="426"/>
      <c r="D55" s="426"/>
      <c r="E55" s="426"/>
      <c r="F55" s="426"/>
      <c r="G55" s="427"/>
      <c r="H55" s="1">
        <v>112923.49999999999</v>
      </c>
      <c r="I55" s="2">
        <v>2.2000000000000002</v>
      </c>
      <c r="J55" s="66">
        <f>(I55*H55)</f>
        <v>248431.69999999998</v>
      </c>
      <c r="K55" s="483">
        <v>8</v>
      </c>
      <c r="L55" s="483"/>
      <c r="M55" s="56">
        <f>J55/K55</f>
        <v>31053.962499999998</v>
      </c>
    </row>
    <row r="56" spans="1:13">
      <c r="A56" s="471"/>
      <c r="B56" s="472"/>
      <c r="C56" s="472"/>
      <c r="D56" s="472"/>
      <c r="E56" s="472"/>
      <c r="F56" s="472"/>
      <c r="G56" s="472"/>
      <c r="H56" s="1"/>
      <c r="I56" s="2"/>
      <c r="J56" s="66"/>
      <c r="K56" s="473"/>
      <c r="L56" s="473"/>
      <c r="M56" s="56"/>
    </row>
    <row r="57" spans="1:13" ht="15.75" thickBot="1">
      <c r="A57" s="432"/>
      <c r="B57" s="433"/>
      <c r="C57" s="433"/>
      <c r="D57" s="433"/>
      <c r="E57" s="433"/>
      <c r="F57" s="433"/>
      <c r="G57" s="433"/>
      <c r="H57" s="3"/>
      <c r="I57" s="4"/>
      <c r="J57" s="67"/>
      <c r="K57" s="434"/>
      <c r="L57" s="434"/>
      <c r="M57" s="68"/>
    </row>
    <row r="58" spans="1:13" ht="15.75" thickBot="1">
      <c r="A58" s="435" t="s">
        <v>87</v>
      </c>
      <c r="B58" s="436"/>
      <c r="C58" s="436"/>
      <c r="D58" s="436"/>
      <c r="E58" s="436"/>
      <c r="F58" s="436"/>
      <c r="G58" s="436"/>
      <c r="H58" s="436"/>
      <c r="I58" s="436"/>
      <c r="J58" s="436"/>
      <c r="K58" s="436"/>
      <c r="L58" s="437"/>
      <c r="M58" s="69">
        <f>SUM(M55:M57)</f>
        <v>31053.962499999998</v>
      </c>
    </row>
    <row r="59" spans="1:13" ht="15.75" thickBot="1">
      <c r="A59" s="30"/>
      <c r="B59" s="19"/>
      <c r="C59" s="19"/>
      <c r="D59" s="19"/>
      <c r="E59" s="19"/>
      <c r="F59" s="19"/>
      <c r="G59" s="19"/>
      <c r="H59" s="19"/>
      <c r="I59" s="19"/>
      <c r="J59" s="19"/>
      <c r="K59" s="19"/>
      <c r="L59" s="19"/>
      <c r="M59" s="24"/>
    </row>
    <row r="60" spans="1:13" ht="15.75" thickBot="1">
      <c r="A60" s="416" t="s">
        <v>101</v>
      </c>
      <c r="B60" s="417"/>
      <c r="C60" s="417"/>
      <c r="D60" s="417"/>
      <c r="E60" s="417"/>
      <c r="F60" s="417"/>
      <c r="G60" s="417"/>
      <c r="H60" s="417"/>
      <c r="I60" s="417"/>
      <c r="J60" s="417"/>
      <c r="K60" s="417"/>
      <c r="L60" s="418"/>
      <c r="M60" s="70">
        <f>ROUND(M58+M50+M43+M34,0)</f>
        <v>48742</v>
      </c>
    </row>
    <row r="61" spans="1:13">
      <c r="A61" s="30"/>
      <c r="B61" s="19"/>
      <c r="C61" s="19"/>
      <c r="D61" s="19"/>
      <c r="E61" s="19"/>
      <c r="F61" s="19"/>
      <c r="G61" s="19"/>
      <c r="H61" s="19"/>
      <c r="I61" s="19"/>
      <c r="J61" s="19"/>
      <c r="K61" s="19"/>
      <c r="L61" s="19"/>
      <c r="M61" s="24"/>
    </row>
    <row r="62" spans="1:13">
      <c r="A62" s="51" t="s">
        <v>102</v>
      </c>
      <c r="B62" s="52"/>
      <c r="C62" s="52"/>
      <c r="D62" s="52"/>
      <c r="E62" s="52"/>
      <c r="F62" s="52"/>
      <c r="G62" s="52"/>
      <c r="H62" s="52"/>
      <c r="I62" s="52"/>
      <c r="J62" s="52"/>
      <c r="K62" s="52"/>
      <c r="L62" s="52"/>
      <c r="M62" s="53"/>
    </row>
    <row r="63" spans="1:13" ht="15.75" thickBot="1">
      <c r="A63" s="30"/>
      <c r="B63" s="19"/>
      <c r="C63" s="19"/>
      <c r="D63" s="19"/>
      <c r="E63" s="19"/>
      <c r="F63" s="19"/>
      <c r="G63" s="19"/>
      <c r="H63" s="19"/>
      <c r="I63" s="19"/>
      <c r="J63" s="19"/>
      <c r="K63" s="19"/>
      <c r="L63" s="19"/>
      <c r="M63" s="24"/>
    </row>
    <row r="64" spans="1:13" ht="15.75" thickBot="1">
      <c r="A64" s="438" t="s">
        <v>103</v>
      </c>
      <c r="B64" s="439"/>
      <c r="C64" s="439"/>
      <c r="D64" s="439"/>
      <c r="E64" s="439"/>
      <c r="F64" s="439"/>
      <c r="G64" s="439"/>
      <c r="H64" s="309"/>
      <c r="I64" s="310"/>
      <c r="J64" s="81" t="s">
        <v>104</v>
      </c>
      <c r="K64" s="440" t="s">
        <v>105</v>
      </c>
      <c r="L64" s="441"/>
      <c r="M64" s="82"/>
    </row>
    <row r="65" spans="1:13">
      <c r="A65" s="442" t="s">
        <v>106</v>
      </c>
      <c r="B65" s="443"/>
      <c r="C65" s="443"/>
      <c r="D65" s="443"/>
      <c r="E65" s="443"/>
      <c r="F65" s="443"/>
      <c r="G65" s="443"/>
      <c r="H65" s="83"/>
      <c r="I65" s="84"/>
      <c r="J65" s="85">
        <v>0.19</v>
      </c>
      <c r="K65" s="444">
        <f>M60*J65</f>
        <v>9260.98</v>
      </c>
      <c r="L65" s="444"/>
      <c r="M65" s="86"/>
    </row>
    <row r="66" spans="1:13">
      <c r="A66" s="447" t="s">
        <v>107</v>
      </c>
      <c r="B66" s="448"/>
      <c r="C66" s="448"/>
      <c r="D66" s="448"/>
      <c r="E66" s="448"/>
      <c r="F66" s="448"/>
      <c r="G66" s="449"/>
      <c r="H66" s="77"/>
      <c r="I66" s="78"/>
      <c r="J66" s="5">
        <v>0.01</v>
      </c>
      <c r="K66" s="445">
        <f>M60*J66</f>
        <v>487.42</v>
      </c>
      <c r="L66" s="445"/>
      <c r="M66" s="6"/>
    </row>
    <row r="67" spans="1:13">
      <c r="A67" s="447" t="s">
        <v>108</v>
      </c>
      <c r="B67" s="448"/>
      <c r="C67" s="448"/>
      <c r="D67" s="448"/>
      <c r="E67" s="448"/>
      <c r="F67" s="448"/>
      <c r="G67" s="449"/>
      <c r="H67" s="77"/>
      <c r="I67" s="78"/>
      <c r="J67" s="5">
        <v>0.05</v>
      </c>
      <c r="K67" s="445">
        <f>M60*J67</f>
        <v>2437.1</v>
      </c>
      <c r="L67" s="445"/>
      <c r="M67" s="6"/>
    </row>
    <row r="68" spans="1:13" ht="15.75" thickBot="1">
      <c r="A68" s="450" t="s">
        <v>117</v>
      </c>
      <c r="B68" s="451"/>
      <c r="C68" s="451"/>
      <c r="D68" s="451"/>
      <c r="E68" s="451"/>
      <c r="F68" s="451"/>
      <c r="G68" s="452"/>
      <c r="H68" s="87"/>
      <c r="I68" s="88"/>
      <c r="J68" s="89">
        <v>0.19</v>
      </c>
      <c r="K68" s="446">
        <f>K67*J68</f>
        <v>463.04899999999998</v>
      </c>
      <c r="L68" s="446"/>
      <c r="M68" s="90"/>
    </row>
    <row r="69" spans="1:13" ht="15.75" thickBot="1">
      <c r="A69" s="435" t="s">
        <v>87</v>
      </c>
      <c r="B69" s="436"/>
      <c r="C69" s="436"/>
      <c r="D69" s="436"/>
      <c r="E69" s="436"/>
      <c r="F69" s="436"/>
      <c r="G69" s="436"/>
      <c r="H69" s="436"/>
      <c r="I69" s="436"/>
      <c r="J69" s="436"/>
      <c r="K69" s="436"/>
      <c r="L69" s="437"/>
      <c r="M69" s="76">
        <f>SUM(K65:L68)</f>
        <v>12648.548999999999</v>
      </c>
    </row>
    <row r="70" spans="1:13" ht="15.75" thickBot="1">
      <c r="A70" s="30"/>
      <c r="B70" s="19"/>
      <c r="C70" s="19"/>
      <c r="D70" s="19"/>
      <c r="E70" s="19"/>
      <c r="F70" s="19"/>
      <c r="G70" s="19"/>
      <c r="H70" s="19"/>
      <c r="I70" s="19"/>
      <c r="J70" s="19"/>
      <c r="K70" s="19"/>
      <c r="L70" s="19"/>
      <c r="M70" s="24"/>
    </row>
    <row r="71" spans="1:13" ht="15.75" thickBot="1">
      <c r="A71" s="416" t="s">
        <v>109</v>
      </c>
      <c r="B71" s="417"/>
      <c r="C71" s="417"/>
      <c r="D71" s="417"/>
      <c r="E71" s="417"/>
      <c r="F71" s="417"/>
      <c r="G71" s="417"/>
      <c r="H71" s="417"/>
      <c r="I71" s="417"/>
      <c r="J71" s="417"/>
      <c r="K71" s="417"/>
      <c r="L71" s="418"/>
      <c r="M71" s="71">
        <f>ROUND(M60+M69,0)</f>
        <v>61391</v>
      </c>
    </row>
  </sheetData>
  <mergeCells count="7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G56"/>
    <mergeCell ref="K56:L56"/>
    <mergeCell ref="A57:G57"/>
    <mergeCell ref="K57:L57"/>
    <mergeCell ref="A58:L58"/>
    <mergeCell ref="A60:L60"/>
    <mergeCell ref="A64:G64"/>
    <mergeCell ref="K64:L64"/>
    <mergeCell ref="A65:G65"/>
    <mergeCell ref="K65:L65"/>
    <mergeCell ref="A69:L69"/>
    <mergeCell ref="A71:L71"/>
    <mergeCell ref="A66:G66"/>
    <mergeCell ref="K66:L66"/>
    <mergeCell ref="A67:G67"/>
    <mergeCell ref="K67:L67"/>
    <mergeCell ref="A68:G68"/>
    <mergeCell ref="K68:L68"/>
  </mergeCells>
  <pageMargins left="0.7" right="0.7" top="0.75" bottom="0.75" header="0.3" footer="0.3"/>
  <pageSetup scale="56"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view="pageBreakPreview" topLeftCell="A46" zoomScale="80" zoomScaleNormal="100" zoomScaleSheetLayoutView="80" workbookViewId="0">
      <selection activeCell="M60" sqref="M60"/>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313"/>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314" t="s">
        <v>71</v>
      </c>
      <c r="H12" s="394"/>
      <c r="I12" s="394"/>
      <c r="J12" s="23"/>
      <c r="K12" s="23"/>
      <c r="L12" s="23"/>
      <c r="M12" s="24"/>
    </row>
    <row r="13" spans="1:13">
      <c r="A13" s="25" t="s">
        <v>72</v>
      </c>
      <c r="B13" s="26"/>
      <c r="C13" s="555"/>
      <c r="D13" s="556"/>
      <c r="E13" s="556"/>
      <c r="F13" s="556"/>
      <c r="G13" s="556"/>
      <c r="H13" s="556"/>
      <c r="I13" s="556"/>
      <c r="J13" s="556"/>
      <c r="K13" s="556"/>
      <c r="L13" s="556"/>
      <c r="M13" s="557"/>
    </row>
    <row r="14" spans="1:13">
      <c r="A14" s="25"/>
      <c r="B14" s="26"/>
      <c r="C14" s="394"/>
      <c r="D14" s="394"/>
      <c r="E14" s="394"/>
      <c r="F14" s="394"/>
      <c r="G14" s="394"/>
      <c r="H14" s="394"/>
      <c r="I14" s="394"/>
      <c r="J14" s="394"/>
      <c r="K14" s="394"/>
      <c r="L14" s="394"/>
      <c r="M14" s="558"/>
    </row>
    <row r="15" spans="1:13">
      <c r="A15" s="25"/>
      <c r="B15" s="26"/>
      <c r="C15" s="316"/>
      <c r="D15" s="316"/>
      <c r="E15" s="316"/>
      <c r="F15" s="316"/>
      <c r="G15" s="316"/>
      <c r="H15" s="316"/>
      <c r="I15" s="316"/>
      <c r="J15" s="316"/>
      <c r="K15" s="316"/>
      <c r="L15" s="316"/>
      <c r="M15" s="317"/>
    </row>
    <row r="16" spans="1:13">
      <c r="A16" s="25" t="s">
        <v>73</v>
      </c>
      <c r="B16" s="26"/>
      <c r="C16" s="379"/>
      <c r="D16" s="379"/>
      <c r="E16" s="379"/>
      <c r="F16" s="379"/>
      <c r="G16" s="379"/>
      <c r="H16" s="379"/>
      <c r="I16" s="379"/>
      <c r="J16" s="379"/>
      <c r="K16" s="379"/>
      <c r="L16" s="379"/>
      <c r="M16" s="380"/>
    </row>
    <row r="17" spans="1:19">
      <c r="A17" s="25"/>
      <c r="B17" s="26"/>
      <c r="C17" s="314"/>
      <c r="D17" s="314"/>
      <c r="E17" s="314"/>
      <c r="F17" s="314"/>
      <c r="G17" s="314"/>
      <c r="H17" s="314"/>
      <c r="I17" s="314"/>
      <c r="J17" s="314"/>
      <c r="K17" s="314"/>
      <c r="L17" s="314"/>
      <c r="M17" s="13"/>
    </row>
    <row r="18" spans="1:19">
      <c r="A18" s="25" t="s">
        <v>74</v>
      </c>
      <c r="B18" s="26"/>
      <c r="C18" s="379"/>
      <c r="D18" s="379"/>
      <c r="E18" s="379"/>
      <c r="F18" s="379"/>
      <c r="G18" s="379"/>
      <c r="H18" s="379"/>
      <c r="I18" s="379"/>
      <c r="J18" s="379"/>
      <c r="K18" s="379"/>
      <c r="L18" s="379"/>
      <c r="M18" s="380"/>
    </row>
    <row r="19" spans="1:19">
      <c r="A19" s="25"/>
      <c r="B19" s="26"/>
      <c r="C19" s="314"/>
      <c r="D19" s="314"/>
      <c r="E19" s="314"/>
      <c r="F19" s="314"/>
      <c r="G19" s="314"/>
      <c r="H19" s="314"/>
      <c r="I19" s="314"/>
      <c r="J19" s="314"/>
      <c r="K19" s="314"/>
      <c r="L19" s="314"/>
      <c r="M19" s="13"/>
    </row>
    <row r="20" spans="1:19" ht="31.5" customHeight="1">
      <c r="A20" s="464" t="s">
        <v>113</v>
      </c>
      <c r="B20" s="465"/>
      <c r="C20" s="379"/>
      <c r="D20" s="379"/>
      <c r="E20" s="379"/>
      <c r="F20" s="379"/>
      <c r="G20" s="379"/>
      <c r="H20" s="379"/>
      <c r="I20" s="379"/>
      <c r="J20" s="379"/>
      <c r="K20" s="379"/>
      <c r="L20" s="379"/>
      <c r="M20" s="380"/>
    </row>
    <row r="21" spans="1:19">
      <c r="A21" s="400"/>
      <c r="B21" s="401"/>
      <c r="C21" s="314"/>
      <c r="D21" s="314"/>
      <c r="E21" s="314"/>
      <c r="F21" s="314"/>
      <c r="G21" s="314"/>
      <c r="H21" s="314"/>
      <c r="I21" s="314"/>
      <c r="J21" s="314"/>
      <c r="K21" s="314"/>
      <c r="L21" s="31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306" t="s">
        <v>78</v>
      </c>
      <c r="K25" s="408" t="s">
        <v>79</v>
      </c>
      <c r="L25" s="409"/>
      <c r="M25" s="31" t="s">
        <v>80</v>
      </c>
    </row>
    <row r="26" spans="1:19" ht="48.75" customHeight="1" thickBot="1">
      <c r="A26" s="33"/>
      <c r="B26" s="509" t="s">
        <v>382</v>
      </c>
      <c r="C26" s="510"/>
      <c r="D26" s="510"/>
      <c r="E26" s="510"/>
      <c r="F26" s="510"/>
      <c r="G26" s="510"/>
      <c r="H26" s="510"/>
      <c r="I26" s="511"/>
      <c r="J26" s="305">
        <v>1</v>
      </c>
      <c r="K26" s="391" t="s">
        <v>9</v>
      </c>
      <c r="L26" s="393"/>
      <c r="M26" s="35"/>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311" t="s">
        <v>83</v>
      </c>
      <c r="K30" s="421" t="s">
        <v>84</v>
      </c>
      <c r="L30" s="424"/>
      <c r="M30" s="44" t="s">
        <v>85</v>
      </c>
    </row>
    <row r="31" spans="1:19" ht="15.75" thickBot="1">
      <c r="A31" s="425"/>
      <c r="B31" s="426"/>
      <c r="C31" s="426"/>
      <c r="D31" s="426"/>
      <c r="E31" s="427"/>
      <c r="F31" s="428"/>
      <c r="G31" s="429"/>
      <c r="H31" s="430"/>
      <c r="I31" s="427"/>
      <c r="J31" s="72"/>
      <c r="K31" s="428"/>
      <c r="L31" s="429"/>
      <c r="M31" s="231">
        <f>K31*J31</f>
        <v>0</v>
      </c>
      <c r="N31" s="489"/>
      <c r="O31" s="490"/>
      <c r="P31" s="95"/>
      <c r="Q31" s="96"/>
      <c r="R31" s="97"/>
      <c r="S31" s="98"/>
    </row>
    <row r="32" spans="1:19">
      <c r="A32" s="425"/>
      <c r="B32" s="426"/>
      <c r="C32" s="426"/>
      <c r="D32" s="426"/>
      <c r="E32" s="427"/>
      <c r="F32" s="428"/>
      <c r="G32" s="429"/>
      <c r="H32" s="430"/>
      <c r="I32" s="427"/>
      <c r="J32" s="72"/>
      <c r="K32" s="428"/>
      <c r="L32" s="429"/>
      <c r="M32" s="46"/>
    </row>
    <row r="33" spans="1:13" ht="15.75" thickBot="1">
      <c r="A33" s="410"/>
      <c r="B33" s="411"/>
      <c r="C33" s="411"/>
      <c r="D33" s="411"/>
      <c r="E33" s="412"/>
      <c r="F33" s="414"/>
      <c r="G33" s="415"/>
      <c r="H33" s="413"/>
      <c r="I33" s="412"/>
      <c r="J33" s="91"/>
      <c r="K33" s="414"/>
      <c r="L33" s="415"/>
      <c r="M33" s="46"/>
    </row>
    <row r="34" spans="1:13" ht="15.75" thickBot="1">
      <c r="A34" s="416" t="s">
        <v>87</v>
      </c>
      <c r="B34" s="417"/>
      <c r="C34" s="417"/>
      <c r="D34" s="417"/>
      <c r="E34" s="417"/>
      <c r="F34" s="417"/>
      <c r="G34" s="417"/>
      <c r="H34" s="417"/>
      <c r="I34" s="417"/>
      <c r="J34" s="417"/>
      <c r="K34" s="417"/>
      <c r="L34" s="418"/>
      <c r="M34" s="232">
        <f>SUM(M31:M33)</f>
        <v>0</v>
      </c>
    </row>
    <row r="35" spans="1:13">
      <c r="A35" s="50"/>
      <c r="B35" s="19"/>
      <c r="C35" s="19"/>
      <c r="D35" s="19"/>
      <c r="E35" s="19"/>
      <c r="F35" s="19"/>
      <c r="G35" s="19"/>
      <c r="H35" s="19"/>
      <c r="I35" s="19"/>
      <c r="J35" s="19"/>
      <c r="K35" s="19"/>
      <c r="L35" s="19"/>
      <c r="M35" s="24"/>
    </row>
    <row r="36" spans="1:13">
      <c r="A36" s="51" t="s">
        <v>88</v>
      </c>
      <c r="B36" s="52"/>
      <c r="C36" s="52"/>
      <c r="D36" s="52"/>
      <c r="E36" s="52"/>
      <c r="F36" s="52"/>
      <c r="G36" s="52"/>
      <c r="H36" s="52"/>
      <c r="I36" s="52"/>
      <c r="J36" s="52"/>
      <c r="K36" s="52"/>
      <c r="L36" s="52"/>
      <c r="M36" s="53"/>
    </row>
    <row r="37" spans="1:13" ht="15.75" thickBot="1">
      <c r="A37" s="14"/>
      <c r="B37" s="15"/>
      <c r="C37" s="15"/>
      <c r="D37" s="15"/>
      <c r="E37" s="15"/>
      <c r="F37" s="15"/>
      <c r="G37" s="15"/>
      <c r="H37" s="15"/>
      <c r="I37" s="19"/>
      <c r="J37" s="19"/>
      <c r="K37" s="19"/>
      <c r="L37" s="19"/>
      <c r="M37" s="24"/>
    </row>
    <row r="38" spans="1:13">
      <c r="A38" s="408" t="s">
        <v>77</v>
      </c>
      <c r="B38" s="431"/>
      <c r="C38" s="431"/>
      <c r="D38" s="431"/>
      <c r="E38" s="431"/>
      <c r="F38" s="431"/>
      <c r="G38" s="431"/>
      <c r="H38" s="424"/>
      <c r="I38" s="307" t="s">
        <v>79</v>
      </c>
      <c r="J38" s="311" t="s">
        <v>80</v>
      </c>
      <c r="K38" s="421" t="s">
        <v>89</v>
      </c>
      <c r="L38" s="424"/>
      <c r="M38" s="44" t="s">
        <v>85</v>
      </c>
    </row>
    <row r="39" spans="1:13" ht="36.75" customHeight="1">
      <c r="A39" s="516" t="s">
        <v>425</v>
      </c>
      <c r="B39" s="559"/>
      <c r="C39" s="559"/>
      <c r="D39" s="559"/>
      <c r="E39" s="559"/>
      <c r="F39" s="559"/>
      <c r="G39" s="559"/>
      <c r="H39" s="560"/>
      <c r="I39" s="73" t="s">
        <v>9</v>
      </c>
      <c r="J39" s="315">
        <v>1</v>
      </c>
      <c r="K39" s="456">
        <v>61710</v>
      </c>
      <c r="L39" s="457"/>
      <c r="M39" s="56">
        <f t="shared" ref="M39:M42" si="0">K39*J39</f>
        <v>61710</v>
      </c>
    </row>
    <row r="40" spans="1:13">
      <c r="A40" s="425"/>
      <c r="B40" s="426"/>
      <c r="C40" s="426"/>
      <c r="D40" s="426"/>
      <c r="E40" s="426"/>
      <c r="F40" s="426"/>
      <c r="G40" s="426"/>
      <c r="H40" s="427"/>
      <c r="I40" s="73"/>
      <c r="J40" s="315"/>
      <c r="K40" s="456">
        <v>0</v>
      </c>
      <c r="L40" s="457"/>
      <c r="M40" s="56">
        <f t="shared" si="0"/>
        <v>0</v>
      </c>
    </row>
    <row r="41" spans="1:13">
      <c r="A41" s="425"/>
      <c r="B41" s="426"/>
      <c r="C41" s="426"/>
      <c r="D41" s="426"/>
      <c r="E41" s="426"/>
      <c r="F41" s="426"/>
      <c r="G41" s="426"/>
      <c r="H41" s="427"/>
      <c r="I41" s="73"/>
      <c r="J41" s="315"/>
      <c r="K41" s="456">
        <v>0</v>
      </c>
      <c r="L41" s="457"/>
      <c r="M41" s="56">
        <f t="shared" si="0"/>
        <v>0</v>
      </c>
    </row>
    <row r="42" spans="1:13" ht="15.75" thickBot="1">
      <c r="A42" s="410"/>
      <c r="B42" s="411"/>
      <c r="C42" s="411"/>
      <c r="D42" s="411"/>
      <c r="E42" s="411"/>
      <c r="F42" s="411"/>
      <c r="G42" s="411"/>
      <c r="H42" s="412"/>
      <c r="I42" s="74"/>
      <c r="J42" s="211"/>
      <c r="K42" s="466">
        <v>0</v>
      </c>
      <c r="L42" s="467"/>
      <c r="M42" s="56">
        <f t="shared" si="0"/>
        <v>0</v>
      </c>
    </row>
    <row r="43" spans="1:13" ht="15.75" thickBot="1">
      <c r="A43" s="416" t="s">
        <v>87</v>
      </c>
      <c r="B43" s="417"/>
      <c r="C43" s="417"/>
      <c r="D43" s="417"/>
      <c r="E43" s="417"/>
      <c r="F43" s="417"/>
      <c r="G43" s="417"/>
      <c r="H43" s="417"/>
      <c r="I43" s="417"/>
      <c r="J43" s="417"/>
      <c r="K43" s="417"/>
      <c r="L43" s="418"/>
      <c r="M43" s="58">
        <f>SUM(M39:M42)</f>
        <v>61710</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311" t="s">
        <v>92</v>
      </c>
      <c r="I47" s="308" t="s">
        <v>93</v>
      </c>
      <c r="J47" s="60" t="s">
        <v>94</v>
      </c>
      <c r="K47" s="421" t="s">
        <v>95</v>
      </c>
      <c r="L47" s="424"/>
      <c r="M47" s="44" t="s">
        <v>85</v>
      </c>
    </row>
    <row r="48" spans="1:13">
      <c r="A48" s="425"/>
      <c r="B48" s="426"/>
      <c r="C48" s="426"/>
      <c r="D48" s="426"/>
      <c r="E48" s="426"/>
      <c r="F48" s="426"/>
      <c r="G48" s="426"/>
      <c r="H48" s="61"/>
      <c r="I48" s="55"/>
      <c r="J48" s="61"/>
      <c r="K48" s="428"/>
      <c r="L48" s="429"/>
    </row>
    <row r="49" spans="1:13" ht="15.75" thickBot="1">
      <c r="A49" s="410"/>
      <c r="B49" s="411"/>
      <c r="C49" s="411"/>
      <c r="D49" s="411"/>
      <c r="E49" s="411"/>
      <c r="F49" s="411"/>
      <c r="G49" s="411"/>
      <c r="H49" s="47"/>
      <c r="I49" s="15"/>
      <c r="J49" s="47"/>
      <c r="K49" s="414"/>
      <c r="L49" s="415"/>
      <c r="M49" s="62"/>
    </row>
    <row r="50" spans="1:13" ht="15.75" thickBot="1">
      <c r="A50" s="416" t="s">
        <v>87</v>
      </c>
      <c r="B50" s="417"/>
      <c r="C50" s="417"/>
      <c r="D50" s="417"/>
      <c r="E50" s="417"/>
      <c r="F50" s="417"/>
      <c r="G50" s="417"/>
      <c r="H50" s="417"/>
      <c r="I50" s="417"/>
      <c r="J50" s="417"/>
      <c r="K50" s="417"/>
      <c r="L50" s="418"/>
      <c r="M50" s="63">
        <f>SUM(M49:M49)</f>
        <v>0</v>
      </c>
    </row>
    <row r="51" spans="1:13">
      <c r="A51" s="30"/>
      <c r="B51" s="19"/>
      <c r="C51" s="19"/>
      <c r="D51" s="19"/>
      <c r="E51" s="19"/>
      <c r="F51" s="19"/>
      <c r="G51" s="19"/>
      <c r="H51" s="19"/>
      <c r="I51" s="19"/>
      <c r="J51" s="19"/>
      <c r="K51" s="19"/>
      <c r="L51" s="19"/>
      <c r="M51" s="24"/>
    </row>
    <row r="52" spans="1:13">
      <c r="A52" s="51" t="s">
        <v>96</v>
      </c>
      <c r="B52" s="52"/>
      <c r="C52" s="52"/>
      <c r="D52" s="52"/>
      <c r="E52" s="52"/>
      <c r="F52" s="52"/>
      <c r="G52" s="52"/>
      <c r="H52" s="52"/>
      <c r="I52" s="52"/>
      <c r="J52" s="52"/>
      <c r="K52" s="52"/>
      <c r="L52" s="52"/>
      <c r="M52" s="53"/>
    </row>
    <row r="53" spans="1:13" ht="15.75" thickBot="1">
      <c r="A53" s="30"/>
      <c r="B53" s="19"/>
      <c r="C53" s="19"/>
      <c r="D53" s="19"/>
      <c r="E53" s="19"/>
      <c r="F53" s="19"/>
      <c r="G53" s="19"/>
      <c r="H53" s="19"/>
      <c r="I53" s="19"/>
      <c r="J53" s="19"/>
      <c r="K53" s="19"/>
      <c r="L53" s="19"/>
      <c r="M53" s="24"/>
    </row>
    <row r="54" spans="1:13" ht="26.25">
      <c r="A54" s="453" t="s">
        <v>97</v>
      </c>
      <c r="B54" s="454"/>
      <c r="C54" s="454"/>
      <c r="D54" s="454"/>
      <c r="E54" s="454"/>
      <c r="F54" s="454"/>
      <c r="G54" s="454"/>
      <c r="H54" s="311" t="s">
        <v>98</v>
      </c>
      <c r="I54" s="312" t="s">
        <v>99</v>
      </c>
      <c r="J54" s="312" t="s">
        <v>100</v>
      </c>
      <c r="K54" s="455" t="s">
        <v>84</v>
      </c>
      <c r="L54" s="455"/>
      <c r="M54" s="65" t="s">
        <v>85</v>
      </c>
    </row>
    <row r="55" spans="1:13">
      <c r="A55" s="425" t="s">
        <v>126</v>
      </c>
      <c r="B55" s="426"/>
      <c r="C55" s="426"/>
      <c r="D55" s="426"/>
      <c r="E55" s="426"/>
      <c r="F55" s="426"/>
      <c r="G55" s="427"/>
      <c r="H55" s="1">
        <v>112923.49999999999</v>
      </c>
      <c r="I55" s="2">
        <v>2.2000000000000002</v>
      </c>
      <c r="J55" s="66">
        <f>(I55*H55)</f>
        <v>248431.69999999998</v>
      </c>
      <c r="K55" s="483">
        <v>10</v>
      </c>
      <c r="L55" s="483"/>
      <c r="M55" s="56">
        <f>J55/K55</f>
        <v>24843.17</v>
      </c>
    </row>
    <row r="56" spans="1:13">
      <c r="A56" s="471"/>
      <c r="B56" s="472"/>
      <c r="C56" s="472"/>
      <c r="D56" s="472"/>
      <c r="E56" s="472"/>
      <c r="F56" s="472"/>
      <c r="G56" s="472"/>
      <c r="H56" s="1"/>
      <c r="I56" s="2"/>
      <c r="J56" s="66"/>
      <c r="K56" s="473"/>
      <c r="L56" s="473"/>
      <c r="M56" s="56"/>
    </row>
    <row r="57" spans="1:13" ht="15.75" thickBot="1">
      <c r="A57" s="432"/>
      <c r="B57" s="433"/>
      <c r="C57" s="433"/>
      <c r="D57" s="433"/>
      <c r="E57" s="433"/>
      <c r="F57" s="433"/>
      <c r="G57" s="433"/>
      <c r="H57" s="3"/>
      <c r="I57" s="4"/>
      <c r="J57" s="67"/>
      <c r="K57" s="434"/>
      <c r="L57" s="434"/>
      <c r="M57" s="68"/>
    </row>
    <row r="58" spans="1:13" ht="15.75" thickBot="1">
      <c r="A58" s="435" t="s">
        <v>87</v>
      </c>
      <c r="B58" s="436"/>
      <c r="C58" s="436"/>
      <c r="D58" s="436"/>
      <c r="E58" s="436"/>
      <c r="F58" s="436"/>
      <c r="G58" s="436"/>
      <c r="H58" s="436"/>
      <c r="I58" s="436"/>
      <c r="J58" s="436"/>
      <c r="K58" s="436"/>
      <c r="L58" s="437"/>
      <c r="M58" s="69">
        <f>SUM(M55:M57)</f>
        <v>24843.17</v>
      </c>
    </row>
    <row r="59" spans="1:13" ht="15.75" thickBot="1">
      <c r="A59" s="30"/>
      <c r="B59" s="19"/>
      <c r="C59" s="19"/>
      <c r="D59" s="19"/>
      <c r="E59" s="19"/>
      <c r="F59" s="19"/>
      <c r="G59" s="19"/>
      <c r="H59" s="19"/>
      <c r="I59" s="19"/>
      <c r="J59" s="19"/>
      <c r="K59" s="19"/>
      <c r="L59" s="19"/>
      <c r="M59" s="24"/>
    </row>
    <row r="60" spans="1:13" ht="15.75" thickBot="1">
      <c r="A60" s="416" t="s">
        <v>101</v>
      </c>
      <c r="B60" s="417"/>
      <c r="C60" s="417"/>
      <c r="D60" s="417"/>
      <c r="E60" s="417"/>
      <c r="F60" s="417"/>
      <c r="G60" s="417"/>
      <c r="H60" s="417"/>
      <c r="I60" s="417"/>
      <c r="J60" s="417"/>
      <c r="K60" s="417"/>
      <c r="L60" s="418"/>
      <c r="M60" s="70">
        <f>ROUND(M58+M50+M43+M34,0)</f>
        <v>86553</v>
      </c>
    </row>
    <row r="61" spans="1:13">
      <c r="A61" s="30"/>
      <c r="B61" s="19"/>
      <c r="C61" s="19"/>
      <c r="D61" s="19"/>
      <c r="E61" s="19"/>
      <c r="F61" s="19"/>
      <c r="G61" s="19"/>
      <c r="H61" s="19"/>
      <c r="I61" s="19"/>
      <c r="J61" s="19"/>
      <c r="K61" s="19"/>
      <c r="L61" s="19"/>
      <c r="M61" s="24"/>
    </row>
    <row r="62" spans="1:13">
      <c r="A62" s="51" t="s">
        <v>102</v>
      </c>
      <c r="B62" s="52"/>
      <c r="C62" s="52"/>
      <c r="D62" s="52"/>
      <c r="E62" s="52"/>
      <c r="F62" s="52"/>
      <c r="G62" s="52"/>
      <c r="H62" s="52"/>
      <c r="I62" s="52"/>
      <c r="J62" s="52"/>
      <c r="K62" s="52"/>
      <c r="L62" s="52"/>
      <c r="M62" s="53"/>
    </row>
    <row r="63" spans="1:13" ht="15.75" thickBot="1">
      <c r="A63" s="30"/>
      <c r="B63" s="19"/>
      <c r="C63" s="19"/>
      <c r="D63" s="19"/>
      <c r="E63" s="19"/>
      <c r="F63" s="19"/>
      <c r="G63" s="19"/>
      <c r="H63" s="19"/>
      <c r="I63" s="19"/>
      <c r="J63" s="19"/>
      <c r="K63" s="19"/>
      <c r="L63" s="19"/>
      <c r="M63" s="24"/>
    </row>
    <row r="64" spans="1:13" ht="15.75" thickBot="1">
      <c r="A64" s="438" t="s">
        <v>103</v>
      </c>
      <c r="B64" s="439"/>
      <c r="C64" s="439"/>
      <c r="D64" s="439"/>
      <c r="E64" s="439"/>
      <c r="F64" s="439"/>
      <c r="G64" s="439"/>
      <c r="H64" s="309"/>
      <c r="I64" s="310"/>
      <c r="J64" s="81" t="s">
        <v>104</v>
      </c>
      <c r="K64" s="440" t="s">
        <v>105</v>
      </c>
      <c r="L64" s="441"/>
      <c r="M64" s="82"/>
    </row>
    <row r="65" spans="1:13">
      <c r="A65" s="442" t="s">
        <v>106</v>
      </c>
      <c r="B65" s="443"/>
      <c r="C65" s="443"/>
      <c r="D65" s="443"/>
      <c r="E65" s="443"/>
      <c r="F65" s="443"/>
      <c r="G65" s="443"/>
      <c r="H65" s="83"/>
      <c r="I65" s="84"/>
      <c r="J65" s="85">
        <v>0.19</v>
      </c>
      <c r="K65" s="444">
        <f>M60*J65</f>
        <v>16445.07</v>
      </c>
      <c r="L65" s="444"/>
      <c r="M65" s="86"/>
    </row>
    <row r="66" spans="1:13">
      <c r="A66" s="447" t="s">
        <v>107</v>
      </c>
      <c r="B66" s="448"/>
      <c r="C66" s="448"/>
      <c r="D66" s="448"/>
      <c r="E66" s="448"/>
      <c r="F66" s="448"/>
      <c r="G66" s="449"/>
      <c r="H66" s="77"/>
      <c r="I66" s="78"/>
      <c r="J66" s="5">
        <v>0.01</v>
      </c>
      <c r="K66" s="445">
        <f>M60*J66</f>
        <v>865.53</v>
      </c>
      <c r="L66" s="445"/>
      <c r="M66" s="6"/>
    </row>
    <row r="67" spans="1:13">
      <c r="A67" s="447" t="s">
        <v>108</v>
      </c>
      <c r="B67" s="448"/>
      <c r="C67" s="448"/>
      <c r="D67" s="448"/>
      <c r="E67" s="448"/>
      <c r="F67" s="448"/>
      <c r="G67" s="449"/>
      <c r="H67" s="77"/>
      <c r="I67" s="78"/>
      <c r="J67" s="5">
        <v>0.05</v>
      </c>
      <c r="K67" s="445">
        <f>M60*J67</f>
        <v>4327.6500000000005</v>
      </c>
      <c r="L67" s="445"/>
      <c r="M67" s="6"/>
    </row>
    <row r="68" spans="1:13" ht="15.75" thickBot="1">
      <c r="A68" s="450" t="s">
        <v>117</v>
      </c>
      <c r="B68" s="451"/>
      <c r="C68" s="451"/>
      <c r="D68" s="451"/>
      <c r="E68" s="451"/>
      <c r="F68" s="451"/>
      <c r="G68" s="452"/>
      <c r="H68" s="87"/>
      <c r="I68" s="88"/>
      <c r="J68" s="89">
        <v>0.19</v>
      </c>
      <c r="K68" s="446">
        <f>K67*J68</f>
        <v>822.25350000000014</v>
      </c>
      <c r="L68" s="446"/>
      <c r="M68" s="90"/>
    </row>
    <row r="69" spans="1:13" ht="15.75" thickBot="1">
      <c r="A69" s="435" t="s">
        <v>87</v>
      </c>
      <c r="B69" s="436"/>
      <c r="C69" s="436"/>
      <c r="D69" s="436"/>
      <c r="E69" s="436"/>
      <c r="F69" s="436"/>
      <c r="G69" s="436"/>
      <c r="H69" s="436"/>
      <c r="I69" s="436"/>
      <c r="J69" s="436"/>
      <c r="K69" s="436"/>
      <c r="L69" s="437"/>
      <c r="M69" s="76">
        <f>SUM(K65:L68)</f>
        <v>22460.503499999999</v>
      </c>
    </row>
    <row r="70" spans="1:13" ht="15.75" thickBot="1">
      <c r="A70" s="30"/>
      <c r="B70" s="19"/>
      <c r="C70" s="19"/>
      <c r="D70" s="19"/>
      <c r="E70" s="19"/>
      <c r="F70" s="19"/>
      <c r="G70" s="19"/>
      <c r="H70" s="19"/>
      <c r="I70" s="19"/>
      <c r="J70" s="19"/>
      <c r="K70" s="19"/>
      <c r="L70" s="19"/>
      <c r="M70" s="24"/>
    </row>
    <row r="71" spans="1:13" ht="15.75" thickBot="1">
      <c r="A71" s="416" t="s">
        <v>109</v>
      </c>
      <c r="B71" s="417"/>
      <c r="C71" s="417"/>
      <c r="D71" s="417"/>
      <c r="E71" s="417"/>
      <c r="F71" s="417"/>
      <c r="G71" s="417"/>
      <c r="H71" s="417"/>
      <c r="I71" s="417"/>
      <c r="J71" s="417"/>
      <c r="K71" s="417"/>
      <c r="L71" s="418"/>
      <c r="M71" s="71">
        <f>ROUND(M60+M69,0)</f>
        <v>109014</v>
      </c>
    </row>
  </sheetData>
  <mergeCells count="7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G56"/>
    <mergeCell ref="K56:L56"/>
    <mergeCell ref="A57:G57"/>
    <mergeCell ref="K57:L57"/>
    <mergeCell ref="A58:L58"/>
    <mergeCell ref="A60:L60"/>
    <mergeCell ref="A64:G64"/>
    <mergeCell ref="K64:L64"/>
    <mergeCell ref="A65:G65"/>
    <mergeCell ref="K65:L65"/>
    <mergeCell ref="A69:L69"/>
    <mergeCell ref="A71:L71"/>
    <mergeCell ref="A66:G66"/>
    <mergeCell ref="K66:L66"/>
    <mergeCell ref="A67:G67"/>
    <mergeCell ref="K67:L67"/>
    <mergeCell ref="A68:G68"/>
    <mergeCell ref="K68:L68"/>
  </mergeCells>
  <pageMargins left="0.7" right="0.7" top="0.75" bottom="0.75" header="0.3" footer="0.3"/>
  <pageSetup scale="56"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view="pageBreakPreview" topLeftCell="A43" zoomScale="80" zoomScaleNormal="100" zoomScaleSheetLayoutView="80" workbookViewId="0">
      <selection activeCell="M60" sqref="M60"/>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313"/>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314" t="s">
        <v>71</v>
      </c>
      <c r="H12" s="394"/>
      <c r="I12" s="394"/>
      <c r="J12" s="23"/>
      <c r="K12" s="23"/>
      <c r="L12" s="23"/>
      <c r="M12" s="24"/>
    </row>
    <row r="13" spans="1:13">
      <c r="A13" s="25" t="s">
        <v>72</v>
      </c>
      <c r="B13" s="26"/>
      <c r="C13" s="555"/>
      <c r="D13" s="556"/>
      <c r="E13" s="556"/>
      <c r="F13" s="556"/>
      <c r="G13" s="556"/>
      <c r="H13" s="556"/>
      <c r="I13" s="556"/>
      <c r="J13" s="556"/>
      <c r="K13" s="556"/>
      <c r="L13" s="556"/>
      <c r="M13" s="557"/>
    </row>
    <row r="14" spans="1:13">
      <c r="A14" s="25"/>
      <c r="B14" s="26"/>
      <c r="C14" s="394"/>
      <c r="D14" s="394"/>
      <c r="E14" s="394"/>
      <c r="F14" s="394"/>
      <c r="G14" s="394"/>
      <c r="H14" s="394"/>
      <c r="I14" s="394"/>
      <c r="J14" s="394"/>
      <c r="K14" s="394"/>
      <c r="L14" s="394"/>
      <c r="M14" s="558"/>
    </row>
    <row r="15" spans="1:13">
      <c r="A15" s="25"/>
      <c r="B15" s="26"/>
      <c r="C15" s="316"/>
      <c r="D15" s="316"/>
      <c r="E15" s="316"/>
      <c r="F15" s="316"/>
      <c r="G15" s="316"/>
      <c r="H15" s="316"/>
      <c r="I15" s="316"/>
      <c r="J15" s="316"/>
      <c r="K15" s="316"/>
      <c r="L15" s="316"/>
      <c r="M15" s="317"/>
    </row>
    <row r="16" spans="1:13">
      <c r="A16" s="25" t="s">
        <v>73</v>
      </c>
      <c r="B16" s="26"/>
      <c r="C16" s="379"/>
      <c r="D16" s="379"/>
      <c r="E16" s="379"/>
      <c r="F16" s="379"/>
      <c r="G16" s="379"/>
      <c r="H16" s="379"/>
      <c r="I16" s="379"/>
      <c r="J16" s="379"/>
      <c r="K16" s="379"/>
      <c r="L16" s="379"/>
      <c r="M16" s="380"/>
    </row>
    <row r="17" spans="1:19">
      <c r="A17" s="25"/>
      <c r="B17" s="26"/>
      <c r="C17" s="314"/>
      <c r="D17" s="314"/>
      <c r="E17" s="314"/>
      <c r="F17" s="314"/>
      <c r="G17" s="314"/>
      <c r="H17" s="314"/>
      <c r="I17" s="314"/>
      <c r="J17" s="314"/>
      <c r="K17" s="314"/>
      <c r="L17" s="314"/>
      <c r="M17" s="13"/>
    </row>
    <row r="18" spans="1:19">
      <c r="A18" s="25" t="s">
        <v>74</v>
      </c>
      <c r="B18" s="26"/>
      <c r="C18" s="379"/>
      <c r="D18" s="379"/>
      <c r="E18" s="379"/>
      <c r="F18" s="379"/>
      <c r="G18" s="379"/>
      <c r="H18" s="379"/>
      <c r="I18" s="379"/>
      <c r="J18" s="379"/>
      <c r="K18" s="379"/>
      <c r="L18" s="379"/>
      <c r="M18" s="380"/>
    </row>
    <row r="19" spans="1:19">
      <c r="A19" s="25"/>
      <c r="B19" s="26"/>
      <c r="C19" s="314"/>
      <c r="D19" s="314"/>
      <c r="E19" s="314"/>
      <c r="F19" s="314"/>
      <c r="G19" s="314"/>
      <c r="H19" s="314"/>
      <c r="I19" s="314"/>
      <c r="J19" s="314"/>
      <c r="K19" s="314"/>
      <c r="L19" s="314"/>
      <c r="M19" s="13"/>
    </row>
    <row r="20" spans="1:19" ht="31.5" customHeight="1">
      <c r="A20" s="464" t="s">
        <v>113</v>
      </c>
      <c r="B20" s="465"/>
      <c r="C20" s="379"/>
      <c r="D20" s="379"/>
      <c r="E20" s="379"/>
      <c r="F20" s="379"/>
      <c r="G20" s="379"/>
      <c r="H20" s="379"/>
      <c r="I20" s="379"/>
      <c r="J20" s="379"/>
      <c r="K20" s="379"/>
      <c r="L20" s="379"/>
      <c r="M20" s="380"/>
    </row>
    <row r="21" spans="1:19">
      <c r="A21" s="400"/>
      <c r="B21" s="401"/>
      <c r="C21" s="314"/>
      <c r="D21" s="314"/>
      <c r="E21" s="314"/>
      <c r="F21" s="314"/>
      <c r="G21" s="314"/>
      <c r="H21" s="314"/>
      <c r="I21" s="314"/>
      <c r="J21" s="314"/>
      <c r="K21" s="314"/>
      <c r="L21" s="31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306" t="s">
        <v>78</v>
      </c>
      <c r="K25" s="408" t="s">
        <v>79</v>
      </c>
      <c r="L25" s="409"/>
      <c r="M25" s="31" t="s">
        <v>80</v>
      </c>
    </row>
    <row r="26" spans="1:19" ht="48.75" customHeight="1" thickBot="1">
      <c r="A26" s="33"/>
      <c r="B26" s="509" t="s">
        <v>383</v>
      </c>
      <c r="C26" s="510"/>
      <c r="D26" s="510"/>
      <c r="E26" s="510"/>
      <c r="F26" s="510"/>
      <c r="G26" s="510"/>
      <c r="H26" s="510"/>
      <c r="I26" s="511"/>
      <c r="J26" s="305">
        <v>1</v>
      </c>
      <c r="K26" s="391" t="s">
        <v>9</v>
      </c>
      <c r="L26" s="393"/>
      <c r="M26" s="35"/>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311" t="s">
        <v>83</v>
      </c>
      <c r="K30" s="421" t="s">
        <v>84</v>
      </c>
      <c r="L30" s="424"/>
      <c r="M30" s="44" t="s">
        <v>85</v>
      </c>
    </row>
    <row r="31" spans="1:19" ht="15.75" thickBot="1">
      <c r="A31" s="425"/>
      <c r="B31" s="426"/>
      <c r="C31" s="426"/>
      <c r="D31" s="426"/>
      <c r="E31" s="427"/>
      <c r="F31" s="428"/>
      <c r="G31" s="429"/>
      <c r="H31" s="430"/>
      <c r="I31" s="427"/>
      <c r="J31" s="72"/>
      <c r="K31" s="428"/>
      <c r="L31" s="429"/>
      <c r="M31" s="231">
        <f>K31*J31</f>
        <v>0</v>
      </c>
      <c r="N31" s="489"/>
      <c r="O31" s="490"/>
      <c r="P31" s="95"/>
      <c r="Q31" s="96"/>
      <c r="R31" s="97"/>
      <c r="S31" s="98"/>
    </row>
    <row r="32" spans="1:19">
      <c r="A32" s="425"/>
      <c r="B32" s="426"/>
      <c r="C32" s="426"/>
      <c r="D32" s="426"/>
      <c r="E32" s="427"/>
      <c r="F32" s="428"/>
      <c r="G32" s="429"/>
      <c r="H32" s="430"/>
      <c r="I32" s="427"/>
      <c r="J32" s="72"/>
      <c r="K32" s="428"/>
      <c r="L32" s="429"/>
      <c r="M32" s="46"/>
    </row>
    <row r="33" spans="1:13" ht="15.75" thickBot="1">
      <c r="A33" s="410"/>
      <c r="B33" s="411"/>
      <c r="C33" s="411"/>
      <c r="D33" s="411"/>
      <c r="E33" s="412"/>
      <c r="F33" s="414"/>
      <c r="G33" s="415"/>
      <c r="H33" s="413"/>
      <c r="I33" s="412"/>
      <c r="J33" s="91"/>
      <c r="K33" s="414"/>
      <c r="L33" s="415"/>
      <c r="M33" s="46"/>
    </row>
    <row r="34" spans="1:13" ht="15.75" thickBot="1">
      <c r="A34" s="416" t="s">
        <v>87</v>
      </c>
      <c r="B34" s="417"/>
      <c r="C34" s="417"/>
      <c r="D34" s="417"/>
      <c r="E34" s="417"/>
      <c r="F34" s="417"/>
      <c r="G34" s="417"/>
      <c r="H34" s="417"/>
      <c r="I34" s="417"/>
      <c r="J34" s="417"/>
      <c r="K34" s="417"/>
      <c r="L34" s="418"/>
      <c r="M34" s="232">
        <f>SUM(M31:M33)</f>
        <v>0</v>
      </c>
    </row>
    <row r="35" spans="1:13">
      <c r="A35" s="50"/>
      <c r="B35" s="19"/>
      <c r="C35" s="19"/>
      <c r="D35" s="19"/>
      <c r="E35" s="19"/>
      <c r="F35" s="19"/>
      <c r="G35" s="19"/>
      <c r="H35" s="19"/>
      <c r="I35" s="19"/>
      <c r="J35" s="19"/>
      <c r="K35" s="19"/>
      <c r="L35" s="19"/>
      <c r="M35" s="24"/>
    </row>
    <row r="36" spans="1:13">
      <c r="A36" s="51" t="s">
        <v>88</v>
      </c>
      <c r="B36" s="52"/>
      <c r="C36" s="52"/>
      <c r="D36" s="52"/>
      <c r="E36" s="52"/>
      <c r="F36" s="52"/>
      <c r="G36" s="52"/>
      <c r="H36" s="52"/>
      <c r="I36" s="52"/>
      <c r="J36" s="52"/>
      <c r="K36" s="52"/>
      <c r="L36" s="52"/>
      <c r="M36" s="53"/>
    </row>
    <row r="37" spans="1:13" ht="15.75" thickBot="1">
      <c r="A37" s="14"/>
      <c r="B37" s="15"/>
      <c r="C37" s="15"/>
      <c r="D37" s="15"/>
      <c r="E37" s="15"/>
      <c r="F37" s="15"/>
      <c r="G37" s="15"/>
      <c r="H37" s="15"/>
      <c r="I37" s="19"/>
      <c r="J37" s="19"/>
      <c r="K37" s="19"/>
      <c r="L37" s="19"/>
      <c r="M37" s="24"/>
    </row>
    <row r="38" spans="1:13">
      <c r="A38" s="408" t="s">
        <v>77</v>
      </c>
      <c r="B38" s="431"/>
      <c r="C38" s="431"/>
      <c r="D38" s="431"/>
      <c r="E38" s="431"/>
      <c r="F38" s="431"/>
      <c r="G38" s="431"/>
      <c r="H38" s="424"/>
      <c r="I38" s="307" t="s">
        <v>79</v>
      </c>
      <c r="J38" s="311" t="s">
        <v>80</v>
      </c>
      <c r="K38" s="421" t="s">
        <v>89</v>
      </c>
      <c r="L38" s="424"/>
      <c r="M38" s="44" t="s">
        <v>85</v>
      </c>
    </row>
    <row r="39" spans="1:13" ht="36.75" customHeight="1">
      <c r="A39" s="516" t="s">
        <v>383</v>
      </c>
      <c r="B39" s="559"/>
      <c r="C39" s="559"/>
      <c r="D39" s="559"/>
      <c r="E39" s="559"/>
      <c r="F39" s="559"/>
      <c r="G39" s="559"/>
      <c r="H39" s="560"/>
      <c r="I39" s="73" t="s">
        <v>9</v>
      </c>
      <c r="J39" s="315">
        <v>1</v>
      </c>
      <c r="K39" s="456">
        <v>21831</v>
      </c>
      <c r="L39" s="457"/>
      <c r="M39" s="56">
        <f t="shared" ref="M39:M42" si="0">K39*J39</f>
        <v>21831</v>
      </c>
    </row>
    <row r="40" spans="1:13">
      <c r="A40" s="425"/>
      <c r="B40" s="426"/>
      <c r="C40" s="426"/>
      <c r="D40" s="426"/>
      <c r="E40" s="426"/>
      <c r="F40" s="426"/>
      <c r="G40" s="426"/>
      <c r="H40" s="427"/>
      <c r="I40" s="73"/>
      <c r="J40" s="315"/>
      <c r="K40" s="456">
        <v>0</v>
      </c>
      <c r="L40" s="457"/>
      <c r="M40" s="56">
        <f t="shared" si="0"/>
        <v>0</v>
      </c>
    </row>
    <row r="41" spans="1:13">
      <c r="A41" s="425"/>
      <c r="B41" s="426"/>
      <c r="C41" s="426"/>
      <c r="D41" s="426"/>
      <c r="E41" s="426"/>
      <c r="F41" s="426"/>
      <c r="G41" s="426"/>
      <c r="H41" s="427"/>
      <c r="I41" s="73"/>
      <c r="J41" s="315"/>
      <c r="K41" s="456">
        <v>0</v>
      </c>
      <c r="L41" s="457"/>
      <c r="M41" s="56">
        <f t="shared" si="0"/>
        <v>0</v>
      </c>
    </row>
    <row r="42" spans="1:13" ht="15.75" thickBot="1">
      <c r="A42" s="410"/>
      <c r="B42" s="411"/>
      <c r="C42" s="411"/>
      <c r="D42" s="411"/>
      <c r="E42" s="411"/>
      <c r="F42" s="411"/>
      <c r="G42" s="411"/>
      <c r="H42" s="412"/>
      <c r="I42" s="74"/>
      <c r="J42" s="211"/>
      <c r="K42" s="466">
        <v>0</v>
      </c>
      <c r="L42" s="467"/>
      <c r="M42" s="56">
        <f t="shared" si="0"/>
        <v>0</v>
      </c>
    </row>
    <row r="43" spans="1:13" ht="15.75" thickBot="1">
      <c r="A43" s="416" t="s">
        <v>87</v>
      </c>
      <c r="B43" s="417"/>
      <c r="C43" s="417"/>
      <c r="D43" s="417"/>
      <c r="E43" s="417"/>
      <c r="F43" s="417"/>
      <c r="G43" s="417"/>
      <c r="H43" s="417"/>
      <c r="I43" s="417"/>
      <c r="J43" s="417"/>
      <c r="K43" s="417"/>
      <c r="L43" s="418"/>
      <c r="M43" s="58">
        <f>SUM(M39:M42)</f>
        <v>21831</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311" t="s">
        <v>92</v>
      </c>
      <c r="I47" s="308" t="s">
        <v>93</v>
      </c>
      <c r="J47" s="60" t="s">
        <v>94</v>
      </c>
      <c r="K47" s="421" t="s">
        <v>95</v>
      </c>
      <c r="L47" s="424"/>
      <c r="M47" s="44" t="s">
        <v>85</v>
      </c>
    </row>
    <row r="48" spans="1:13">
      <c r="A48" s="425"/>
      <c r="B48" s="426"/>
      <c r="C48" s="426"/>
      <c r="D48" s="426"/>
      <c r="E48" s="426"/>
      <c r="F48" s="426"/>
      <c r="G48" s="426"/>
      <c r="H48" s="61"/>
      <c r="I48" s="55"/>
      <c r="J48" s="61"/>
      <c r="K48" s="428"/>
      <c r="L48" s="429"/>
    </row>
    <row r="49" spans="1:13" ht="15.75" thickBot="1">
      <c r="A49" s="410"/>
      <c r="B49" s="411"/>
      <c r="C49" s="411"/>
      <c r="D49" s="411"/>
      <c r="E49" s="411"/>
      <c r="F49" s="411"/>
      <c r="G49" s="411"/>
      <c r="H49" s="47"/>
      <c r="I49" s="15"/>
      <c r="J49" s="47"/>
      <c r="K49" s="414"/>
      <c r="L49" s="415"/>
      <c r="M49" s="62"/>
    </row>
    <row r="50" spans="1:13" ht="15.75" thickBot="1">
      <c r="A50" s="416" t="s">
        <v>87</v>
      </c>
      <c r="B50" s="417"/>
      <c r="C50" s="417"/>
      <c r="D50" s="417"/>
      <c r="E50" s="417"/>
      <c r="F50" s="417"/>
      <c r="G50" s="417"/>
      <c r="H50" s="417"/>
      <c r="I50" s="417"/>
      <c r="J50" s="417"/>
      <c r="K50" s="417"/>
      <c r="L50" s="418"/>
      <c r="M50" s="63">
        <f>SUM(M49:M49)</f>
        <v>0</v>
      </c>
    </row>
    <row r="51" spans="1:13">
      <c r="A51" s="30"/>
      <c r="B51" s="19"/>
      <c r="C51" s="19"/>
      <c r="D51" s="19"/>
      <c r="E51" s="19"/>
      <c r="F51" s="19"/>
      <c r="G51" s="19"/>
      <c r="H51" s="19"/>
      <c r="I51" s="19"/>
      <c r="J51" s="19"/>
      <c r="K51" s="19"/>
      <c r="L51" s="19"/>
      <c r="M51" s="24"/>
    </row>
    <row r="52" spans="1:13">
      <c r="A52" s="51" t="s">
        <v>96</v>
      </c>
      <c r="B52" s="52"/>
      <c r="C52" s="52"/>
      <c r="D52" s="52"/>
      <c r="E52" s="52"/>
      <c r="F52" s="52"/>
      <c r="G52" s="52"/>
      <c r="H52" s="52"/>
      <c r="I52" s="52"/>
      <c r="J52" s="52"/>
      <c r="K52" s="52"/>
      <c r="L52" s="52"/>
      <c r="M52" s="53"/>
    </row>
    <row r="53" spans="1:13" ht="15.75" thickBot="1">
      <c r="A53" s="30"/>
      <c r="B53" s="19"/>
      <c r="C53" s="19"/>
      <c r="D53" s="19"/>
      <c r="E53" s="19"/>
      <c r="F53" s="19"/>
      <c r="G53" s="19"/>
      <c r="H53" s="19"/>
      <c r="I53" s="19"/>
      <c r="J53" s="19"/>
      <c r="K53" s="19"/>
      <c r="L53" s="19"/>
      <c r="M53" s="24"/>
    </row>
    <row r="54" spans="1:13" ht="26.25">
      <c r="A54" s="453" t="s">
        <v>97</v>
      </c>
      <c r="B54" s="454"/>
      <c r="C54" s="454"/>
      <c r="D54" s="454"/>
      <c r="E54" s="454"/>
      <c r="F54" s="454"/>
      <c r="G54" s="454"/>
      <c r="H54" s="311" t="s">
        <v>98</v>
      </c>
      <c r="I54" s="312" t="s">
        <v>99</v>
      </c>
      <c r="J54" s="312" t="s">
        <v>100</v>
      </c>
      <c r="K54" s="455" t="s">
        <v>84</v>
      </c>
      <c r="L54" s="455"/>
      <c r="M54" s="65" t="s">
        <v>85</v>
      </c>
    </row>
    <row r="55" spans="1:13">
      <c r="A55" s="425" t="s">
        <v>126</v>
      </c>
      <c r="B55" s="426"/>
      <c r="C55" s="426"/>
      <c r="D55" s="426"/>
      <c r="E55" s="426"/>
      <c r="F55" s="426"/>
      <c r="G55" s="427"/>
      <c r="H55" s="1">
        <v>112923.49999999999</v>
      </c>
      <c r="I55" s="2">
        <v>2.2000000000000002</v>
      </c>
      <c r="J55" s="66">
        <f>(I55*H55)</f>
        <v>248431.69999999998</v>
      </c>
      <c r="K55" s="483">
        <v>11</v>
      </c>
      <c r="L55" s="483"/>
      <c r="M55" s="56">
        <f>J55/K55</f>
        <v>22584.699999999997</v>
      </c>
    </row>
    <row r="56" spans="1:13">
      <c r="A56" s="471"/>
      <c r="B56" s="472"/>
      <c r="C56" s="472"/>
      <c r="D56" s="472"/>
      <c r="E56" s="472"/>
      <c r="F56" s="472"/>
      <c r="G56" s="472"/>
      <c r="H56" s="1"/>
      <c r="I56" s="2"/>
      <c r="J56" s="66"/>
      <c r="K56" s="473"/>
      <c r="L56" s="473"/>
      <c r="M56" s="56"/>
    </row>
    <row r="57" spans="1:13" ht="15.75" thickBot="1">
      <c r="A57" s="432"/>
      <c r="B57" s="433"/>
      <c r="C57" s="433"/>
      <c r="D57" s="433"/>
      <c r="E57" s="433"/>
      <c r="F57" s="433"/>
      <c r="G57" s="433"/>
      <c r="H57" s="3"/>
      <c r="I57" s="4"/>
      <c r="J57" s="67"/>
      <c r="K57" s="434"/>
      <c r="L57" s="434"/>
      <c r="M57" s="68"/>
    </row>
    <row r="58" spans="1:13" ht="15.75" thickBot="1">
      <c r="A58" s="435" t="s">
        <v>87</v>
      </c>
      <c r="B58" s="436"/>
      <c r="C58" s="436"/>
      <c r="D58" s="436"/>
      <c r="E58" s="436"/>
      <c r="F58" s="436"/>
      <c r="G58" s="436"/>
      <c r="H58" s="436"/>
      <c r="I58" s="436"/>
      <c r="J58" s="436"/>
      <c r="K58" s="436"/>
      <c r="L58" s="437"/>
      <c r="M58" s="69">
        <f>SUM(M55:M57)</f>
        <v>22584.699999999997</v>
      </c>
    </row>
    <row r="59" spans="1:13" ht="15.75" thickBot="1">
      <c r="A59" s="30"/>
      <c r="B59" s="19"/>
      <c r="C59" s="19"/>
      <c r="D59" s="19"/>
      <c r="E59" s="19"/>
      <c r="F59" s="19"/>
      <c r="G59" s="19"/>
      <c r="H59" s="19"/>
      <c r="I59" s="19"/>
      <c r="J59" s="19"/>
      <c r="K59" s="19"/>
      <c r="L59" s="19"/>
      <c r="M59" s="24"/>
    </row>
    <row r="60" spans="1:13" ht="15.75" thickBot="1">
      <c r="A60" s="416" t="s">
        <v>101</v>
      </c>
      <c r="B60" s="417"/>
      <c r="C60" s="417"/>
      <c r="D60" s="417"/>
      <c r="E60" s="417"/>
      <c r="F60" s="417"/>
      <c r="G60" s="417"/>
      <c r="H60" s="417"/>
      <c r="I60" s="417"/>
      <c r="J60" s="417"/>
      <c r="K60" s="417"/>
      <c r="L60" s="418"/>
      <c r="M60" s="70">
        <f>ROUND(M58+M50+M43+M34,0)</f>
        <v>44416</v>
      </c>
    </row>
    <row r="61" spans="1:13">
      <c r="A61" s="30"/>
      <c r="B61" s="19"/>
      <c r="C61" s="19"/>
      <c r="D61" s="19"/>
      <c r="E61" s="19"/>
      <c r="F61" s="19"/>
      <c r="G61" s="19"/>
      <c r="H61" s="19"/>
      <c r="I61" s="19"/>
      <c r="J61" s="19"/>
      <c r="K61" s="19"/>
      <c r="L61" s="19"/>
      <c r="M61" s="24"/>
    </row>
    <row r="62" spans="1:13">
      <c r="A62" s="51" t="s">
        <v>102</v>
      </c>
      <c r="B62" s="52"/>
      <c r="C62" s="52"/>
      <c r="D62" s="52"/>
      <c r="E62" s="52"/>
      <c r="F62" s="52"/>
      <c r="G62" s="52"/>
      <c r="H62" s="52"/>
      <c r="I62" s="52"/>
      <c r="J62" s="52"/>
      <c r="K62" s="52"/>
      <c r="L62" s="52"/>
      <c r="M62" s="53"/>
    </row>
    <row r="63" spans="1:13" ht="15.75" thickBot="1">
      <c r="A63" s="30"/>
      <c r="B63" s="19"/>
      <c r="C63" s="19"/>
      <c r="D63" s="19"/>
      <c r="E63" s="19"/>
      <c r="F63" s="19"/>
      <c r="G63" s="19"/>
      <c r="H63" s="19"/>
      <c r="I63" s="19"/>
      <c r="J63" s="19"/>
      <c r="K63" s="19"/>
      <c r="L63" s="19"/>
      <c r="M63" s="24"/>
    </row>
    <row r="64" spans="1:13" ht="15.75" thickBot="1">
      <c r="A64" s="438" t="s">
        <v>103</v>
      </c>
      <c r="B64" s="439"/>
      <c r="C64" s="439"/>
      <c r="D64" s="439"/>
      <c r="E64" s="439"/>
      <c r="F64" s="439"/>
      <c r="G64" s="439"/>
      <c r="H64" s="309"/>
      <c r="I64" s="310"/>
      <c r="J64" s="81" t="s">
        <v>104</v>
      </c>
      <c r="K64" s="440" t="s">
        <v>105</v>
      </c>
      <c r="L64" s="441"/>
      <c r="M64" s="82"/>
    </row>
    <row r="65" spans="1:13">
      <c r="A65" s="442" t="s">
        <v>106</v>
      </c>
      <c r="B65" s="443"/>
      <c r="C65" s="443"/>
      <c r="D65" s="443"/>
      <c r="E65" s="443"/>
      <c r="F65" s="443"/>
      <c r="G65" s="443"/>
      <c r="H65" s="83"/>
      <c r="I65" s="84"/>
      <c r="J65" s="85">
        <v>0.19</v>
      </c>
      <c r="K65" s="444">
        <f>M60*J65</f>
        <v>8439.0400000000009</v>
      </c>
      <c r="L65" s="444"/>
      <c r="M65" s="86"/>
    </row>
    <row r="66" spans="1:13">
      <c r="A66" s="447" t="s">
        <v>107</v>
      </c>
      <c r="B66" s="448"/>
      <c r="C66" s="448"/>
      <c r="D66" s="448"/>
      <c r="E66" s="448"/>
      <c r="F66" s="448"/>
      <c r="G66" s="449"/>
      <c r="H66" s="77"/>
      <c r="I66" s="78"/>
      <c r="J66" s="5">
        <v>0.01</v>
      </c>
      <c r="K66" s="445">
        <f>M60*J66</f>
        <v>444.16</v>
      </c>
      <c r="L66" s="445"/>
      <c r="M66" s="6"/>
    </row>
    <row r="67" spans="1:13">
      <c r="A67" s="447" t="s">
        <v>108</v>
      </c>
      <c r="B67" s="448"/>
      <c r="C67" s="448"/>
      <c r="D67" s="448"/>
      <c r="E67" s="448"/>
      <c r="F67" s="448"/>
      <c r="G67" s="449"/>
      <c r="H67" s="77"/>
      <c r="I67" s="78"/>
      <c r="J67" s="5">
        <v>0.05</v>
      </c>
      <c r="K67" s="445">
        <f>M60*J67</f>
        <v>2220.8000000000002</v>
      </c>
      <c r="L67" s="445"/>
      <c r="M67" s="6"/>
    </row>
    <row r="68" spans="1:13" ht="15.75" thickBot="1">
      <c r="A68" s="450" t="s">
        <v>117</v>
      </c>
      <c r="B68" s="451"/>
      <c r="C68" s="451"/>
      <c r="D68" s="451"/>
      <c r="E68" s="451"/>
      <c r="F68" s="451"/>
      <c r="G68" s="452"/>
      <c r="H68" s="87"/>
      <c r="I68" s="88"/>
      <c r="J68" s="89">
        <v>0.19</v>
      </c>
      <c r="K68" s="446">
        <f>K67*J68</f>
        <v>421.95200000000006</v>
      </c>
      <c r="L68" s="446"/>
      <c r="M68" s="90"/>
    </row>
    <row r="69" spans="1:13" ht="15.75" thickBot="1">
      <c r="A69" s="435" t="s">
        <v>87</v>
      </c>
      <c r="B69" s="436"/>
      <c r="C69" s="436"/>
      <c r="D69" s="436"/>
      <c r="E69" s="436"/>
      <c r="F69" s="436"/>
      <c r="G69" s="436"/>
      <c r="H69" s="436"/>
      <c r="I69" s="436"/>
      <c r="J69" s="436"/>
      <c r="K69" s="436"/>
      <c r="L69" s="437"/>
      <c r="M69" s="76">
        <f>SUM(K65:L68)</f>
        <v>11525.951999999999</v>
      </c>
    </row>
    <row r="70" spans="1:13" ht="15.75" thickBot="1">
      <c r="A70" s="30"/>
      <c r="B70" s="19"/>
      <c r="C70" s="19"/>
      <c r="D70" s="19"/>
      <c r="E70" s="19"/>
      <c r="F70" s="19"/>
      <c r="G70" s="19"/>
      <c r="H70" s="19"/>
      <c r="I70" s="19"/>
      <c r="J70" s="19"/>
      <c r="K70" s="19"/>
      <c r="L70" s="19"/>
      <c r="M70" s="24"/>
    </row>
    <row r="71" spans="1:13" ht="15.75" thickBot="1">
      <c r="A71" s="416" t="s">
        <v>109</v>
      </c>
      <c r="B71" s="417"/>
      <c r="C71" s="417"/>
      <c r="D71" s="417"/>
      <c r="E71" s="417"/>
      <c r="F71" s="417"/>
      <c r="G71" s="417"/>
      <c r="H71" s="417"/>
      <c r="I71" s="417"/>
      <c r="J71" s="417"/>
      <c r="K71" s="417"/>
      <c r="L71" s="418"/>
      <c r="M71" s="71">
        <f>ROUND(M60+M69,0)</f>
        <v>55942</v>
      </c>
    </row>
  </sheetData>
  <mergeCells count="7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G56"/>
    <mergeCell ref="K56:L56"/>
    <mergeCell ref="A57:G57"/>
    <mergeCell ref="K57:L57"/>
    <mergeCell ref="A58:L58"/>
    <mergeCell ref="A60:L60"/>
    <mergeCell ref="A64:G64"/>
    <mergeCell ref="K64:L64"/>
    <mergeCell ref="A65:G65"/>
    <mergeCell ref="K65:L65"/>
    <mergeCell ref="A69:L69"/>
    <mergeCell ref="A71:L71"/>
    <mergeCell ref="A66:G66"/>
    <mergeCell ref="K66:L66"/>
    <mergeCell ref="A67:G67"/>
    <mergeCell ref="K67:L67"/>
    <mergeCell ref="A68:G68"/>
    <mergeCell ref="K68:L68"/>
  </mergeCells>
  <pageMargins left="0.7" right="0.7" top="0.75" bottom="0.75" header="0.3" footer="0.3"/>
  <pageSetup scale="56"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view="pageBreakPreview" topLeftCell="A49" zoomScale="80" zoomScaleNormal="100" zoomScaleSheetLayoutView="80" workbookViewId="0">
      <selection activeCell="M60" sqref="M60"/>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313"/>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314" t="s">
        <v>71</v>
      </c>
      <c r="H12" s="394"/>
      <c r="I12" s="394"/>
      <c r="J12" s="23"/>
      <c r="K12" s="23"/>
      <c r="L12" s="23"/>
      <c r="M12" s="24"/>
    </row>
    <row r="13" spans="1:13">
      <c r="A13" s="25" t="s">
        <v>72</v>
      </c>
      <c r="B13" s="26"/>
      <c r="C13" s="555"/>
      <c r="D13" s="556"/>
      <c r="E13" s="556"/>
      <c r="F13" s="556"/>
      <c r="G13" s="556"/>
      <c r="H13" s="556"/>
      <c r="I13" s="556"/>
      <c r="J13" s="556"/>
      <c r="K13" s="556"/>
      <c r="L13" s="556"/>
      <c r="M13" s="557"/>
    </row>
    <row r="14" spans="1:13">
      <c r="A14" s="25"/>
      <c r="B14" s="26"/>
      <c r="C14" s="394"/>
      <c r="D14" s="394"/>
      <c r="E14" s="394"/>
      <c r="F14" s="394"/>
      <c r="G14" s="394"/>
      <c r="H14" s="394"/>
      <c r="I14" s="394"/>
      <c r="J14" s="394"/>
      <c r="K14" s="394"/>
      <c r="L14" s="394"/>
      <c r="M14" s="558"/>
    </row>
    <row r="15" spans="1:13">
      <c r="A15" s="25"/>
      <c r="B15" s="26"/>
      <c r="C15" s="316"/>
      <c r="D15" s="316"/>
      <c r="E15" s="316"/>
      <c r="F15" s="316"/>
      <c r="G15" s="316"/>
      <c r="H15" s="316"/>
      <c r="I15" s="316"/>
      <c r="J15" s="316"/>
      <c r="K15" s="316"/>
      <c r="L15" s="316"/>
      <c r="M15" s="317"/>
    </row>
    <row r="16" spans="1:13">
      <c r="A16" s="25" t="s">
        <v>73</v>
      </c>
      <c r="B16" s="26"/>
      <c r="C16" s="379"/>
      <c r="D16" s="379"/>
      <c r="E16" s="379"/>
      <c r="F16" s="379"/>
      <c r="G16" s="379"/>
      <c r="H16" s="379"/>
      <c r="I16" s="379"/>
      <c r="J16" s="379"/>
      <c r="K16" s="379"/>
      <c r="L16" s="379"/>
      <c r="M16" s="380"/>
    </row>
    <row r="17" spans="1:19">
      <c r="A17" s="25"/>
      <c r="B17" s="26"/>
      <c r="C17" s="314"/>
      <c r="D17" s="314"/>
      <c r="E17" s="314"/>
      <c r="F17" s="314"/>
      <c r="G17" s="314"/>
      <c r="H17" s="314"/>
      <c r="I17" s="314"/>
      <c r="J17" s="314"/>
      <c r="K17" s="314"/>
      <c r="L17" s="314"/>
      <c r="M17" s="13"/>
    </row>
    <row r="18" spans="1:19">
      <c r="A18" s="25" t="s">
        <v>74</v>
      </c>
      <c r="B18" s="26"/>
      <c r="C18" s="379"/>
      <c r="D18" s="379"/>
      <c r="E18" s="379"/>
      <c r="F18" s="379"/>
      <c r="G18" s="379"/>
      <c r="H18" s="379"/>
      <c r="I18" s="379"/>
      <c r="J18" s="379"/>
      <c r="K18" s="379"/>
      <c r="L18" s="379"/>
      <c r="M18" s="380"/>
    </row>
    <row r="19" spans="1:19">
      <c r="A19" s="25"/>
      <c r="B19" s="26"/>
      <c r="C19" s="314"/>
      <c r="D19" s="314"/>
      <c r="E19" s="314"/>
      <c r="F19" s="314"/>
      <c r="G19" s="314"/>
      <c r="H19" s="314"/>
      <c r="I19" s="314"/>
      <c r="J19" s="314"/>
      <c r="K19" s="314"/>
      <c r="L19" s="314"/>
      <c r="M19" s="13"/>
    </row>
    <row r="20" spans="1:19" ht="31.5" customHeight="1">
      <c r="A20" s="464" t="s">
        <v>113</v>
      </c>
      <c r="B20" s="465"/>
      <c r="C20" s="379"/>
      <c r="D20" s="379"/>
      <c r="E20" s="379"/>
      <c r="F20" s="379"/>
      <c r="G20" s="379"/>
      <c r="H20" s="379"/>
      <c r="I20" s="379"/>
      <c r="J20" s="379"/>
      <c r="K20" s="379"/>
      <c r="L20" s="379"/>
      <c r="M20" s="380"/>
    </row>
    <row r="21" spans="1:19">
      <c r="A21" s="400"/>
      <c r="B21" s="401"/>
      <c r="C21" s="314"/>
      <c r="D21" s="314"/>
      <c r="E21" s="314"/>
      <c r="F21" s="314"/>
      <c r="G21" s="314"/>
      <c r="H21" s="314"/>
      <c r="I21" s="314"/>
      <c r="J21" s="314"/>
      <c r="K21" s="314"/>
      <c r="L21" s="31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306" t="s">
        <v>78</v>
      </c>
      <c r="K25" s="408" t="s">
        <v>79</v>
      </c>
      <c r="L25" s="409"/>
      <c r="M25" s="31" t="s">
        <v>80</v>
      </c>
    </row>
    <row r="26" spans="1:19" ht="48.75" customHeight="1" thickBot="1">
      <c r="A26" s="33"/>
      <c r="B26" s="509" t="s">
        <v>439</v>
      </c>
      <c r="C26" s="510"/>
      <c r="D26" s="510"/>
      <c r="E26" s="510"/>
      <c r="F26" s="510"/>
      <c r="G26" s="510"/>
      <c r="H26" s="510"/>
      <c r="I26" s="511"/>
      <c r="J26" s="305">
        <v>1</v>
      </c>
      <c r="K26" s="391" t="s">
        <v>9</v>
      </c>
      <c r="L26" s="393"/>
      <c r="M26" s="35"/>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311" t="s">
        <v>83</v>
      </c>
      <c r="K30" s="421" t="s">
        <v>84</v>
      </c>
      <c r="L30" s="424"/>
      <c r="M30" s="44" t="s">
        <v>85</v>
      </c>
    </row>
    <row r="31" spans="1:19" ht="15.75" thickBot="1">
      <c r="A31" s="425"/>
      <c r="B31" s="426"/>
      <c r="C31" s="426"/>
      <c r="D31" s="426"/>
      <c r="E31" s="427"/>
      <c r="F31" s="428"/>
      <c r="G31" s="429"/>
      <c r="H31" s="430"/>
      <c r="I31" s="427"/>
      <c r="J31" s="72"/>
      <c r="K31" s="428"/>
      <c r="L31" s="429"/>
      <c r="M31" s="231">
        <f>K31*J31</f>
        <v>0</v>
      </c>
      <c r="N31" s="489"/>
      <c r="O31" s="490"/>
      <c r="P31" s="95"/>
      <c r="Q31" s="96"/>
      <c r="R31" s="97"/>
      <c r="S31" s="98"/>
    </row>
    <row r="32" spans="1:19">
      <c r="A32" s="425"/>
      <c r="B32" s="426"/>
      <c r="C32" s="426"/>
      <c r="D32" s="426"/>
      <c r="E32" s="427"/>
      <c r="F32" s="428"/>
      <c r="G32" s="429"/>
      <c r="H32" s="430"/>
      <c r="I32" s="427"/>
      <c r="J32" s="72"/>
      <c r="K32" s="428"/>
      <c r="L32" s="429"/>
      <c r="M32" s="46"/>
    </row>
    <row r="33" spans="1:13" ht="15.75" thickBot="1">
      <c r="A33" s="410"/>
      <c r="B33" s="411"/>
      <c r="C33" s="411"/>
      <c r="D33" s="411"/>
      <c r="E33" s="412"/>
      <c r="F33" s="414"/>
      <c r="G33" s="415"/>
      <c r="H33" s="413"/>
      <c r="I33" s="412"/>
      <c r="J33" s="91"/>
      <c r="K33" s="414"/>
      <c r="L33" s="415"/>
      <c r="M33" s="46"/>
    </row>
    <row r="34" spans="1:13" ht="15.75" thickBot="1">
      <c r="A34" s="416" t="s">
        <v>87</v>
      </c>
      <c r="B34" s="417"/>
      <c r="C34" s="417"/>
      <c r="D34" s="417"/>
      <c r="E34" s="417"/>
      <c r="F34" s="417"/>
      <c r="G34" s="417"/>
      <c r="H34" s="417"/>
      <c r="I34" s="417"/>
      <c r="J34" s="417"/>
      <c r="K34" s="417"/>
      <c r="L34" s="418"/>
      <c r="M34" s="232">
        <f>SUM(M31:M33)</f>
        <v>0</v>
      </c>
    </row>
    <row r="35" spans="1:13">
      <c r="A35" s="50"/>
      <c r="B35" s="19"/>
      <c r="C35" s="19"/>
      <c r="D35" s="19"/>
      <c r="E35" s="19"/>
      <c r="F35" s="19"/>
      <c r="G35" s="19"/>
      <c r="H35" s="19"/>
      <c r="I35" s="19"/>
      <c r="J35" s="19"/>
      <c r="K35" s="19"/>
      <c r="L35" s="19"/>
      <c r="M35" s="24"/>
    </row>
    <row r="36" spans="1:13">
      <c r="A36" s="51" t="s">
        <v>88</v>
      </c>
      <c r="B36" s="52"/>
      <c r="C36" s="52"/>
      <c r="D36" s="52"/>
      <c r="E36" s="52"/>
      <c r="F36" s="52"/>
      <c r="G36" s="52"/>
      <c r="H36" s="52"/>
      <c r="I36" s="52"/>
      <c r="J36" s="52"/>
      <c r="K36" s="52"/>
      <c r="L36" s="52"/>
      <c r="M36" s="53"/>
    </row>
    <row r="37" spans="1:13" ht="15.75" thickBot="1">
      <c r="A37" s="14"/>
      <c r="B37" s="15"/>
      <c r="C37" s="15"/>
      <c r="D37" s="15"/>
      <c r="E37" s="15"/>
      <c r="F37" s="15"/>
      <c r="G37" s="15"/>
      <c r="H37" s="15"/>
      <c r="I37" s="19"/>
      <c r="J37" s="19"/>
      <c r="K37" s="19"/>
      <c r="L37" s="19"/>
      <c r="M37" s="24"/>
    </row>
    <row r="38" spans="1:13">
      <c r="A38" s="408" t="s">
        <v>77</v>
      </c>
      <c r="B38" s="431"/>
      <c r="C38" s="431"/>
      <c r="D38" s="431"/>
      <c r="E38" s="431"/>
      <c r="F38" s="431"/>
      <c r="G38" s="431"/>
      <c r="H38" s="424"/>
      <c r="I38" s="307" t="s">
        <v>79</v>
      </c>
      <c r="J38" s="311" t="s">
        <v>80</v>
      </c>
      <c r="K38" s="421" t="s">
        <v>89</v>
      </c>
      <c r="L38" s="424"/>
      <c r="M38" s="44" t="s">
        <v>85</v>
      </c>
    </row>
    <row r="39" spans="1:13" ht="36.75" customHeight="1">
      <c r="A39" s="516" t="s">
        <v>384</v>
      </c>
      <c r="B39" s="559"/>
      <c r="C39" s="559"/>
      <c r="D39" s="559"/>
      <c r="E39" s="559"/>
      <c r="F39" s="559"/>
      <c r="G39" s="559"/>
      <c r="H39" s="560"/>
      <c r="I39" s="73" t="s">
        <v>11</v>
      </c>
      <c r="J39" s="315">
        <v>1</v>
      </c>
      <c r="K39" s="456">
        <v>8364700</v>
      </c>
      <c r="L39" s="457"/>
      <c r="M39" s="56">
        <f t="shared" ref="M39:M42" si="0">K39*J39</f>
        <v>8364700</v>
      </c>
    </row>
    <row r="40" spans="1:13">
      <c r="A40" s="425"/>
      <c r="B40" s="426"/>
      <c r="C40" s="426"/>
      <c r="D40" s="426"/>
      <c r="E40" s="426"/>
      <c r="F40" s="426"/>
      <c r="G40" s="426"/>
      <c r="H40" s="427"/>
      <c r="I40" s="73"/>
      <c r="J40" s="315"/>
      <c r="K40" s="456">
        <v>0</v>
      </c>
      <c r="L40" s="457"/>
      <c r="M40" s="56">
        <f t="shared" si="0"/>
        <v>0</v>
      </c>
    </row>
    <row r="41" spans="1:13">
      <c r="A41" s="425"/>
      <c r="B41" s="426"/>
      <c r="C41" s="426"/>
      <c r="D41" s="426"/>
      <c r="E41" s="426"/>
      <c r="F41" s="426"/>
      <c r="G41" s="426"/>
      <c r="H41" s="427"/>
      <c r="I41" s="73"/>
      <c r="J41" s="315"/>
      <c r="K41" s="456">
        <v>0</v>
      </c>
      <c r="L41" s="457"/>
      <c r="M41" s="56">
        <f t="shared" si="0"/>
        <v>0</v>
      </c>
    </row>
    <row r="42" spans="1:13" ht="15.75" thickBot="1">
      <c r="A42" s="410"/>
      <c r="B42" s="411"/>
      <c r="C42" s="411"/>
      <c r="D42" s="411"/>
      <c r="E42" s="411"/>
      <c r="F42" s="411"/>
      <c r="G42" s="411"/>
      <c r="H42" s="412"/>
      <c r="I42" s="74"/>
      <c r="J42" s="211"/>
      <c r="K42" s="466">
        <v>0</v>
      </c>
      <c r="L42" s="467"/>
      <c r="M42" s="56">
        <f t="shared" si="0"/>
        <v>0</v>
      </c>
    </row>
    <row r="43" spans="1:13" ht="15.75" thickBot="1">
      <c r="A43" s="416" t="s">
        <v>87</v>
      </c>
      <c r="B43" s="417"/>
      <c r="C43" s="417"/>
      <c r="D43" s="417"/>
      <c r="E43" s="417"/>
      <c r="F43" s="417"/>
      <c r="G43" s="417"/>
      <c r="H43" s="417"/>
      <c r="I43" s="417"/>
      <c r="J43" s="417"/>
      <c r="K43" s="417"/>
      <c r="L43" s="418"/>
      <c r="M43" s="58">
        <f>SUM(M39:M42)</f>
        <v>8364700</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311" t="s">
        <v>92</v>
      </c>
      <c r="I47" s="308" t="s">
        <v>93</v>
      </c>
      <c r="J47" s="60" t="s">
        <v>94</v>
      </c>
      <c r="K47" s="421" t="s">
        <v>95</v>
      </c>
      <c r="L47" s="424"/>
      <c r="M47" s="44" t="s">
        <v>85</v>
      </c>
    </row>
    <row r="48" spans="1:13">
      <c r="A48" s="425"/>
      <c r="B48" s="426"/>
      <c r="C48" s="426"/>
      <c r="D48" s="426"/>
      <c r="E48" s="426"/>
      <c r="F48" s="426"/>
      <c r="G48" s="426"/>
      <c r="H48" s="61"/>
      <c r="I48" s="55"/>
      <c r="J48" s="61"/>
      <c r="K48" s="428"/>
      <c r="L48" s="429"/>
    </row>
    <row r="49" spans="1:13" ht="15.75" thickBot="1">
      <c r="A49" s="410"/>
      <c r="B49" s="411"/>
      <c r="C49" s="411"/>
      <c r="D49" s="411"/>
      <c r="E49" s="411"/>
      <c r="F49" s="411"/>
      <c r="G49" s="411"/>
      <c r="H49" s="47"/>
      <c r="I49" s="15"/>
      <c r="J49" s="47"/>
      <c r="K49" s="414"/>
      <c r="L49" s="415"/>
      <c r="M49" s="62"/>
    </row>
    <row r="50" spans="1:13" ht="15.75" thickBot="1">
      <c r="A50" s="416" t="s">
        <v>87</v>
      </c>
      <c r="B50" s="417"/>
      <c r="C50" s="417"/>
      <c r="D50" s="417"/>
      <c r="E50" s="417"/>
      <c r="F50" s="417"/>
      <c r="G50" s="417"/>
      <c r="H50" s="417"/>
      <c r="I50" s="417"/>
      <c r="J50" s="417"/>
      <c r="K50" s="417"/>
      <c r="L50" s="418"/>
      <c r="M50" s="63">
        <f>SUM(M49:M49)</f>
        <v>0</v>
      </c>
    </row>
    <row r="51" spans="1:13">
      <c r="A51" s="30"/>
      <c r="B51" s="19"/>
      <c r="C51" s="19"/>
      <c r="D51" s="19"/>
      <c r="E51" s="19"/>
      <c r="F51" s="19"/>
      <c r="G51" s="19"/>
      <c r="H51" s="19"/>
      <c r="I51" s="19"/>
      <c r="J51" s="19"/>
      <c r="K51" s="19"/>
      <c r="L51" s="19"/>
      <c r="M51" s="24"/>
    </row>
    <row r="52" spans="1:13">
      <c r="A52" s="51" t="s">
        <v>96</v>
      </c>
      <c r="B52" s="52"/>
      <c r="C52" s="52"/>
      <c r="D52" s="52"/>
      <c r="E52" s="52"/>
      <c r="F52" s="52"/>
      <c r="G52" s="52"/>
      <c r="H52" s="52"/>
      <c r="I52" s="52"/>
      <c r="J52" s="52"/>
      <c r="K52" s="52"/>
      <c r="L52" s="52"/>
      <c r="M52" s="53"/>
    </row>
    <row r="53" spans="1:13" ht="15.75" thickBot="1">
      <c r="A53" s="30"/>
      <c r="B53" s="19"/>
      <c r="C53" s="19"/>
      <c r="D53" s="19"/>
      <c r="E53" s="19"/>
      <c r="F53" s="19"/>
      <c r="G53" s="19"/>
      <c r="H53" s="19"/>
      <c r="I53" s="19"/>
      <c r="J53" s="19"/>
      <c r="K53" s="19"/>
      <c r="L53" s="19"/>
      <c r="M53" s="24"/>
    </row>
    <row r="54" spans="1:13" ht="26.25">
      <c r="A54" s="453" t="s">
        <v>97</v>
      </c>
      <c r="B54" s="454"/>
      <c r="C54" s="454"/>
      <c r="D54" s="454"/>
      <c r="E54" s="454"/>
      <c r="F54" s="454"/>
      <c r="G54" s="454"/>
      <c r="H54" s="311" t="s">
        <v>98</v>
      </c>
      <c r="I54" s="312" t="s">
        <v>99</v>
      </c>
      <c r="J54" s="312" t="s">
        <v>100</v>
      </c>
      <c r="K54" s="455" t="s">
        <v>84</v>
      </c>
      <c r="L54" s="455"/>
      <c r="M54" s="65" t="s">
        <v>85</v>
      </c>
    </row>
    <row r="55" spans="1:13">
      <c r="A55" s="425" t="s">
        <v>126</v>
      </c>
      <c r="B55" s="426"/>
      <c r="C55" s="426"/>
      <c r="D55" s="426"/>
      <c r="E55" s="426"/>
      <c r="F55" s="426"/>
      <c r="G55" s="427"/>
      <c r="H55" s="1">
        <v>112923.49999999999</v>
      </c>
      <c r="I55" s="2">
        <v>2.2000000000000002</v>
      </c>
      <c r="J55" s="66">
        <f>(I55*H55)</f>
        <v>248431.69999999998</v>
      </c>
      <c r="K55" s="483">
        <v>0.2</v>
      </c>
      <c r="L55" s="483"/>
      <c r="M55" s="56">
        <f>J55/K55</f>
        <v>1242158.4999999998</v>
      </c>
    </row>
    <row r="56" spans="1:13">
      <c r="A56" s="471"/>
      <c r="B56" s="472"/>
      <c r="C56" s="472"/>
      <c r="D56" s="472"/>
      <c r="E56" s="472"/>
      <c r="F56" s="472"/>
      <c r="G56" s="472"/>
      <c r="H56" s="1"/>
      <c r="I56" s="2"/>
      <c r="J56" s="66"/>
      <c r="K56" s="473"/>
      <c r="L56" s="473"/>
      <c r="M56" s="56"/>
    </row>
    <row r="57" spans="1:13" ht="15.75" thickBot="1">
      <c r="A57" s="432"/>
      <c r="B57" s="433"/>
      <c r="C57" s="433"/>
      <c r="D57" s="433"/>
      <c r="E57" s="433"/>
      <c r="F57" s="433"/>
      <c r="G57" s="433"/>
      <c r="H57" s="3"/>
      <c r="I57" s="4"/>
      <c r="J57" s="67"/>
      <c r="K57" s="434"/>
      <c r="L57" s="434"/>
      <c r="M57" s="68"/>
    </row>
    <row r="58" spans="1:13" ht="15.75" thickBot="1">
      <c r="A58" s="435" t="s">
        <v>87</v>
      </c>
      <c r="B58" s="436"/>
      <c r="C58" s="436"/>
      <c r="D58" s="436"/>
      <c r="E58" s="436"/>
      <c r="F58" s="436"/>
      <c r="G58" s="436"/>
      <c r="H58" s="436"/>
      <c r="I58" s="436"/>
      <c r="J58" s="436"/>
      <c r="K58" s="436"/>
      <c r="L58" s="437"/>
      <c r="M58" s="69">
        <f>SUM(M55:M57)</f>
        <v>1242158.4999999998</v>
      </c>
    </row>
    <row r="59" spans="1:13" ht="15.75" thickBot="1">
      <c r="A59" s="30"/>
      <c r="B59" s="19"/>
      <c r="C59" s="19"/>
      <c r="D59" s="19"/>
      <c r="E59" s="19"/>
      <c r="F59" s="19"/>
      <c r="G59" s="19"/>
      <c r="H59" s="19"/>
      <c r="I59" s="19"/>
      <c r="J59" s="19"/>
      <c r="K59" s="19"/>
      <c r="L59" s="19"/>
      <c r="M59" s="24"/>
    </row>
    <row r="60" spans="1:13" ht="15.75" thickBot="1">
      <c r="A60" s="416" t="s">
        <v>101</v>
      </c>
      <c r="B60" s="417"/>
      <c r="C60" s="417"/>
      <c r="D60" s="417"/>
      <c r="E60" s="417"/>
      <c r="F60" s="417"/>
      <c r="G60" s="417"/>
      <c r="H60" s="417"/>
      <c r="I60" s="417"/>
      <c r="J60" s="417"/>
      <c r="K60" s="417"/>
      <c r="L60" s="418"/>
      <c r="M60" s="70">
        <f>ROUND(M58+M50+M43+M34,0)</f>
        <v>9606859</v>
      </c>
    </row>
    <row r="61" spans="1:13">
      <c r="A61" s="30"/>
      <c r="B61" s="19"/>
      <c r="C61" s="19"/>
      <c r="D61" s="19"/>
      <c r="E61" s="19"/>
      <c r="F61" s="19"/>
      <c r="G61" s="19"/>
      <c r="H61" s="19"/>
      <c r="I61" s="19"/>
      <c r="J61" s="19"/>
      <c r="K61" s="19"/>
      <c r="L61" s="19"/>
      <c r="M61" s="24"/>
    </row>
    <row r="62" spans="1:13">
      <c r="A62" s="51" t="s">
        <v>102</v>
      </c>
      <c r="B62" s="52"/>
      <c r="C62" s="52"/>
      <c r="D62" s="52"/>
      <c r="E62" s="52"/>
      <c r="F62" s="52"/>
      <c r="G62" s="52"/>
      <c r="H62" s="52"/>
      <c r="I62" s="52"/>
      <c r="J62" s="52"/>
      <c r="K62" s="52"/>
      <c r="L62" s="52"/>
      <c r="M62" s="53"/>
    </row>
    <row r="63" spans="1:13" ht="15.75" thickBot="1">
      <c r="A63" s="30"/>
      <c r="B63" s="19"/>
      <c r="C63" s="19"/>
      <c r="D63" s="19"/>
      <c r="E63" s="19"/>
      <c r="F63" s="19"/>
      <c r="G63" s="19"/>
      <c r="H63" s="19"/>
      <c r="I63" s="19"/>
      <c r="J63" s="19"/>
      <c r="K63" s="19"/>
      <c r="L63" s="19"/>
      <c r="M63" s="24"/>
    </row>
    <row r="64" spans="1:13" ht="15.75" thickBot="1">
      <c r="A64" s="438" t="s">
        <v>103</v>
      </c>
      <c r="B64" s="439"/>
      <c r="C64" s="439"/>
      <c r="D64" s="439"/>
      <c r="E64" s="439"/>
      <c r="F64" s="439"/>
      <c r="G64" s="439"/>
      <c r="H64" s="309"/>
      <c r="I64" s="310"/>
      <c r="J64" s="81" t="s">
        <v>104</v>
      </c>
      <c r="K64" s="440" t="s">
        <v>105</v>
      </c>
      <c r="L64" s="441"/>
      <c r="M64" s="82"/>
    </row>
    <row r="65" spans="1:13">
      <c r="A65" s="442" t="s">
        <v>106</v>
      </c>
      <c r="B65" s="443"/>
      <c r="C65" s="443"/>
      <c r="D65" s="443"/>
      <c r="E65" s="443"/>
      <c r="F65" s="443"/>
      <c r="G65" s="443"/>
      <c r="H65" s="83"/>
      <c r="I65" s="84"/>
      <c r="J65" s="85">
        <v>0.19</v>
      </c>
      <c r="K65" s="444">
        <f>M60*J65</f>
        <v>1825303.21</v>
      </c>
      <c r="L65" s="444"/>
      <c r="M65" s="86"/>
    </row>
    <row r="66" spans="1:13">
      <c r="A66" s="447" t="s">
        <v>107</v>
      </c>
      <c r="B66" s="448"/>
      <c r="C66" s="448"/>
      <c r="D66" s="448"/>
      <c r="E66" s="448"/>
      <c r="F66" s="448"/>
      <c r="G66" s="449"/>
      <c r="H66" s="77"/>
      <c r="I66" s="78"/>
      <c r="J66" s="5">
        <v>0.01</v>
      </c>
      <c r="K66" s="445">
        <f>M60*J66</f>
        <v>96068.59</v>
      </c>
      <c r="L66" s="445"/>
      <c r="M66" s="6"/>
    </row>
    <row r="67" spans="1:13">
      <c r="A67" s="447" t="s">
        <v>108</v>
      </c>
      <c r="B67" s="448"/>
      <c r="C67" s="448"/>
      <c r="D67" s="448"/>
      <c r="E67" s="448"/>
      <c r="F67" s="448"/>
      <c r="G67" s="449"/>
      <c r="H67" s="77"/>
      <c r="I67" s="78"/>
      <c r="J67" s="5">
        <v>0.05</v>
      </c>
      <c r="K67" s="445">
        <f>M60*J67</f>
        <v>480342.95</v>
      </c>
      <c r="L67" s="445"/>
      <c r="M67" s="6"/>
    </row>
    <row r="68" spans="1:13" ht="15.75" thickBot="1">
      <c r="A68" s="450" t="s">
        <v>117</v>
      </c>
      <c r="B68" s="451"/>
      <c r="C68" s="451"/>
      <c r="D68" s="451"/>
      <c r="E68" s="451"/>
      <c r="F68" s="451"/>
      <c r="G68" s="452"/>
      <c r="H68" s="87"/>
      <c r="I68" s="88"/>
      <c r="J68" s="89">
        <v>0.19</v>
      </c>
      <c r="K68" s="446">
        <f>K67*J68</f>
        <v>91265.160499999998</v>
      </c>
      <c r="L68" s="446"/>
      <c r="M68" s="90"/>
    </row>
    <row r="69" spans="1:13" ht="15.75" thickBot="1">
      <c r="A69" s="435" t="s">
        <v>87</v>
      </c>
      <c r="B69" s="436"/>
      <c r="C69" s="436"/>
      <c r="D69" s="436"/>
      <c r="E69" s="436"/>
      <c r="F69" s="436"/>
      <c r="G69" s="436"/>
      <c r="H69" s="436"/>
      <c r="I69" s="436"/>
      <c r="J69" s="436"/>
      <c r="K69" s="436"/>
      <c r="L69" s="437"/>
      <c r="M69" s="76">
        <f>SUM(K65:L68)</f>
        <v>2492979.9105000002</v>
      </c>
    </row>
    <row r="70" spans="1:13" ht="15.75" thickBot="1">
      <c r="A70" s="30"/>
      <c r="B70" s="19"/>
      <c r="C70" s="19"/>
      <c r="D70" s="19"/>
      <c r="E70" s="19"/>
      <c r="F70" s="19"/>
      <c r="G70" s="19"/>
      <c r="H70" s="19"/>
      <c r="I70" s="19"/>
      <c r="J70" s="19"/>
      <c r="K70" s="19"/>
      <c r="L70" s="19"/>
      <c r="M70" s="24"/>
    </row>
    <row r="71" spans="1:13" ht="15.75" thickBot="1">
      <c r="A71" s="416" t="s">
        <v>109</v>
      </c>
      <c r="B71" s="417"/>
      <c r="C71" s="417"/>
      <c r="D71" s="417"/>
      <c r="E71" s="417"/>
      <c r="F71" s="417"/>
      <c r="G71" s="417"/>
      <c r="H71" s="417"/>
      <c r="I71" s="417"/>
      <c r="J71" s="417"/>
      <c r="K71" s="417"/>
      <c r="L71" s="418"/>
      <c r="M71" s="71">
        <f>ROUND(M60+M69,0)</f>
        <v>12099839</v>
      </c>
    </row>
  </sheetData>
  <mergeCells count="7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G56"/>
    <mergeCell ref="K56:L56"/>
    <mergeCell ref="A57:G57"/>
    <mergeCell ref="K57:L57"/>
    <mergeCell ref="A58:L58"/>
    <mergeCell ref="A60:L60"/>
    <mergeCell ref="A64:G64"/>
    <mergeCell ref="K64:L64"/>
    <mergeCell ref="A65:G65"/>
    <mergeCell ref="K65:L65"/>
    <mergeCell ref="A69:L69"/>
    <mergeCell ref="A71:L71"/>
    <mergeCell ref="A66:G66"/>
    <mergeCell ref="K66:L66"/>
    <mergeCell ref="A67:G67"/>
    <mergeCell ref="K67:L67"/>
    <mergeCell ref="A68:G68"/>
    <mergeCell ref="K68:L68"/>
  </mergeCells>
  <pageMargins left="0.7" right="0.7" top="0.75" bottom="0.75" header="0.3" footer="0.3"/>
  <pageSetup scale="56"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view="pageBreakPreview" topLeftCell="A49" zoomScale="80" zoomScaleNormal="100" zoomScaleSheetLayoutView="80" workbookViewId="0">
      <selection activeCell="M60" sqref="M60"/>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333"/>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334" t="s">
        <v>71</v>
      </c>
      <c r="H12" s="394"/>
      <c r="I12" s="394"/>
      <c r="J12" s="23"/>
      <c r="K12" s="23"/>
      <c r="L12" s="23"/>
      <c r="M12" s="24"/>
    </row>
    <row r="13" spans="1:13">
      <c r="A13" s="25" t="s">
        <v>72</v>
      </c>
      <c r="B13" s="26"/>
      <c r="C13" s="555"/>
      <c r="D13" s="556"/>
      <c r="E13" s="556"/>
      <c r="F13" s="556"/>
      <c r="G13" s="556"/>
      <c r="H13" s="556"/>
      <c r="I13" s="556"/>
      <c r="J13" s="556"/>
      <c r="K13" s="556"/>
      <c r="L13" s="556"/>
      <c r="M13" s="557"/>
    </row>
    <row r="14" spans="1:13">
      <c r="A14" s="25"/>
      <c r="B14" s="26"/>
      <c r="C14" s="394"/>
      <c r="D14" s="394"/>
      <c r="E14" s="394"/>
      <c r="F14" s="394"/>
      <c r="G14" s="394"/>
      <c r="H14" s="394"/>
      <c r="I14" s="394"/>
      <c r="J14" s="394"/>
      <c r="K14" s="394"/>
      <c r="L14" s="394"/>
      <c r="M14" s="558"/>
    </row>
    <row r="15" spans="1:13">
      <c r="A15" s="25"/>
      <c r="B15" s="26"/>
      <c r="C15" s="336"/>
      <c r="D15" s="336"/>
      <c r="E15" s="336"/>
      <c r="F15" s="336"/>
      <c r="G15" s="336"/>
      <c r="H15" s="336"/>
      <c r="I15" s="336"/>
      <c r="J15" s="336"/>
      <c r="K15" s="336"/>
      <c r="L15" s="336"/>
      <c r="M15" s="337"/>
    </row>
    <row r="16" spans="1:13">
      <c r="A16" s="25" t="s">
        <v>73</v>
      </c>
      <c r="B16" s="26"/>
      <c r="C16" s="379"/>
      <c r="D16" s="379"/>
      <c r="E16" s="379"/>
      <c r="F16" s="379"/>
      <c r="G16" s="379"/>
      <c r="H16" s="379"/>
      <c r="I16" s="379"/>
      <c r="J16" s="379"/>
      <c r="K16" s="379"/>
      <c r="L16" s="379"/>
      <c r="M16" s="380"/>
    </row>
    <row r="17" spans="1:19">
      <c r="A17" s="25"/>
      <c r="B17" s="26"/>
      <c r="C17" s="334"/>
      <c r="D17" s="334"/>
      <c r="E17" s="334"/>
      <c r="F17" s="334"/>
      <c r="G17" s="334"/>
      <c r="H17" s="334"/>
      <c r="I17" s="334"/>
      <c r="J17" s="334"/>
      <c r="K17" s="334"/>
      <c r="L17" s="334"/>
      <c r="M17" s="13"/>
    </row>
    <row r="18" spans="1:19">
      <c r="A18" s="25" t="s">
        <v>74</v>
      </c>
      <c r="B18" s="26"/>
      <c r="C18" s="379"/>
      <c r="D18" s="379"/>
      <c r="E18" s="379"/>
      <c r="F18" s="379"/>
      <c r="G18" s="379"/>
      <c r="H18" s="379"/>
      <c r="I18" s="379"/>
      <c r="J18" s="379"/>
      <c r="K18" s="379"/>
      <c r="L18" s="379"/>
      <c r="M18" s="380"/>
    </row>
    <row r="19" spans="1:19">
      <c r="A19" s="25"/>
      <c r="B19" s="26"/>
      <c r="C19" s="334"/>
      <c r="D19" s="334"/>
      <c r="E19" s="334"/>
      <c r="F19" s="334"/>
      <c r="G19" s="334"/>
      <c r="H19" s="334"/>
      <c r="I19" s="334"/>
      <c r="J19" s="334"/>
      <c r="K19" s="334"/>
      <c r="L19" s="334"/>
      <c r="M19" s="13"/>
    </row>
    <row r="20" spans="1:19" ht="31.5" customHeight="1">
      <c r="A20" s="464" t="s">
        <v>113</v>
      </c>
      <c r="B20" s="465"/>
      <c r="C20" s="379"/>
      <c r="D20" s="379"/>
      <c r="E20" s="379"/>
      <c r="F20" s="379"/>
      <c r="G20" s="379"/>
      <c r="H20" s="379"/>
      <c r="I20" s="379"/>
      <c r="J20" s="379"/>
      <c r="K20" s="379"/>
      <c r="L20" s="379"/>
      <c r="M20" s="380"/>
    </row>
    <row r="21" spans="1:19">
      <c r="A21" s="400"/>
      <c r="B21" s="401"/>
      <c r="C21" s="334"/>
      <c r="D21" s="334"/>
      <c r="E21" s="334"/>
      <c r="F21" s="334"/>
      <c r="G21" s="334"/>
      <c r="H21" s="334"/>
      <c r="I21" s="334"/>
      <c r="J21" s="334"/>
      <c r="K21" s="334"/>
      <c r="L21" s="33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326" t="s">
        <v>78</v>
      </c>
      <c r="K25" s="408" t="s">
        <v>79</v>
      </c>
      <c r="L25" s="409"/>
      <c r="M25" s="31" t="s">
        <v>80</v>
      </c>
    </row>
    <row r="26" spans="1:19" ht="48.75" customHeight="1" thickBot="1">
      <c r="A26" s="33"/>
      <c r="B26" s="509" t="s">
        <v>440</v>
      </c>
      <c r="C26" s="510"/>
      <c r="D26" s="510"/>
      <c r="E26" s="510"/>
      <c r="F26" s="510"/>
      <c r="G26" s="510"/>
      <c r="H26" s="510"/>
      <c r="I26" s="511"/>
      <c r="J26" s="325">
        <v>1</v>
      </c>
      <c r="K26" s="391" t="s">
        <v>9</v>
      </c>
      <c r="L26" s="393"/>
      <c r="M26" s="35"/>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331" t="s">
        <v>83</v>
      </c>
      <c r="K30" s="421" t="s">
        <v>84</v>
      </c>
      <c r="L30" s="424"/>
      <c r="M30" s="44" t="s">
        <v>85</v>
      </c>
    </row>
    <row r="31" spans="1:19" ht="15.75" thickBot="1">
      <c r="A31" s="425"/>
      <c r="B31" s="426"/>
      <c r="C31" s="426"/>
      <c r="D31" s="426"/>
      <c r="E31" s="427"/>
      <c r="F31" s="428"/>
      <c r="G31" s="429"/>
      <c r="H31" s="430"/>
      <c r="I31" s="427"/>
      <c r="J31" s="72"/>
      <c r="K31" s="428"/>
      <c r="L31" s="429"/>
      <c r="M31" s="231">
        <f>K31*J31</f>
        <v>0</v>
      </c>
      <c r="N31" s="489"/>
      <c r="O31" s="490"/>
      <c r="P31" s="95"/>
      <c r="Q31" s="96"/>
      <c r="R31" s="97"/>
      <c r="S31" s="98"/>
    </row>
    <row r="32" spans="1:19">
      <c r="A32" s="425"/>
      <c r="B32" s="426"/>
      <c r="C32" s="426"/>
      <c r="D32" s="426"/>
      <c r="E32" s="427"/>
      <c r="F32" s="428"/>
      <c r="G32" s="429"/>
      <c r="H32" s="430"/>
      <c r="I32" s="427"/>
      <c r="J32" s="72"/>
      <c r="K32" s="428"/>
      <c r="L32" s="429"/>
      <c r="M32" s="46"/>
    </row>
    <row r="33" spans="1:13" ht="15.75" thickBot="1">
      <c r="A33" s="410"/>
      <c r="B33" s="411"/>
      <c r="C33" s="411"/>
      <c r="D33" s="411"/>
      <c r="E33" s="412"/>
      <c r="F33" s="414"/>
      <c r="G33" s="415"/>
      <c r="H33" s="413"/>
      <c r="I33" s="412"/>
      <c r="J33" s="91"/>
      <c r="K33" s="414"/>
      <c r="L33" s="415"/>
      <c r="M33" s="46"/>
    </row>
    <row r="34" spans="1:13" ht="15.75" thickBot="1">
      <c r="A34" s="416" t="s">
        <v>87</v>
      </c>
      <c r="B34" s="417"/>
      <c r="C34" s="417"/>
      <c r="D34" s="417"/>
      <c r="E34" s="417"/>
      <c r="F34" s="417"/>
      <c r="G34" s="417"/>
      <c r="H34" s="417"/>
      <c r="I34" s="417"/>
      <c r="J34" s="417"/>
      <c r="K34" s="417"/>
      <c r="L34" s="418"/>
      <c r="M34" s="232">
        <f>SUM(M31:M33)</f>
        <v>0</v>
      </c>
    </row>
    <row r="35" spans="1:13">
      <c r="A35" s="50"/>
      <c r="B35" s="19"/>
      <c r="C35" s="19"/>
      <c r="D35" s="19"/>
      <c r="E35" s="19"/>
      <c r="F35" s="19"/>
      <c r="G35" s="19"/>
      <c r="H35" s="19"/>
      <c r="I35" s="19"/>
      <c r="J35" s="19"/>
      <c r="K35" s="19"/>
      <c r="L35" s="19"/>
      <c r="M35" s="24"/>
    </row>
    <row r="36" spans="1:13">
      <c r="A36" s="51" t="s">
        <v>88</v>
      </c>
      <c r="B36" s="52"/>
      <c r="C36" s="52"/>
      <c r="D36" s="52"/>
      <c r="E36" s="52"/>
      <c r="F36" s="52"/>
      <c r="G36" s="52"/>
      <c r="H36" s="52"/>
      <c r="I36" s="52"/>
      <c r="J36" s="52"/>
      <c r="K36" s="52"/>
      <c r="L36" s="52"/>
      <c r="M36" s="53"/>
    </row>
    <row r="37" spans="1:13" ht="15.75" thickBot="1">
      <c r="A37" s="14"/>
      <c r="B37" s="15"/>
      <c r="C37" s="15"/>
      <c r="D37" s="15"/>
      <c r="E37" s="15"/>
      <c r="F37" s="15"/>
      <c r="G37" s="15"/>
      <c r="H37" s="15"/>
      <c r="I37" s="19"/>
      <c r="J37" s="19"/>
      <c r="K37" s="19"/>
      <c r="L37" s="19"/>
      <c r="M37" s="24"/>
    </row>
    <row r="38" spans="1:13">
      <c r="A38" s="408" t="s">
        <v>77</v>
      </c>
      <c r="B38" s="431"/>
      <c r="C38" s="431"/>
      <c r="D38" s="431"/>
      <c r="E38" s="431"/>
      <c r="F38" s="431"/>
      <c r="G38" s="431"/>
      <c r="H38" s="424"/>
      <c r="I38" s="327" t="s">
        <v>79</v>
      </c>
      <c r="J38" s="331" t="s">
        <v>80</v>
      </c>
      <c r="K38" s="421" t="s">
        <v>89</v>
      </c>
      <c r="L38" s="424"/>
      <c r="M38" s="44" t="s">
        <v>85</v>
      </c>
    </row>
    <row r="39" spans="1:13" ht="36.75" customHeight="1">
      <c r="A39" s="516" t="s">
        <v>440</v>
      </c>
      <c r="B39" s="559"/>
      <c r="C39" s="559"/>
      <c r="D39" s="559"/>
      <c r="E39" s="559"/>
      <c r="F39" s="559"/>
      <c r="G39" s="559"/>
      <c r="H39" s="560"/>
      <c r="I39" s="73" t="s">
        <v>11</v>
      </c>
      <c r="J39" s="335">
        <v>1</v>
      </c>
      <c r="K39" s="456">
        <v>1579000</v>
      </c>
      <c r="L39" s="457"/>
      <c r="M39" s="56">
        <f t="shared" ref="M39:M42" si="0">K39*J39</f>
        <v>1579000</v>
      </c>
    </row>
    <row r="40" spans="1:13">
      <c r="A40" s="425"/>
      <c r="B40" s="426"/>
      <c r="C40" s="426"/>
      <c r="D40" s="426"/>
      <c r="E40" s="426"/>
      <c r="F40" s="426"/>
      <c r="G40" s="426"/>
      <c r="H40" s="427"/>
      <c r="I40" s="73"/>
      <c r="J40" s="335"/>
      <c r="K40" s="456">
        <v>0</v>
      </c>
      <c r="L40" s="457"/>
      <c r="M40" s="56">
        <f t="shared" si="0"/>
        <v>0</v>
      </c>
    </row>
    <row r="41" spans="1:13">
      <c r="A41" s="425"/>
      <c r="B41" s="426"/>
      <c r="C41" s="426"/>
      <c r="D41" s="426"/>
      <c r="E41" s="426"/>
      <c r="F41" s="426"/>
      <c r="G41" s="426"/>
      <c r="H41" s="427"/>
      <c r="I41" s="73"/>
      <c r="J41" s="335"/>
      <c r="K41" s="456">
        <v>0</v>
      </c>
      <c r="L41" s="457"/>
      <c r="M41" s="56">
        <f t="shared" si="0"/>
        <v>0</v>
      </c>
    </row>
    <row r="42" spans="1:13" ht="15.75" thickBot="1">
      <c r="A42" s="410"/>
      <c r="B42" s="411"/>
      <c r="C42" s="411"/>
      <c r="D42" s="411"/>
      <c r="E42" s="411"/>
      <c r="F42" s="411"/>
      <c r="G42" s="411"/>
      <c r="H42" s="412"/>
      <c r="I42" s="74"/>
      <c r="J42" s="211"/>
      <c r="K42" s="466">
        <v>0</v>
      </c>
      <c r="L42" s="467"/>
      <c r="M42" s="56">
        <f t="shared" si="0"/>
        <v>0</v>
      </c>
    </row>
    <row r="43" spans="1:13" ht="15.75" thickBot="1">
      <c r="A43" s="416" t="s">
        <v>87</v>
      </c>
      <c r="B43" s="417"/>
      <c r="C43" s="417"/>
      <c r="D43" s="417"/>
      <c r="E43" s="417"/>
      <c r="F43" s="417"/>
      <c r="G43" s="417"/>
      <c r="H43" s="417"/>
      <c r="I43" s="417"/>
      <c r="J43" s="417"/>
      <c r="K43" s="417"/>
      <c r="L43" s="418"/>
      <c r="M43" s="58">
        <f>SUM(M39:M42)</f>
        <v>1579000</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331" t="s">
        <v>92</v>
      </c>
      <c r="I47" s="328" t="s">
        <v>93</v>
      </c>
      <c r="J47" s="60" t="s">
        <v>94</v>
      </c>
      <c r="K47" s="421" t="s">
        <v>95</v>
      </c>
      <c r="L47" s="424"/>
      <c r="M47" s="44" t="s">
        <v>85</v>
      </c>
    </row>
    <row r="48" spans="1:13">
      <c r="A48" s="425"/>
      <c r="B48" s="426"/>
      <c r="C48" s="426"/>
      <c r="D48" s="426"/>
      <c r="E48" s="426"/>
      <c r="F48" s="426"/>
      <c r="G48" s="426"/>
      <c r="H48" s="61"/>
      <c r="I48" s="55"/>
      <c r="J48" s="61"/>
      <c r="K48" s="428"/>
      <c r="L48" s="429"/>
    </row>
    <row r="49" spans="1:13" ht="15.75" thickBot="1">
      <c r="A49" s="410"/>
      <c r="B49" s="411"/>
      <c r="C49" s="411"/>
      <c r="D49" s="411"/>
      <c r="E49" s="411"/>
      <c r="F49" s="411"/>
      <c r="G49" s="411"/>
      <c r="H49" s="47"/>
      <c r="I49" s="15"/>
      <c r="J49" s="47"/>
      <c r="K49" s="414"/>
      <c r="L49" s="415"/>
      <c r="M49" s="62"/>
    </row>
    <row r="50" spans="1:13" ht="15.75" thickBot="1">
      <c r="A50" s="416" t="s">
        <v>87</v>
      </c>
      <c r="B50" s="417"/>
      <c r="C50" s="417"/>
      <c r="D50" s="417"/>
      <c r="E50" s="417"/>
      <c r="F50" s="417"/>
      <c r="G50" s="417"/>
      <c r="H50" s="417"/>
      <c r="I50" s="417"/>
      <c r="J50" s="417"/>
      <c r="K50" s="417"/>
      <c r="L50" s="418"/>
      <c r="M50" s="63">
        <f>SUM(M49:M49)</f>
        <v>0</v>
      </c>
    </row>
    <row r="51" spans="1:13">
      <c r="A51" s="30"/>
      <c r="B51" s="19"/>
      <c r="C51" s="19"/>
      <c r="D51" s="19"/>
      <c r="E51" s="19"/>
      <c r="F51" s="19"/>
      <c r="G51" s="19"/>
      <c r="H51" s="19"/>
      <c r="I51" s="19"/>
      <c r="J51" s="19"/>
      <c r="K51" s="19"/>
      <c r="L51" s="19"/>
      <c r="M51" s="24"/>
    </row>
    <row r="52" spans="1:13">
      <c r="A52" s="51" t="s">
        <v>96</v>
      </c>
      <c r="B52" s="52"/>
      <c r="C52" s="52"/>
      <c r="D52" s="52"/>
      <c r="E52" s="52"/>
      <c r="F52" s="52"/>
      <c r="G52" s="52"/>
      <c r="H52" s="52"/>
      <c r="I52" s="52"/>
      <c r="J52" s="52"/>
      <c r="K52" s="52"/>
      <c r="L52" s="52"/>
      <c r="M52" s="53"/>
    </row>
    <row r="53" spans="1:13" ht="15.75" thickBot="1">
      <c r="A53" s="30"/>
      <c r="B53" s="19"/>
      <c r="C53" s="19"/>
      <c r="D53" s="19"/>
      <c r="E53" s="19"/>
      <c r="F53" s="19"/>
      <c r="G53" s="19"/>
      <c r="H53" s="19"/>
      <c r="I53" s="19"/>
      <c r="J53" s="19"/>
      <c r="K53" s="19"/>
      <c r="L53" s="19"/>
      <c r="M53" s="24"/>
    </row>
    <row r="54" spans="1:13" ht="26.25">
      <c r="A54" s="453" t="s">
        <v>97</v>
      </c>
      <c r="B54" s="454"/>
      <c r="C54" s="454"/>
      <c r="D54" s="454"/>
      <c r="E54" s="454"/>
      <c r="F54" s="454"/>
      <c r="G54" s="454"/>
      <c r="H54" s="331" t="s">
        <v>98</v>
      </c>
      <c r="I54" s="332" t="s">
        <v>99</v>
      </c>
      <c r="J54" s="332" t="s">
        <v>100</v>
      </c>
      <c r="K54" s="455" t="s">
        <v>84</v>
      </c>
      <c r="L54" s="455"/>
      <c r="M54" s="65" t="s">
        <v>85</v>
      </c>
    </row>
    <row r="55" spans="1:13">
      <c r="A55" s="425" t="s">
        <v>126</v>
      </c>
      <c r="B55" s="426"/>
      <c r="C55" s="426"/>
      <c r="D55" s="426"/>
      <c r="E55" s="426"/>
      <c r="F55" s="426"/>
      <c r="G55" s="427"/>
      <c r="H55" s="1">
        <v>112923.49999999999</v>
      </c>
      <c r="I55" s="2">
        <v>2.2000000000000002</v>
      </c>
      <c r="J55" s="66">
        <f>(I55*H55)</f>
        <v>248431.69999999998</v>
      </c>
      <c r="K55" s="483">
        <v>0.2</v>
      </c>
      <c r="L55" s="483"/>
      <c r="M55" s="56">
        <f>J55/K55</f>
        <v>1242158.4999999998</v>
      </c>
    </row>
    <row r="56" spans="1:13">
      <c r="A56" s="471"/>
      <c r="B56" s="472"/>
      <c r="C56" s="472"/>
      <c r="D56" s="472"/>
      <c r="E56" s="472"/>
      <c r="F56" s="472"/>
      <c r="G56" s="472"/>
      <c r="H56" s="1"/>
      <c r="I56" s="2"/>
      <c r="J56" s="66"/>
      <c r="K56" s="473"/>
      <c r="L56" s="473"/>
      <c r="M56" s="56"/>
    </row>
    <row r="57" spans="1:13" ht="15.75" thickBot="1">
      <c r="A57" s="432"/>
      <c r="B57" s="433"/>
      <c r="C57" s="433"/>
      <c r="D57" s="433"/>
      <c r="E57" s="433"/>
      <c r="F57" s="433"/>
      <c r="G57" s="433"/>
      <c r="H57" s="3"/>
      <c r="I57" s="4"/>
      <c r="J57" s="67"/>
      <c r="K57" s="434"/>
      <c r="L57" s="434"/>
      <c r="M57" s="68"/>
    </row>
    <row r="58" spans="1:13" ht="15.75" thickBot="1">
      <c r="A58" s="435" t="s">
        <v>87</v>
      </c>
      <c r="B58" s="436"/>
      <c r="C58" s="436"/>
      <c r="D58" s="436"/>
      <c r="E58" s="436"/>
      <c r="F58" s="436"/>
      <c r="G58" s="436"/>
      <c r="H58" s="436"/>
      <c r="I58" s="436"/>
      <c r="J58" s="436"/>
      <c r="K58" s="436"/>
      <c r="L58" s="437"/>
      <c r="M58" s="69">
        <f>SUM(M55:M57)</f>
        <v>1242158.4999999998</v>
      </c>
    </row>
    <row r="59" spans="1:13" ht="15.75" thickBot="1">
      <c r="A59" s="30"/>
      <c r="B59" s="19"/>
      <c r="C59" s="19"/>
      <c r="D59" s="19"/>
      <c r="E59" s="19"/>
      <c r="F59" s="19"/>
      <c r="G59" s="19"/>
      <c r="H59" s="19"/>
      <c r="I59" s="19"/>
      <c r="J59" s="19"/>
      <c r="K59" s="19"/>
      <c r="L59" s="19"/>
      <c r="M59" s="24"/>
    </row>
    <row r="60" spans="1:13" ht="15.75" thickBot="1">
      <c r="A60" s="416" t="s">
        <v>101</v>
      </c>
      <c r="B60" s="417"/>
      <c r="C60" s="417"/>
      <c r="D60" s="417"/>
      <c r="E60" s="417"/>
      <c r="F60" s="417"/>
      <c r="G60" s="417"/>
      <c r="H60" s="417"/>
      <c r="I60" s="417"/>
      <c r="J60" s="417"/>
      <c r="K60" s="417"/>
      <c r="L60" s="418"/>
      <c r="M60" s="70">
        <f>ROUND(M58+M50+M43+M34,0)</f>
        <v>2821159</v>
      </c>
    </row>
    <row r="61" spans="1:13">
      <c r="A61" s="30"/>
      <c r="B61" s="19"/>
      <c r="C61" s="19"/>
      <c r="D61" s="19"/>
      <c r="E61" s="19"/>
      <c r="F61" s="19"/>
      <c r="G61" s="19"/>
      <c r="H61" s="19"/>
      <c r="I61" s="19"/>
      <c r="J61" s="19"/>
      <c r="K61" s="19"/>
      <c r="L61" s="19"/>
      <c r="M61" s="24"/>
    </row>
    <row r="62" spans="1:13">
      <c r="A62" s="51" t="s">
        <v>102</v>
      </c>
      <c r="B62" s="52"/>
      <c r="C62" s="52"/>
      <c r="D62" s="52"/>
      <c r="E62" s="52"/>
      <c r="F62" s="52"/>
      <c r="G62" s="52"/>
      <c r="H62" s="52"/>
      <c r="I62" s="52"/>
      <c r="J62" s="52"/>
      <c r="K62" s="52"/>
      <c r="L62" s="52"/>
      <c r="M62" s="53"/>
    </row>
    <row r="63" spans="1:13" ht="15.75" thickBot="1">
      <c r="A63" s="30"/>
      <c r="B63" s="19"/>
      <c r="C63" s="19"/>
      <c r="D63" s="19"/>
      <c r="E63" s="19"/>
      <c r="F63" s="19"/>
      <c r="G63" s="19"/>
      <c r="H63" s="19"/>
      <c r="I63" s="19"/>
      <c r="J63" s="19"/>
      <c r="K63" s="19"/>
      <c r="L63" s="19"/>
      <c r="M63" s="24"/>
    </row>
    <row r="64" spans="1:13" ht="15.75" thickBot="1">
      <c r="A64" s="438" t="s">
        <v>103</v>
      </c>
      <c r="B64" s="439"/>
      <c r="C64" s="439"/>
      <c r="D64" s="439"/>
      <c r="E64" s="439"/>
      <c r="F64" s="439"/>
      <c r="G64" s="439"/>
      <c r="H64" s="329"/>
      <c r="I64" s="330"/>
      <c r="J64" s="81" t="s">
        <v>104</v>
      </c>
      <c r="K64" s="440" t="s">
        <v>105</v>
      </c>
      <c r="L64" s="441"/>
      <c r="M64" s="82"/>
    </row>
    <row r="65" spans="1:13">
      <c r="A65" s="442" t="s">
        <v>106</v>
      </c>
      <c r="B65" s="443"/>
      <c r="C65" s="443"/>
      <c r="D65" s="443"/>
      <c r="E65" s="443"/>
      <c r="F65" s="443"/>
      <c r="G65" s="443"/>
      <c r="H65" s="83"/>
      <c r="I65" s="84"/>
      <c r="J65" s="85">
        <v>0.19</v>
      </c>
      <c r="K65" s="444">
        <f>M60*J65</f>
        <v>536020.21</v>
      </c>
      <c r="L65" s="444"/>
      <c r="M65" s="86"/>
    </row>
    <row r="66" spans="1:13">
      <c r="A66" s="447" t="s">
        <v>107</v>
      </c>
      <c r="B66" s="448"/>
      <c r="C66" s="448"/>
      <c r="D66" s="448"/>
      <c r="E66" s="448"/>
      <c r="F66" s="448"/>
      <c r="G66" s="449"/>
      <c r="H66" s="77"/>
      <c r="I66" s="78"/>
      <c r="J66" s="5">
        <v>0.01</v>
      </c>
      <c r="K66" s="445">
        <f>M60*J66</f>
        <v>28211.59</v>
      </c>
      <c r="L66" s="445"/>
      <c r="M66" s="6"/>
    </row>
    <row r="67" spans="1:13">
      <c r="A67" s="447" t="s">
        <v>108</v>
      </c>
      <c r="B67" s="448"/>
      <c r="C67" s="448"/>
      <c r="D67" s="448"/>
      <c r="E67" s="448"/>
      <c r="F67" s="448"/>
      <c r="G67" s="449"/>
      <c r="H67" s="77"/>
      <c r="I67" s="78"/>
      <c r="J67" s="5">
        <v>0.05</v>
      </c>
      <c r="K67" s="445">
        <f>M60*J67</f>
        <v>141057.95000000001</v>
      </c>
      <c r="L67" s="445"/>
      <c r="M67" s="6"/>
    </row>
    <row r="68" spans="1:13" ht="15.75" thickBot="1">
      <c r="A68" s="450" t="s">
        <v>117</v>
      </c>
      <c r="B68" s="451"/>
      <c r="C68" s="451"/>
      <c r="D68" s="451"/>
      <c r="E68" s="451"/>
      <c r="F68" s="451"/>
      <c r="G68" s="452"/>
      <c r="H68" s="87"/>
      <c r="I68" s="88"/>
      <c r="J68" s="89">
        <v>0.19</v>
      </c>
      <c r="K68" s="446">
        <f>K67*J68</f>
        <v>26801.010500000004</v>
      </c>
      <c r="L68" s="446"/>
      <c r="M68" s="90"/>
    </row>
    <row r="69" spans="1:13" ht="15.75" thickBot="1">
      <c r="A69" s="435" t="s">
        <v>87</v>
      </c>
      <c r="B69" s="436"/>
      <c r="C69" s="436"/>
      <c r="D69" s="436"/>
      <c r="E69" s="436"/>
      <c r="F69" s="436"/>
      <c r="G69" s="436"/>
      <c r="H69" s="436"/>
      <c r="I69" s="436"/>
      <c r="J69" s="436"/>
      <c r="K69" s="436"/>
      <c r="L69" s="437"/>
      <c r="M69" s="76">
        <f>SUM(K65:L68)</f>
        <v>732090.76049999997</v>
      </c>
    </row>
    <row r="70" spans="1:13" ht="15.75" thickBot="1">
      <c r="A70" s="30"/>
      <c r="B70" s="19"/>
      <c r="C70" s="19"/>
      <c r="D70" s="19"/>
      <c r="E70" s="19"/>
      <c r="F70" s="19"/>
      <c r="G70" s="19"/>
      <c r="H70" s="19"/>
      <c r="I70" s="19"/>
      <c r="J70" s="19"/>
      <c r="K70" s="19"/>
      <c r="L70" s="19"/>
      <c r="M70" s="24"/>
    </row>
    <row r="71" spans="1:13" ht="15.75" thickBot="1">
      <c r="A71" s="416" t="s">
        <v>109</v>
      </c>
      <c r="B71" s="417"/>
      <c r="C71" s="417"/>
      <c r="D71" s="417"/>
      <c r="E71" s="417"/>
      <c r="F71" s="417"/>
      <c r="G71" s="417"/>
      <c r="H71" s="417"/>
      <c r="I71" s="417"/>
      <c r="J71" s="417"/>
      <c r="K71" s="417"/>
      <c r="L71" s="418"/>
      <c r="M71" s="71">
        <f>ROUND(M60+M69,0)</f>
        <v>3553250</v>
      </c>
    </row>
  </sheetData>
  <mergeCells count="7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G56"/>
    <mergeCell ref="K56:L56"/>
    <mergeCell ref="A57:G57"/>
    <mergeCell ref="K57:L57"/>
    <mergeCell ref="A58:L58"/>
    <mergeCell ref="A60:L60"/>
    <mergeCell ref="A64:G64"/>
    <mergeCell ref="K64:L64"/>
    <mergeCell ref="A65:G65"/>
    <mergeCell ref="K65:L65"/>
    <mergeCell ref="A69:L69"/>
    <mergeCell ref="A71:L71"/>
    <mergeCell ref="A66:G66"/>
    <mergeCell ref="K66:L66"/>
    <mergeCell ref="A67:G67"/>
    <mergeCell ref="K67:L67"/>
    <mergeCell ref="A68:G68"/>
    <mergeCell ref="K68:L68"/>
  </mergeCells>
  <pageMargins left="0.7" right="0.7" top="0.75" bottom="0.75" header="0.3" footer="0.3"/>
  <pageSetup scale="56"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1"/>
  <sheetViews>
    <sheetView view="pageBreakPreview" topLeftCell="A43" zoomScale="80" zoomScaleNormal="100" zoomScaleSheetLayoutView="80" workbookViewId="0">
      <selection activeCell="M60" sqref="M60"/>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5" bestFit="1" customWidth="1"/>
    <col min="15" max="15" width="12.28515625" bestFit="1" customWidth="1"/>
    <col min="17" max="17" width="12.285156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313"/>
      <c r="B8" s="8"/>
      <c r="C8" s="8"/>
      <c r="D8" s="8"/>
      <c r="E8" s="8"/>
      <c r="F8" s="8"/>
      <c r="G8" s="8"/>
      <c r="H8" s="8"/>
      <c r="I8" s="8"/>
      <c r="J8" s="8"/>
      <c r="K8" s="9"/>
      <c r="L8" s="9"/>
      <c r="M8" s="10"/>
    </row>
    <row r="9" spans="1:13">
      <c r="A9" s="462" t="s">
        <v>68</v>
      </c>
      <c r="B9" s="463"/>
      <c r="C9" s="379"/>
      <c r="D9" s="379"/>
      <c r="E9" s="379"/>
      <c r="F9" s="379"/>
      <c r="G9" s="379"/>
      <c r="H9" s="379"/>
      <c r="I9" s="11"/>
      <c r="J9" s="11" t="s">
        <v>69</v>
      </c>
      <c r="K9" s="378">
        <v>44417</v>
      </c>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314" t="s">
        <v>71</v>
      </c>
      <c r="H12" s="394"/>
      <c r="I12" s="394"/>
      <c r="J12" s="23"/>
      <c r="K12" s="23"/>
      <c r="L12" s="23"/>
      <c r="M12" s="24"/>
    </row>
    <row r="13" spans="1:13">
      <c r="A13" s="25" t="s">
        <v>72</v>
      </c>
      <c r="B13" s="26"/>
      <c r="C13" s="555"/>
      <c r="D13" s="556"/>
      <c r="E13" s="556"/>
      <c r="F13" s="556"/>
      <c r="G13" s="556"/>
      <c r="H13" s="556"/>
      <c r="I13" s="556"/>
      <c r="J13" s="556"/>
      <c r="K13" s="556"/>
      <c r="L13" s="556"/>
      <c r="M13" s="557"/>
    </row>
    <row r="14" spans="1:13">
      <c r="A14" s="25"/>
      <c r="B14" s="26"/>
      <c r="C14" s="394"/>
      <c r="D14" s="394"/>
      <c r="E14" s="394"/>
      <c r="F14" s="394"/>
      <c r="G14" s="394"/>
      <c r="H14" s="394"/>
      <c r="I14" s="394"/>
      <c r="J14" s="394"/>
      <c r="K14" s="394"/>
      <c r="L14" s="394"/>
      <c r="M14" s="558"/>
    </row>
    <row r="15" spans="1:13">
      <c r="A15" s="25"/>
      <c r="B15" s="26"/>
      <c r="C15" s="316"/>
      <c r="D15" s="316"/>
      <c r="E15" s="316"/>
      <c r="F15" s="316"/>
      <c r="G15" s="316"/>
      <c r="H15" s="316"/>
      <c r="I15" s="316"/>
      <c r="J15" s="316"/>
      <c r="K15" s="316"/>
      <c r="L15" s="316"/>
      <c r="M15" s="317"/>
    </row>
    <row r="16" spans="1:13">
      <c r="A16" s="25" t="s">
        <v>73</v>
      </c>
      <c r="B16" s="26"/>
      <c r="C16" s="379"/>
      <c r="D16" s="379"/>
      <c r="E16" s="379"/>
      <c r="F16" s="379"/>
      <c r="G16" s="379"/>
      <c r="H16" s="379"/>
      <c r="I16" s="379"/>
      <c r="J16" s="379"/>
      <c r="K16" s="379"/>
      <c r="L16" s="379"/>
      <c r="M16" s="380"/>
    </row>
    <row r="17" spans="1:19">
      <c r="A17" s="25"/>
      <c r="B17" s="26"/>
      <c r="C17" s="314"/>
      <c r="D17" s="314"/>
      <c r="E17" s="314"/>
      <c r="F17" s="314"/>
      <c r="G17" s="314"/>
      <c r="H17" s="314"/>
      <c r="I17" s="314"/>
      <c r="J17" s="314"/>
      <c r="K17" s="314"/>
      <c r="L17" s="314"/>
      <c r="M17" s="13"/>
    </row>
    <row r="18" spans="1:19">
      <c r="A18" s="25" t="s">
        <v>74</v>
      </c>
      <c r="B18" s="26"/>
      <c r="C18" s="379"/>
      <c r="D18" s="379"/>
      <c r="E18" s="379"/>
      <c r="F18" s="379"/>
      <c r="G18" s="379"/>
      <c r="H18" s="379"/>
      <c r="I18" s="379"/>
      <c r="J18" s="379"/>
      <c r="K18" s="379"/>
      <c r="L18" s="379"/>
      <c r="M18" s="380"/>
    </row>
    <row r="19" spans="1:19">
      <c r="A19" s="25"/>
      <c r="B19" s="26"/>
      <c r="C19" s="314"/>
      <c r="D19" s="314"/>
      <c r="E19" s="314"/>
      <c r="F19" s="314"/>
      <c r="G19" s="314"/>
      <c r="H19" s="314"/>
      <c r="I19" s="314"/>
      <c r="J19" s="314"/>
      <c r="K19" s="314"/>
      <c r="L19" s="314"/>
      <c r="M19" s="13"/>
    </row>
    <row r="20" spans="1:19" ht="31.5" customHeight="1">
      <c r="A20" s="464" t="s">
        <v>113</v>
      </c>
      <c r="B20" s="465"/>
      <c r="C20" s="379"/>
      <c r="D20" s="379"/>
      <c r="E20" s="379"/>
      <c r="F20" s="379"/>
      <c r="G20" s="379"/>
      <c r="H20" s="379"/>
      <c r="I20" s="379"/>
      <c r="J20" s="379"/>
      <c r="K20" s="379"/>
      <c r="L20" s="379"/>
      <c r="M20" s="380"/>
    </row>
    <row r="21" spans="1:19">
      <c r="A21" s="400"/>
      <c r="B21" s="401"/>
      <c r="C21" s="314"/>
      <c r="D21" s="314"/>
      <c r="E21" s="314"/>
      <c r="F21" s="314"/>
      <c r="G21" s="314"/>
      <c r="H21" s="314"/>
      <c r="I21" s="314"/>
      <c r="J21" s="314"/>
      <c r="K21" s="314"/>
      <c r="L21" s="314"/>
      <c r="M21" s="13"/>
    </row>
    <row r="22" spans="1:19" ht="15.75" thickBot="1">
      <c r="A22" s="14"/>
      <c r="B22" s="29"/>
      <c r="C22" s="29"/>
      <c r="D22" s="29"/>
      <c r="E22" s="29"/>
      <c r="F22" s="29"/>
      <c r="G22" s="29"/>
      <c r="H22" s="29"/>
      <c r="I22" s="29"/>
      <c r="J22" s="29"/>
      <c r="K22" s="29"/>
      <c r="L22" s="29"/>
      <c r="M22" s="16"/>
    </row>
    <row r="23" spans="1:19">
      <c r="A23" s="402" t="s">
        <v>75</v>
      </c>
      <c r="B23" s="403"/>
      <c r="C23" s="403"/>
      <c r="D23" s="403"/>
      <c r="E23" s="403"/>
      <c r="F23" s="403"/>
      <c r="G23" s="403"/>
      <c r="H23" s="403"/>
      <c r="I23" s="403"/>
      <c r="J23" s="403"/>
      <c r="K23" s="403"/>
      <c r="L23" s="403"/>
      <c r="M23" s="404"/>
    </row>
    <row r="24" spans="1:19" ht="15.75" thickBot="1">
      <c r="A24" s="30"/>
      <c r="B24" s="19"/>
      <c r="C24" s="19"/>
      <c r="D24" s="19"/>
      <c r="E24" s="19"/>
      <c r="F24" s="19"/>
      <c r="G24" s="19"/>
      <c r="H24" s="19"/>
      <c r="I24" s="19"/>
      <c r="J24" s="19"/>
      <c r="K24" s="19"/>
      <c r="L24" s="19"/>
      <c r="M24" s="24"/>
    </row>
    <row r="25" spans="1:19" ht="26.25">
      <c r="A25" s="31" t="s">
        <v>76</v>
      </c>
      <c r="B25" s="405" t="s">
        <v>77</v>
      </c>
      <c r="C25" s="406"/>
      <c r="D25" s="406"/>
      <c r="E25" s="406"/>
      <c r="F25" s="406"/>
      <c r="G25" s="406"/>
      <c r="H25" s="406"/>
      <c r="I25" s="407"/>
      <c r="J25" s="306" t="s">
        <v>78</v>
      </c>
      <c r="K25" s="408" t="s">
        <v>79</v>
      </c>
      <c r="L25" s="409"/>
      <c r="M25" s="31" t="s">
        <v>80</v>
      </c>
    </row>
    <row r="26" spans="1:19" ht="15.75" thickBot="1">
      <c r="A26" s="33"/>
      <c r="B26" s="509" t="s">
        <v>386</v>
      </c>
      <c r="C26" s="510"/>
      <c r="D26" s="510"/>
      <c r="E26" s="510"/>
      <c r="F26" s="510"/>
      <c r="G26" s="510"/>
      <c r="H26" s="510"/>
      <c r="I26" s="511"/>
      <c r="J26" s="305">
        <v>1</v>
      </c>
      <c r="K26" s="391" t="s">
        <v>9</v>
      </c>
      <c r="L26" s="393"/>
      <c r="M26" s="35"/>
    </row>
    <row r="27" spans="1:19">
      <c r="A27" s="30"/>
      <c r="B27" s="19"/>
      <c r="C27" s="19"/>
      <c r="D27" s="19"/>
      <c r="E27" s="19"/>
      <c r="F27" s="19"/>
      <c r="G27" s="19"/>
      <c r="H27" s="19"/>
      <c r="I27" s="19"/>
      <c r="J27" s="19"/>
      <c r="K27" s="19"/>
      <c r="L27" s="19"/>
      <c r="M27" s="24"/>
    </row>
    <row r="28" spans="1:19">
      <c r="A28" s="36" t="s">
        <v>81</v>
      </c>
      <c r="B28" s="37"/>
      <c r="C28" s="37"/>
      <c r="D28" s="37"/>
      <c r="E28" s="37"/>
      <c r="F28" s="37"/>
      <c r="G28" s="37"/>
      <c r="H28" s="37"/>
      <c r="I28" s="37"/>
      <c r="J28" s="37"/>
      <c r="K28" s="37"/>
      <c r="L28" s="37"/>
      <c r="M28" s="38"/>
    </row>
    <row r="29" spans="1:19" ht="15.75" thickBot="1">
      <c r="A29" s="39"/>
      <c r="B29" s="40"/>
      <c r="C29" s="40"/>
      <c r="D29" s="40"/>
      <c r="E29" s="40"/>
      <c r="F29" s="40"/>
      <c r="G29" s="40"/>
      <c r="H29" s="41"/>
      <c r="I29" s="41"/>
      <c r="J29" s="40"/>
      <c r="K29" s="40"/>
      <c r="L29" s="40"/>
      <c r="M29" s="42"/>
    </row>
    <row r="30" spans="1:19">
      <c r="A30" s="408" t="s">
        <v>77</v>
      </c>
      <c r="B30" s="419"/>
      <c r="C30" s="419"/>
      <c r="D30" s="419"/>
      <c r="E30" s="420"/>
      <c r="F30" s="421" t="s">
        <v>79</v>
      </c>
      <c r="G30" s="419"/>
      <c r="H30" s="422" t="s">
        <v>82</v>
      </c>
      <c r="I30" s="423"/>
      <c r="J30" s="311" t="s">
        <v>83</v>
      </c>
      <c r="K30" s="421" t="s">
        <v>84</v>
      </c>
      <c r="L30" s="424"/>
      <c r="M30" s="44" t="s">
        <v>85</v>
      </c>
    </row>
    <row r="31" spans="1:19" ht="15.75" thickBot="1">
      <c r="A31" s="425"/>
      <c r="B31" s="426"/>
      <c r="C31" s="426"/>
      <c r="D31" s="426"/>
      <c r="E31" s="427"/>
      <c r="F31" s="428"/>
      <c r="G31" s="429"/>
      <c r="H31" s="430"/>
      <c r="I31" s="427"/>
      <c r="J31" s="72"/>
      <c r="K31" s="428"/>
      <c r="L31" s="429"/>
      <c r="M31" s="231">
        <f>K31*J31</f>
        <v>0</v>
      </c>
      <c r="N31" s="489"/>
      <c r="O31" s="490"/>
      <c r="P31" s="95"/>
      <c r="Q31" s="96"/>
      <c r="R31" s="97"/>
      <c r="S31" s="98"/>
    </row>
    <row r="32" spans="1:19">
      <c r="A32" s="425"/>
      <c r="B32" s="426"/>
      <c r="C32" s="426"/>
      <c r="D32" s="426"/>
      <c r="E32" s="427"/>
      <c r="F32" s="428"/>
      <c r="G32" s="429"/>
      <c r="H32" s="430"/>
      <c r="I32" s="427"/>
      <c r="J32" s="72"/>
      <c r="K32" s="428"/>
      <c r="L32" s="429"/>
      <c r="M32" s="46"/>
    </row>
    <row r="33" spans="1:13" ht="15.75" thickBot="1">
      <c r="A33" s="410"/>
      <c r="B33" s="411"/>
      <c r="C33" s="411"/>
      <c r="D33" s="411"/>
      <c r="E33" s="412"/>
      <c r="F33" s="414"/>
      <c r="G33" s="415"/>
      <c r="H33" s="413"/>
      <c r="I33" s="412"/>
      <c r="J33" s="91"/>
      <c r="K33" s="414"/>
      <c r="L33" s="415"/>
      <c r="M33" s="46"/>
    </row>
    <row r="34" spans="1:13" ht="15.75" thickBot="1">
      <c r="A34" s="416" t="s">
        <v>87</v>
      </c>
      <c r="B34" s="417"/>
      <c r="C34" s="417"/>
      <c r="D34" s="417"/>
      <c r="E34" s="417"/>
      <c r="F34" s="417"/>
      <c r="G34" s="417"/>
      <c r="H34" s="417"/>
      <c r="I34" s="417"/>
      <c r="J34" s="417"/>
      <c r="K34" s="417"/>
      <c r="L34" s="418"/>
      <c r="M34" s="232">
        <f>SUM(M31:M33)</f>
        <v>0</v>
      </c>
    </row>
    <row r="35" spans="1:13">
      <c r="A35" s="50"/>
      <c r="B35" s="19"/>
      <c r="C35" s="19"/>
      <c r="D35" s="19"/>
      <c r="E35" s="19"/>
      <c r="F35" s="19"/>
      <c r="G35" s="19"/>
      <c r="H35" s="19"/>
      <c r="I35" s="19"/>
      <c r="J35" s="19"/>
      <c r="K35" s="19"/>
      <c r="L35" s="19"/>
      <c r="M35" s="24"/>
    </row>
    <row r="36" spans="1:13">
      <c r="A36" s="51" t="s">
        <v>88</v>
      </c>
      <c r="B36" s="52"/>
      <c r="C36" s="52"/>
      <c r="D36" s="52"/>
      <c r="E36" s="52"/>
      <c r="F36" s="52"/>
      <c r="G36" s="52"/>
      <c r="H36" s="52"/>
      <c r="I36" s="52"/>
      <c r="J36" s="52"/>
      <c r="K36" s="52"/>
      <c r="L36" s="52"/>
      <c r="M36" s="53"/>
    </row>
    <row r="37" spans="1:13" ht="15.75" thickBot="1">
      <c r="A37" s="14"/>
      <c r="B37" s="15"/>
      <c r="C37" s="15"/>
      <c r="D37" s="15"/>
      <c r="E37" s="15"/>
      <c r="F37" s="15"/>
      <c r="G37" s="15"/>
      <c r="H37" s="15"/>
      <c r="I37" s="19"/>
      <c r="J37" s="19"/>
      <c r="K37" s="19"/>
      <c r="L37" s="19"/>
      <c r="M37" s="24"/>
    </row>
    <row r="38" spans="1:13">
      <c r="A38" s="408" t="s">
        <v>77</v>
      </c>
      <c r="B38" s="431"/>
      <c r="C38" s="431"/>
      <c r="D38" s="431"/>
      <c r="E38" s="431"/>
      <c r="F38" s="431"/>
      <c r="G38" s="431"/>
      <c r="H38" s="424"/>
      <c r="I38" s="307" t="s">
        <v>79</v>
      </c>
      <c r="J38" s="311" t="s">
        <v>80</v>
      </c>
      <c r="K38" s="421" t="s">
        <v>89</v>
      </c>
      <c r="L38" s="424"/>
      <c r="M38" s="44" t="s">
        <v>85</v>
      </c>
    </row>
    <row r="39" spans="1:13">
      <c r="A39" s="516"/>
      <c r="B39" s="559"/>
      <c r="C39" s="559"/>
      <c r="D39" s="559"/>
      <c r="E39" s="559"/>
      <c r="F39" s="559"/>
      <c r="G39" s="559"/>
      <c r="H39" s="560"/>
      <c r="I39" s="73"/>
      <c r="J39" s="315"/>
      <c r="K39" s="456">
        <v>0</v>
      </c>
      <c r="L39" s="457"/>
      <c r="M39" s="56">
        <f t="shared" ref="M39:M42" si="0">K39*J39</f>
        <v>0</v>
      </c>
    </row>
    <row r="40" spans="1:13">
      <c r="A40" s="425"/>
      <c r="B40" s="426"/>
      <c r="C40" s="426"/>
      <c r="D40" s="426"/>
      <c r="E40" s="426"/>
      <c r="F40" s="426"/>
      <c r="G40" s="426"/>
      <c r="H40" s="427"/>
      <c r="I40" s="73"/>
      <c r="J40" s="315"/>
      <c r="K40" s="456">
        <v>0</v>
      </c>
      <c r="L40" s="457"/>
      <c r="M40" s="56">
        <f t="shared" si="0"/>
        <v>0</v>
      </c>
    </row>
    <row r="41" spans="1:13">
      <c r="A41" s="425"/>
      <c r="B41" s="426"/>
      <c r="C41" s="426"/>
      <c r="D41" s="426"/>
      <c r="E41" s="426"/>
      <c r="F41" s="426"/>
      <c r="G41" s="426"/>
      <c r="H41" s="427"/>
      <c r="I41" s="73"/>
      <c r="J41" s="315"/>
      <c r="K41" s="456">
        <v>0</v>
      </c>
      <c r="L41" s="457"/>
      <c r="M41" s="56">
        <f t="shared" si="0"/>
        <v>0</v>
      </c>
    </row>
    <row r="42" spans="1:13" ht="15.75" thickBot="1">
      <c r="A42" s="410"/>
      <c r="B42" s="411"/>
      <c r="C42" s="411"/>
      <c r="D42" s="411"/>
      <c r="E42" s="411"/>
      <c r="F42" s="411"/>
      <c r="G42" s="411"/>
      <c r="H42" s="412"/>
      <c r="I42" s="74"/>
      <c r="J42" s="211"/>
      <c r="K42" s="466">
        <v>0</v>
      </c>
      <c r="L42" s="467"/>
      <c r="M42" s="56">
        <f t="shared" si="0"/>
        <v>0</v>
      </c>
    </row>
    <row r="43" spans="1:13" ht="15.75" thickBot="1">
      <c r="A43" s="416" t="s">
        <v>87</v>
      </c>
      <c r="B43" s="417"/>
      <c r="C43" s="417"/>
      <c r="D43" s="417"/>
      <c r="E43" s="417"/>
      <c r="F43" s="417"/>
      <c r="G43" s="417"/>
      <c r="H43" s="417"/>
      <c r="I43" s="417"/>
      <c r="J43" s="417"/>
      <c r="K43" s="417"/>
      <c r="L43" s="418"/>
      <c r="M43" s="58">
        <f>SUM(M39:M42)</f>
        <v>0</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311" t="s">
        <v>92</v>
      </c>
      <c r="I47" s="308" t="s">
        <v>93</v>
      </c>
      <c r="J47" s="60" t="s">
        <v>94</v>
      </c>
      <c r="K47" s="421" t="s">
        <v>95</v>
      </c>
      <c r="L47" s="424"/>
      <c r="M47" s="44" t="s">
        <v>85</v>
      </c>
    </row>
    <row r="48" spans="1:13">
      <c r="A48" s="425"/>
      <c r="B48" s="426"/>
      <c r="C48" s="426"/>
      <c r="D48" s="426"/>
      <c r="E48" s="426"/>
      <c r="F48" s="426"/>
      <c r="G48" s="426"/>
      <c r="H48" s="61"/>
      <c r="I48" s="55"/>
      <c r="J48" s="61"/>
      <c r="K48" s="428"/>
      <c r="L48" s="429"/>
    </row>
    <row r="49" spans="1:13" ht="15.75" thickBot="1">
      <c r="A49" s="410"/>
      <c r="B49" s="411"/>
      <c r="C49" s="411"/>
      <c r="D49" s="411"/>
      <c r="E49" s="411"/>
      <c r="F49" s="411"/>
      <c r="G49" s="411"/>
      <c r="H49" s="47"/>
      <c r="I49" s="15"/>
      <c r="J49" s="47"/>
      <c r="K49" s="414"/>
      <c r="L49" s="415"/>
      <c r="M49" s="62"/>
    </row>
    <row r="50" spans="1:13" ht="15.75" thickBot="1">
      <c r="A50" s="416" t="s">
        <v>87</v>
      </c>
      <c r="B50" s="417"/>
      <c r="C50" s="417"/>
      <c r="D50" s="417"/>
      <c r="E50" s="417"/>
      <c r="F50" s="417"/>
      <c r="G50" s="417"/>
      <c r="H50" s="417"/>
      <c r="I50" s="417"/>
      <c r="J50" s="417"/>
      <c r="K50" s="417"/>
      <c r="L50" s="418"/>
      <c r="M50" s="63">
        <f>SUM(M49:M49)</f>
        <v>0</v>
      </c>
    </row>
    <row r="51" spans="1:13">
      <c r="A51" s="30"/>
      <c r="B51" s="19"/>
      <c r="C51" s="19"/>
      <c r="D51" s="19"/>
      <c r="E51" s="19"/>
      <c r="F51" s="19"/>
      <c r="G51" s="19"/>
      <c r="H51" s="19"/>
      <c r="I51" s="19"/>
      <c r="J51" s="19"/>
      <c r="K51" s="19"/>
      <c r="L51" s="19"/>
      <c r="M51" s="24"/>
    </row>
    <row r="52" spans="1:13">
      <c r="A52" s="51" t="s">
        <v>96</v>
      </c>
      <c r="B52" s="52"/>
      <c r="C52" s="52"/>
      <c r="D52" s="52"/>
      <c r="E52" s="52"/>
      <c r="F52" s="52"/>
      <c r="G52" s="52"/>
      <c r="H52" s="52"/>
      <c r="I52" s="52"/>
      <c r="J52" s="52"/>
      <c r="K52" s="52"/>
      <c r="L52" s="52"/>
      <c r="M52" s="53"/>
    </row>
    <row r="53" spans="1:13" ht="15.75" thickBot="1">
      <c r="A53" s="30"/>
      <c r="B53" s="19"/>
      <c r="C53" s="19"/>
      <c r="D53" s="19"/>
      <c r="E53" s="19"/>
      <c r="F53" s="19"/>
      <c r="G53" s="19"/>
      <c r="H53" s="19"/>
      <c r="I53" s="19"/>
      <c r="J53" s="19"/>
      <c r="K53" s="19"/>
      <c r="L53" s="19"/>
      <c r="M53" s="24"/>
    </row>
    <row r="54" spans="1:13" ht="26.25">
      <c r="A54" s="453" t="s">
        <v>97</v>
      </c>
      <c r="B54" s="454"/>
      <c r="C54" s="454"/>
      <c r="D54" s="454"/>
      <c r="E54" s="454"/>
      <c r="F54" s="454"/>
      <c r="G54" s="454"/>
      <c r="H54" s="311" t="s">
        <v>98</v>
      </c>
      <c r="I54" s="312" t="s">
        <v>99</v>
      </c>
      <c r="J54" s="312" t="s">
        <v>100</v>
      </c>
      <c r="K54" s="455" t="s">
        <v>84</v>
      </c>
      <c r="L54" s="455"/>
      <c r="M54" s="65" t="s">
        <v>85</v>
      </c>
    </row>
    <row r="55" spans="1:13" ht="15.75" thickBot="1">
      <c r="A55" s="432" t="s">
        <v>122</v>
      </c>
      <c r="B55" s="433"/>
      <c r="C55" s="433"/>
      <c r="D55" s="433"/>
      <c r="E55" s="433"/>
      <c r="F55" s="433"/>
      <c r="G55" s="433"/>
      <c r="H55" s="3">
        <v>85839.318181818162</v>
      </c>
      <c r="I55" s="4">
        <v>2.2000000000000002</v>
      </c>
      <c r="J55" s="67">
        <f>(I55*H55)</f>
        <v>188846.49999999997</v>
      </c>
      <c r="K55" s="483">
        <v>37</v>
      </c>
      <c r="L55" s="483"/>
      <c r="M55" s="56">
        <f>J55/K55</f>
        <v>5103.9594594594582</v>
      </c>
    </row>
    <row r="56" spans="1:13">
      <c r="A56" s="471"/>
      <c r="B56" s="472"/>
      <c r="C56" s="472"/>
      <c r="D56" s="472"/>
      <c r="E56" s="472"/>
      <c r="F56" s="472"/>
      <c r="G56" s="472"/>
      <c r="H56" s="1"/>
      <c r="I56" s="2"/>
      <c r="J56" s="66"/>
      <c r="K56" s="473"/>
      <c r="L56" s="473"/>
      <c r="M56" s="56"/>
    </row>
    <row r="57" spans="1:13" ht="15.75" thickBot="1">
      <c r="A57" s="432"/>
      <c r="B57" s="433"/>
      <c r="C57" s="433"/>
      <c r="D57" s="433"/>
      <c r="E57" s="433"/>
      <c r="F57" s="433"/>
      <c r="G57" s="433"/>
      <c r="H57" s="3"/>
      <c r="I57" s="4"/>
      <c r="J57" s="67"/>
      <c r="K57" s="434"/>
      <c r="L57" s="434"/>
      <c r="M57" s="68"/>
    </row>
    <row r="58" spans="1:13" ht="15.75" thickBot="1">
      <c r="A58" s="435" t="s">
        <v>87</v>
      </c>
      <c r="B58" s="436"/>
      <c r="C58" s="436"/>
      <c r="D58" s="436"/>
      <c r="E58" s="436"/>
      <c r="F58" s="436"/>
      <c r="G58" s="436"/>
      <c r="H58" s="436"/>
      <c r="I58" s="436"/>
      <c r="J58" s="436"/>
      <c r="K58" s="436"/>
      <c r="L58" s="437"/>
      <c r="M58" s="69">
        <f>SUM(M55:M57)</f>
        <v>5103.9594594594582</v>
      </c>
    </row>
    <row r="59" spans="1:13" ht="15.75" thickBot="1">
      <c r="A59" s="30"/>
      <c r="B59" s="19"/>
      <c r="C59" s="19"/>
      <c r="D59" s="19"/>
      <c r="E59" s="19"/>
      <c r="F59" s="19"/>
      <c r="G59" s="19"/>
      <c r="H59" s="19"/>
      <c r="I59" s="19"/>
      <c r="J59" s="19"/>
      <c r="K59" s="19"/>
      <c r="L59" s="19"/>
      <c r="M59" s="24"/>
    </row>
    <row r="60" spans="1:13" ht="15.75" thickBot="1">
      <c r="A60" s="416" t="s">
        <v>101</v>
      </c>
      <c r="B60" s="417"/>
      <c r="C60" s="417"/>
      <c r="D60" s="417"/>
      <c r="E60" s="417"/>
      <c r="F60" s="417"/>
      <c r="G60" s="417"/>
      <c r="H60" s="417"/>
      <c r="I60" s="417"/>
      <c r="J60" s="417"/>
      <c r="K60" s="417"/>
      <c r="L60" s="418"/>
      <c r="M60" s="70">
        <f>ROUND(M58+M50+M43+M34,0)</f>
        <v>5104</v>
      </c>
    </row>
    <row r="61" spans="1:13">
      <c r="A61" s="30"/>
      <c r="B61" s="19"/>
      <c r="C61" s="19"/>
      <c r="D61" s="19"/>
      <c r="E61" s="19"/>
      <c r="F61" s="19"/>
      <c r="G61" s="19"/>
      <c r="H61" s="19"/>
      <c r="I61" s="19"/>
      <c r="J61" s="19"/>
      <c r="K61" s="19"/>
      <c r="L61" s="19"/>
      <c r="M61" s="24"/>
    </row>
    <row r="62" spans="1:13">
      <c r="A62" s="51" t="s">
        <v>102</v>
      </c>
      <c r="B62" s="52"/>
      <c r="C62" s="52"/>
      <c r="D62" s="52"/>
      <c r="E62" s="52"/>
      <c r="F62" s="52"/>
      <c r="G62" s="52"/>
      <c r="H62" s="52"/>
      <c r="I62" s="52"/>
      <c r="J62" s="52"/>
      <c r="K62" s="52"/>
      <c r="L62" s="52"/>
      <c r="M62" s="53"/>
    </row>
    <row r="63" spans="1:13" ht="15.75" thickBot="1">
      <c r="A63" s="30"/>
      <c r="B63" s="19"/>
      <c r="C63" s="19"/>
      <c r="D63" s="19"/>
      <c r="E63" s="19"/>
      <c r="F63" s="19"/>
      <c r="G63" s="19"/>
      <c r="H63" s="19"/>
      <c r="I63" s="19"/>
      <c r="J63" s="19"/>
      <c r="K63" s="19"/>
      <c r="L63" s="19"/>
      <c r="M63" s="24"/>
    </row>
    <row r="64" spans="1:13" ht="15.75" thickBot="1">
      <c r="A64" s="438" t="s">
        <v>103</v>
      </c>
      <c r="B64" s="439"/>
      <c r="C64" s="439"/>
      <c r="D64" s="439"/>
      <c r="E64" s="439"/>
      <c r="F64" s="439"/>
      <c r="G64" s="439"/>
      <c r="H64" s="309"/>
      <c r="I64" s="310"/>
      <c r="J64" s="81" t="s">
        <v>104</v>
      </c>
      <c r="K64" s="440" t="s">
        <v>105</v>
      </c>
      <c r="L64" s="441"/>
      <c r="M64" s="82"/>
    </row>
    <row r="65" spans="1:13">
      <c r="A65" s="442" t="s">
        <v>106</v>
      </c>
      <c r="B65" s="443"/>
      <c r="C65" s="443"/>
      <c r="D65" s="443"/>
      <c r="E65" s="443"/>
      <c r="F65" s="443"/>
      <c r="G65" s="443"/>
      <c r="H65" s="83"/>
      <c r="I65" s="84"/>
      <c r="J65" s="85">
        <v>0.19</v>
      </c>
      <c r="K65" s="444">
        <f>M60*J65</f>
        <v>969.76</v>
      </c>
      <c r="L65" s="444"/>
      <c r="M65" s="86"/>
    </row>
    <row r="66" spans="1:13">
      <c r="A66" s="447" t="s">
        <v>107</v>
      </c>
      <c r="B66" s="448"/>
      <c r="C66" s="448"/>
      <c r="D66" s="448"/>
      <c r="E66" s="448"/>
      <c r="F66" s="448"/>
      <c r="G66" s="449"/>
      <c r="H66" s="77"/>
      <c r="I66" s="78"/>
      <c r="J66" s="5">
        <v>0.01</v>
      </c>
      <c r="K66" s="445">
        <f>M60*J66</f>
        <v>51.04</v>
      </c>
      <c r="L66" s="445"/>
      <c r="M66" s="6"/>
    </row>
    <row r="67" spans="1:13">
      <c r="A67" s="447" t="s">
        <v>108</v>
      </c>
      <c r="B67" s="448"/>
      <c r="C67" s="448"/>
      <c r="D67" s="448"/>
      <c r="E67" s="448"/>
      <c r="F67" s="448"/>
      <c r="G67" s="449"/>
      <c r="H67" s="77"/>
      <c r="I67" s="78"/>
      <c r="J67" s="5">
        <v>0.05</v>
      </c>
      <c r="K67" s="445">
        <f>M60*J67</f>
        <v>255.20000000000002</v>
      </c>
      <c r="L67" s="445"/>
      <c r="M67" s="6"/>
    </row>
    <row r="68" spans="1:13" ht="15.75" thickBot="1">
      <c r="A68" s="450" t="s">
        <v>117</v>
      </c>
      <c r="B68" s="451"/>
      <c r="C68" s="451"/>
      <c r="D68" s="451"/>
      <c r="E68" s="451"/>
      <c r="F68" s="451"/>
      <c r="G68" s="452"/>
      <c r="H68" s="87"/>
      <c r="I68" s="88"/>
      <c r="J68" s="89">
        <v>0.19</v>
      </c>
      <c r="K68" s="446">
        <f>K67*J68</f>
        <v>48.488000000000007</v>
      </c>
      <c r="L68" s="446"/>
      <c r="M68" s="90"/>
    </row>
    <row r="69" spans="1:13" ht="15.75" thickBot="1">
      <c r="A69" s="435" t="s">
        <v>87</v>
      </c>
      <c r="B69" s="436"/>
      <c r="C69" s="436"/>
      <c r="D69" s="436"/>
      <c r="E69" s="436"/>
      <c r="F69" s="436"/>
      <c r="G69" s="436"/>
      <c r="H69" s="436"/>
      <c r="I69" s="436"/>
      <c r="J69" s="436"/>
      <c r="K69" s="436"/>
      <c r="L69" s="437"/>
      <c r="M69" s="76">
        <f>SUM(K65:L68)</f>
        <v>1324.4880000000001</v>
      </c>
    </row>
    <row r="70" spans="1:13" ht="15.75" thickBot="1">
      <c r="A70" s="30"/>
      <c r="B70" s="19"/>
      <c r="C70" s="19"/>
      <c r="D70" s="19"/>
      <c r="E70" s="19"/>
      <c r="F70" s="19"/>
      <c r="G70" s="19"/>
      <c r="H70" s="19"/>
      <c r="I70" s="19"/>
      <c r="J70" s="19"/>
      <c r="K70" s="19"/>
      <c r="L70" s="19"/>
      <c r="M70" s="24"/>
    </row>
    <row r="71" spans="1:13" ht="15.75" thickBot="1">
      <c r="A71" s="416" t="s">
        <v>109</v>
      </c>
      <c r="B71" s="417"/>
      <c r="C71" s="417"/>
      <c r="D71" s="417"/>
      <c r="E71" s="417"/>
      <c r="F71" s="417"/>
      <c r="G71" s="417"/>
      <c r="H71" s="417"/>
      <c r="I71" s="417"/>
      <c r="J71" s="417"/>
      <c r="K71" s="417"/>
      <c r="L71" s="418"/>
      <c r="M71" s="71">
        <f>ROUND(M60+M69,0)</f>
        <v>6428</v>
      </c>
    </row>
  </sheetData>
  <mergeCells count="78">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N31:O31"/>
    <mergeCell ref="A32:E32"/>
    <mergeCell ref="F32:G32"/>
    <mergeCell ref="H32:I32"/>
    <mergeCell ref="K32:L32"/>
    <mergeCell ref="A33:E33"/>
    <mergeCell ref="F33:G33"/>
    <mergeCell ref="H33:I33"/>
    <mergeCell ref="K33:L33"/>
    <mergeCell ref="A34:L34"/>
    <mergeCell ref="A38:H38"/>
    <mergeCell ref="K38:L38"/>
    <mergeCell ref="A39:H39"/>
    <mergeCell ref="K39:L39"/>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G56"/>
    <mergeCell ref="K56:L56"/>
    <mergeCell ref="A57:G57"/>
    <mergeCell ref="K57:L57"/>
    <mergeCell ref="A58:L58"/>
    <mergeCell ref="A60:L60"/>
    <mergeCell ref="A64:G64"/>
    <mergeCell ref="K64:L64"/>
    <mergeCell ref="A65:G65"/>
    <mergeCell ref="K65:L65"/>
    <mergeCell ref="A69:L69"/>
    <mergeCell ref="A71:L71"/>
    <mergeCell ref="A66:G66"/>
    <mergeCell ref="K66:L66"/>
    <mergeCell ref="A67:G67"/>
    <mergeCell ref="K67:L67"/>
    <mergeCell ref="A68:G68"/>
    <mergeCell ref="K68:L68"/>
  </mergeCells>
  <pageMargins left="0.7" right="0.7" top="0.75" bottom="0.75" header="0.3" footer="0.3"/>
  <pageSetup scale="5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topLeftCell="A40" zoomScale="80" zoomScaleNormal="100" zoomScaleSheetLayoutView="80" workbookViewId="0">
      <selection activeCell="M58" sqref="M58"/>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108"/>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109" t="s">
        <v>71</v>
      </c>
      <c r="H12" s="394"/>
      <c r="I12" s="394"/>
      <c r="J12" s="23"/>
      <c r="K12" s="23"/>
      <c r="L12" s="23"/>
      <c r="M12" s="24"/>
    </row>
    <row r="13" spans="1:13">
      <c r="A13" s="25" t="s">
        <v>72</v>
      </c>
      <c r="B13" s="26"/>
      <c r="C13" s="395" t="s">
        <v>136</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101"/>
      <c r="D15" s="101"/>
      <c r="E15" s="101"/>
      <c r="F15" s="101"/>
      <c r="G15" s="101"/>
      <c r="H15" s="101"/>
      <c r="I15" s="101"/>
      <c r="J15" s="101"/>
      <c r="K15" s="101"/>
      <c r="L15" s="101"/>
      <c r="M15" s="102"/>
    </row>
    <row r="16" spans="1:13">
      <c r="A16" s="25" t="s">
        <v>73</v>
      </c>
      <c r="B16" s="26"/>
      <c r="C16" s="379"/>
      <c r="D16" s="379"/>
      <c r="E16" s="379"/>
      <c r="F16" s="379"/>
      <c r="G16" s="379"/>
      <c r="H16" s="379"/>
      <c r="I16" s="379"/>
      <c r="J16" s="379"/>
      <c r="K16" s="379"/>
      <c r="L16" s="379"/>
      <c r="M16" s="380"/>
    </row>
    <row r="17" spans="1:13">
      <c r="A17" s="25"/>
      <c r="B17" s="26"/>
      <c r="C17" s="109"/>
      <c r="D17" s="109"/>
      <c r="E17" s="109"/>
      <c r="F17" s="109"/>
      <c r="G17" s="109"/>
      <c r="H17" s="109"/>
      <c r="I17" s="109"/>
      <c r="J17" s="109"/>
      <c r="K17" s="109"/>
      <c r="L17" s="109"/>
      <c r="M17" s="13"/>
    </row>
    <row r="18" spans="1:13">
      <c r="A18" s="25" t="s">
        <v>74</v>
      </c>
      <c r="B18" s="26"/>
      <c r="C18" s="379"/>
      <c r="D18" s="379"/>
      <c r="E18" s="379"/>
      <c r="F18" s="379"/>
      <c r="G18" s="379"/>
      <c r="H18" s="379"/>
      <c r="I18" s="379"/>
      <c r="J18" s="379"/>
      <c r="K18" s="379"/>
      <c r="L18" s="379"/>
      <c r="M18" s="380"/>
    </row>
    <row r="19" spans="1:13">
      <c r="A19" s="25"/>
      <c r="B19" s="26"/>
      <c r="C19" s="109"/>
      <c r="D19" s="109"/>
      <c r="E19" s="109"/>
      <c r="F19" s="109"/>
      <c r="G19" s="109"/>
      <c r="H19" s="109"/>
      <c r="I19" s="109"/>
      <c r="J19" s="109"/>
      <c r="K19" s="109"/>
      <c r="L19" s="109"/>
      <c r="M19" s="13"/>
    </row>
    <row r="20" spans="1:13" ht="31.5" customHeight="1">
      <c r="A20" s="464" t="s">
        <v>113</v>
      </c>
      <c r="B20" s="465"/>
      <c r="C20" s="379"/>
      <c r="D20" s="379"/>
      <c r="E20" s="379"/>
      <c r="F20" s="379"/>
      <c r="G20" s="379"/>
      <c r="H20" s="379"/>
      <c r="I20" s="379"/>
      <c r="J20" s="379"/>
      <c r="K20" s="379"/>
      <c r="L20" s="379"/>
      <c r="M20" s="380"/>
    </row>
    <row r="21" spans="1:13">
      <c r="A21" s="400"/>
      <c r="B21" s="401"/>
      <c r="C21" s="109"/>
      <c r="D21" s="109"/>
      <c r="E21" s="109"/>
      <c r="F21" s="109"/>
      <c r="G21" s="109"/>
      <c r="H21" s="109"/>
      <c r="I21" s="109"/>
      <c r="J21" s="109"/>
      <c r="K21" s="109"/>
      <c r="L21" s="109"/>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103" t="s">
        <v>78</v>
      </c>
      <c r="K25" s="408" t="s">
        <v>79</v>
      </c>
      <c r="L25" s="409"/>
      <c r="M25" s="31" t="s">
        <v>80</v>
      </c>
    </row>
    <row r="26" spans="1:13" ht="15.75" thickBot="1">
      <c r="A26" s="33"/>
      <c r="B26" s="391" t="s">
        <v>144</v>
      </c>
      <c r="C26" s="392"/>
      <c r="D26" s="392"/>
      <c r="E26" s="392"/>
      <c r="F26" s="392"/>
      <c r="G26" s="392"/>
      <c r="H26" s="392"/>
      <c r="I26" s="393"/>
      <c r="J26" s="100">
        <v>1</v>
      </c>
      <c r="K26" s="391" t="s">
        <v>9</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110" t="s">
        <v>83</v>
      </c>
      <c r="K30" s="421" t="s">
        <v>84</v>
      </c>
      <c r="L30" s="424"/>
      <c r="M30" s="44" t="s">
        <v>85</v>
      </c>
    </row>
    <row r="31" spans="1:13">
      <c r="A31" s="425" t="s">
        <v>134</v>
      </c>
      <c r="B31" s="426"/>
      <c r="C31" s="426"/>
      <c r="D31" s="426"/>
      <c r="E31" s="427"/>
      <c r="F31" s="428" t="s">
        <v>123</v>
      </c>
      <c r="G31" s="429"/>
      <c r="H31" s="430" t="s">
        <v>86</v>
      </c>
      <c r="I31" s="427"/>
      <c r="J31" s="72">
        <v>70067</v>
      </c>
      <c r="K31" s="468">
        <v>100</v>
      </c>
      <c r="L31" s="469"/>
      <c r="M31" s="46">
        <f>J31/K31</f>
        <v>700.67</v>
      </c>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700.67</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105" t="s">
        <v>79</v>
      </c>
      <c r="J37" s="110" t="s">
        <v>80</v>
      </c>
      <c r="K37" s="421" t="s">
        <v>89</v>
      </c>
      <c r="L37" s="424"/>
      <c r="M37" s="44" t="s">
        <v>85</v>
      </c>
    </row>
    <row r="38" spans="1:13">
      <c r="A38" s="425"/>
      <c r="B38" s="426"/>
      <c r="C38" s="426"/>
      <c r="D38" s="426"/>
      <c r="E38" s="426"/>
      <c r="F38" s="426"/>
      <c r="G38" s="426"/>
      <c r="H38" s="427"/>
      <c r="I38" s="73"/>
      <c r="J38" s="45"/>
      <c r="K38" s="456"/>
      <c r="L38" s="457"/>
      <c r="M38" s="56"/>
    </row>
    <row r="39" spans="1:13">
      <c r="A39" s="425"/>
      <c r="B39" s="426"/>
      <c r="C39" s="426"/>
      <c r="D39" s="426"/>
      <c r="E39" s="426"/>
      <c r="F39" s="426"/>
      <c r="G39" s="426"/>
      <c r="H39" s="427"/>
      <c r="I39" s="73"/>
      <c r="J39" s="45"/>
      <c r="K39" s="456"/>
      <c r="L39" s="457"/>
      <c r="M39" s="56"/>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ht="15.75" thickBot="1">
      <c r="A42" s="410"/>
      <c r="B42" s="411"/>
      <c r="C42" s="411"/>
      <c r="D42" s="411"/>
      <c r="E42" s="411"/>
      <c r="F42" s="411"/>
      <c r="G42" s="411"/>
      <c r="H42" s="412"/>
      <c r="I42" s="74"/>
      <c r="J42" s="57"/>
      <c r="K42" s="466"/>
      <c r="L42" s="467"/>
      <c r="M42" s="75"/>
    </row>
    <row r="43" spans="1:13" ht="15.75" thickBot="1">
      <c r="A43" s="416" t="s">
        <v>87</v>
      </c>
      <c r="B43" s="417"/>
      <c r="C43" s="417"/>
      <c r="D43" s="417"/>
      <c r="E43" s="417"/>
      <c r="F43" s="417"/>
      <c r="G43" s="417"/>
      <c r="H43" s="417"/>
      <c r="I43" s="417"/>
      <c r="J43" s="417"/>
      <c r="K43" s="417"/>
      <c r="L43" s="418"/>
      <c r="M43" s="58">
        <f>SUM(M38:M42)</f>
        <v>0</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110" t="s">
        <v>92</v>
      </c>
      <c r="I47" s="104" t="s">
        <v>93</v>
      </c>
      <c r="J47" s="60" t="s">
        <v>94</v>
      </c>
      <c r="K47" s="421" t="s">
        <v>95</v>
      </c>
      <c r="L47" s="424"/>
      <c r="M47" s="44" t="s">
        <v>85</v>
      </c>
    </row>
    <row r="48" spans="1:13">
      <c r="A48" s="425"/>
      <c r="B48" s="426"/>
      <c r="C48" s="426"/>
      <c r="D48" s="426"/>
      <c r="E48" s="426"/>
      <c r="F48" s="426"/>
      <c r="G48" s="426"/>
      <c r="H48" s="61"/>
      <c r="I48" s="55"/>
      <c r="J48" s="61"/>
      <c r="K48" s="428"/>
      <c r="L48" s="429"/>
      <c r="M48" s="62"/>
    </row>
    <row r="49" spans="1:15" ht="15.75" thickBot="1">
      <c r="A49" s="410"/>
      <c r="B49" s="411"/>
      <c r="C49" s="411"/>
      <c r="D49" s="411"/>
      <c r="E49" s="411"/>
      <c r="F49" s="411"/>
      <c r="G49" s="411"/>
      <c r="H49" s="47"/>
      <c r="I49" s="15"/>
      <c r="J49" s="47"/>
      <c r="K49" s="414"/>
      <c r="L49" s="415"/>
      <c r="M49" s="48"/>
    </row>
    <row r="50" spans="1:15" ht="15.75" thickBot="1">
      <c r="A50" s="416" t="s">
        <v>87</v>
      </c>
      <c r="B50" s="417"/>
      <c r="C50" s="417"/>
      <c r="D50" s="417"/>
      <c r="E50" s="417"/>
      <c r="F50" s="417"/>
      <c r="G50" s="417"/>
      <c r="H50" s="417"/>
      <c r="I50" s="417"/>
      <c r="J50" s="417"/>
      <c r="K50" s="417"/>
      <c r="L50" s="418"/>
      <c r="M50" s="63">
        <f>SUM(M48:M49)</f>
        <v>0</v>
      </c>
    </row>
    <row r="51" spans="1:15">
      <c r="A51" s="30"/>
      <c r="B51" s="19"/>
      <c r="C51" s="19"/>
      <c r="D51" s="19"/>
      <c r="E51" s="19"/>
      <c r="F51" s="19"/>
      <c r="G51" s="19"/>
      <c r="H51" s="19"/>
      <c r="I51" s="19"/>
      <c r="J51" s="19"/>
      <c r="K51" s="19"/>
      <c r="L51" s="19"/>
      <c r="M51" s="24"/>
    </row>
    <row r="52" spans="1:15">
      <c r="A52" s="51" t="s">
        <v>96</v>
      </c>
      <c r="B52" s="52"/>
      <c r="C52" s="52"/>
      <c r="D52" s="52"/>
      <c r="E52" s="52"/>
      <c r="F52" s="52"/>
      <c r="G52" s="52"/>
      <c r="H52" s="52"/>
      <c r="I52" s="52"/>
      <c r="J52" s="52"/>
      <c r="K52" s="52"/>
      <c r="L52" s="52"/>
      <c r="M52" s="53"/>
    </row>
    <row r="53" spans="1:15" ht="15.75" thickBot="1">
      <c r="A53" s="30"/>
      <c r="B53" s="19"/>
      <c r="C53" s="19"/>
      <c r="D53" s="19"/>
      <c r="E53" s="19"/>
      <c r="F53" s="19"/>
      <c r="G53" s="19"/>
      <c r="H53" s="19"/>
      <c r="I53" s="19"/>
      <c r="J53" s="19"/>
      <c r="K53" s="19"/>
      <c r="L53" s="19"/>
      <c r="M53" s="24"/>
    </row>
    <row r="54" spans="1:15" ht="26.25">
      <c r="A54" s="453" t="s">
        <v>97</v>
      </c>
      <c r="B54" s="454"/>
      <c r="C54" s="454"/>
      <c r="D54" s="454"/>
      <c r="E54" s="454"/>
      <c r="F54" s="454"/>
      <c r="G54" s="454"/>
      <c r="H54" s="110" t="s">
        <v>98</v>
      </c>
      <c r="I54" s="111" t="s">
        <v>99</v>
      </c>
      <c r="J54" s="111" t="s">
        <v>100</v>
      </c>
      <c r="K54" s="455" t="s">
        <v>84</v>
      </c>
      <c r="L54" s="455"/>
      <c r="M54" s="65" t="s">
        <v>85</v>
      </c>
    </row>
    <row r="55" spans="1:15" ht="15.75" thickBot="1">
      <c r="A55" s="432" t="s">
        <v>122</v>
      </c>
      <c r="B55" s="433"/>
      <c r="C55" s="433"/>
      <c r="D55" s="433"/>
      <c r="E55" s="433"/>
      <c r="F55" s="433"/>
      <c r="G55" s="433"/>
      <c r="H55" s="3">
        <v>85839.318181818162</v>
      </c>
      <c r="I55" s="4">
        <v>2.2000000000000002</v>
      </c>
      <c r="J55" s="67">
        <f>(I55*H55)</f>
        <v>188846.49999999997</v>
      </c>
      <c r="K55" s="434">
        <v>23.879444061262848</v>
      </c>
      <c r="L55" s="434"/>
      <c r="M55" s="68">
        <f>J55/K55</f>
        <v>7908.3290011071113</v>
      </c>
    </row>
    <row r="56" spans="1:15" ht="15.75" thickBot="1">
      <c r="A56" s="435" t="s">
        <v>87</v>
      </c>
      <c r="B56" s="436"/>
      <c r="C56" s="436"/>
      <c r="D56" s="436"/>
      <c r="E56" s="436"/>
      <c r="F56" s="436"/>
      <c r="G56" s="436"/>
      <c r="H56" s="436"/>
      <c r="I56" s="436"/>
      <c r="J56" s="436"/>
      <c r="K56" s="436"/>
      <c r="L56" s="437"/>
      <c r="M56" s="69">
        <f>SUM(M55:M55)</f>
        <v>7908.3290011071113</v>
      </c>
      <c r="O56" s="155"/>
    </row>
    <row r="57" spans="1:15" ht="15.75" thickBot="1">
      <c r="A57" s="30"/>
      <c r="B57" s="19"/>
      <c r="C57" s="19"/>
      <c r="D57" s="19"/>
      <c r="E57" s="19"/>
      <c r="F57" s="19"/>
      <c r="G57" s="19"/>
      <c r="H57" s="19"/>
      <c r="I57" s="19"/>
      <c r="J57" s="19"/>
      <c r="K57" s="19"/>
      <c r="L57" s="19"/>
      <c r="M57" s="24"/>
    </row>
    <row r="58" spans="1:15" ht="15.75" thickBot="1">
      <c r="A58" s="416" t="s">
        <v>101</v>
      </c>
      <c r="B58" s="417"/>
      <c r="C58" s="417"/>
      <c r="D58" s="417"/>
      <c r="E58" s="417"/>
      <c r="F58" s="417"/>
      <c r="G58" s="417"/>
      <c r="H58" s="417"/>
      <c r="I58" s="417"/>
      <c r="J58" s="417"/>
      <c r="K58" s="417"/>
      <c r="L58" s="418"/>
      <c r="M58" s="70">
        <f>ROUND(M56+M50+M43+M33,0)</f>
        <v>8609</v>
      </c>
      <c r="N58" s="155"/>
    </row>
    <row r="59" spans="1:15">
      <c r="A59" s="30"/>
      <c r="B59" s="19"/>
      <c r="C59" s="19"/>
      <c r="D59" s="19"/>
      <c r="E59" s="19"/>
      <c r="F59" s="19"/>
      <c r="G59" s="19"/>
      <c r="H59" s="19"/>
      <c r="I59" s="19"/>
      <c r="J59" s="19"/>
      <c r="K59" s="19"/>
      <c r="L59" s="19"/>
      <c r="M59" s="24"/>
    </row>
    <row r="60" spans="1:15">
      <c r="A60" s="51" t="s">
        <v>102</v>
      </c>
      <c r="B60" s="52"/>
      <c r="C60" s="52"/>
      <c r="D60" s="52"/>
      <c r="E60" s="52"/>
      <c r="F60" s="52"/>
      <c r="G60" s="52"/>
      <c r="H60" s="52"/>
      <c r="I60" s="52"/>
      <c r="J60" s="52"/>
      <c r="K60" s="52"/>
      <c r="L60" s="52"/>
      <c r="M60" s="53"/>
    </row>
    <row r="61" spans="1:15" ht="15.75" thickBot="1">
      <c r="A61" s="30"/>
      <c r="B61" s="19"/>
      <c r="C61" s="19"/>
      <c r="D61" s="19"/>
      <c r="E61" s="19"/>
      <c r="F61" s="19"/>
      <c r="G61" s="19"/>
      <c r="H61" s="19"/>
      <c r="I61" s="19"/>
      <c r="J61" s="19"/>
      <c r="K61" s="19"/>
      <c r="L61" s="19"/>
      <c r="M61" s="24"/>
    </row>
    <row r="62" spans="1:15" ht="15.75" thickBot="1">
      <c r="A62" s="438" t="s">
        <v>103</v>
      </c>
      <c r="B62" s="439"/>
      <c r="C62" s="439"/>
      <c r="D62" s="439"/>
      <c r="E62" s="439"/>
      <c r="F62" s="439"/>
      <c r="G62" s="439"/>
      <c r="H62" s="106"/>
      <c r="I62" s="107"/>
      <c r="J62" s="81" t="s">
        <v>104</v>
      </c>
      <c r="K62" s="440" t="s">
        <v>105</v>
      </c>
      <c r="L62" s="441"/>
      <c r="M62" s="82"/>
    </row>
    <row r="63" spans="1:15">
      <c r="A63" s="442" t="s">
        <v>106</v>
      </c>
      <c r="B63" s="443"/>
      <c r="C63" s="443"/>
      <c r="D63" s="443"/>
      <c r="E63" s="443"/>
      <c r="F63" s="443"/>
      <c r="G63" s="443"/>
      <c r="H63" s="83"/>
      <c r="I63" s="84"/>
      <c r="J63" s="85">
        <v>0.19</v>
      </c>
      <c r="K63" s="444">
        <f>M58*J63</f>
        <v>1635.71</v>
      </c>
      <c r="L63" s="444"/>
      <c r="M63" s="86"/>
    </row>
    <row r="64" spans="1:15">
      <c r="A64" s="447" t="s">
        <v>107</v>
      </c>
      <c r="B64" s="448"/>
      <c r="C64" s="448"/>
      <c r="D64" s="448"/>
      <c r="E64" s="448"/>
      <c r="F64" s="448"/>
      <c r="G64" s="449"/>
      <c r="H64" s="77"/>
      <c r="I64" s="78"/>
      <c r="J64" s="5">
        <v>0.01</v>
      </c>
      <c r="K64" s="445">
        <f>M58*J64</f>
        <v>86.09</v>
      </c>
      <c r="L64" s="445"/>
      <c r="M64" s="6"/>
    </row>
    <row r="65" spans="1:13">
      <c r="A65" s="447" t="s">
        <v>108</v>
      </c>
      <c r="B65" s="448"/>
      <c r="C65" s="448"/>
      <c r="D65" s="448"/>
      <c r="E65" s="448"/>
      <c r="F65" s="448"/>
      <c r="G65" s="449"/>
      <c r="H65" s="77"/>
      <c r="I65" s="78"/>
      <c r="J65" s="5">
        <v>0.05</v>
      </c>
      <c r="K65" s="445">
        <f>M58*J65</f>
        <v>430.45000000000005</v>
      </c>
      <c r="L65" s="445"/>
      <c r="M65" s="6"/>
    </row>
    <row r="66" spans="1:13" ht="15.75" thickBot="1">
      <c r="A66" s="450" t="s">
        <v>117</v>
      </c>
      <c r="B66" s="451"/>
      <c r="C66" s="451"/>
      <c r="D66" s="451"/>
      <c r="E66" s="451"/>
      <c r="F66" s="451"/>
      <c r="G66" s="452"/>
      <c r="H66" s="87"/>
      <c r="I66" s="88"/>
      <c r="J66" s="89">
        <v>0.19</v>
      </c>
      <c r="K66" s="446">
        <f>K65*J66</f>
        <v>81.785500000000013</v>
      </c>
      <c r="L66" s="446"/>
      <c r="M66" s="90"/>
    </row>
    <row r="67" spans="1:13" ht="15.75" thickBot="1">
      <c r="A67" s="435" t="s">
        <v>87</v>
      </c>
      <c r="B67" s="436"/>
      <c r="C67" s="436"/>
      <c r="D67" s="436"/>
      <c r="E67" s="436"/>
      <c r="F67" s="436"/>
      <c r="G67" s="436"/>
      <c r="H67" s="436"/>
      <c r="I67" s="436"/>
      <c r="J67" s="436"/>
      <c r="K67" s="436"/>
      <c r="L67" s="437"/>
      <c r="M67" s="76">
        <f>SUM(K63:L66)</f>
        <v>2234.0355</v>
      </c>
    </row>
    <row r="68" spans="1:13" ht="15.75" thickBot="1">
      <c r="A68" s="30"/>
      <c r="B68" s="19"/>
      <c r="C68" s="19"/>
      <c r="D68" s="19"/>
      <c r="E68" s="19"/>
      <c r="F68" s="19"/>
      <c r="G68" s="19"/>
      <c r="H68" s="19"/>
      <c r="I68" s="19"/>
      <c r="J68" s="19"/>
      <c r="K68" s="19"/>
      <c r="L68" s="19"/>
      <c r="M68" s="24"/>
    </row>
    <row r="69" spans="1:13" ht="15.75" thickBot="1">
      <c r="A69" s="416" t="s">
        <v>109</v>
      </c>
      <c r="B69" s="417"/>
      <c r="C69" s="417"/>
      <c r="D69" s="417"/>
      <c r="E69" s="417"/>
      <c r="F69" s="417"/>
      <c r="G69" s="417"/>
      <c r="H69" s="417"/>
      <c r="I69" s="417"/>
      <c r="J69" s="417"/>
      <c r="K69" s="417"/>
      <c r="L69" s="418"/>
      <c r="M69" s="71">
        <f>ROUND(M58+M67,0)</f>
        <v>10843</v>
      </c>
    </row>
  </sheetData>
  <mergeCells count="71">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L56"/>
    <mergeCell ref="A58:L58"/>
    <mergeCell ref="A62:G62"/>
    <mergeCell ref="K62:L62"/>
    <mergeCell ref="A66:G66"/>
    <mergeCell ref="K66:L66"/>
    <mergeCell ref="A67:L67"/>
    <mergeCell ref="A69:L69"/>
    <mergeCell ref="A63:G63"/>
    <mergeCell ref="K63:L63"/>
    <mergeCell ref="A64:G64"/>
    <mergeCell ref="K64:L64"/>
    <mergeCell ref="A65:G65"/>
    <mergeCell ref="K65:L65"/>
  </mergeCells>
  <pageMargins left="0.7" right="0.7" top="0.75" bottom="0.75" header="0.3" footer="0.3"/>
  <pageSetup scale="57"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view="pageBreakPreview" topLeftCell="A43" zoomScale="80" zoomScaleNormal="100" zoomScaleSheetLayoutView="80" workbookViewId="0">
      <selection activeCell="M58" sqref="M58"/>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313"/>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314" t="s">
        <v>71</v>
      </c>
      <c r="H12" s="394"/>
      <c r="I12" s="394"/>
      <c r="J12" s="23"/>
      <c r="K12" s="23"/>
      <c r="L12" s="23"/>
      <c r="M12" s="24"/>
    </row>
    <row r="13" spans="1:13">
      <c r="A13" s="25" t="s">
        <v>72</v>
      </c>
      <c r="B13" s="26"/>
      <c r="C13" s="395" t="s">
        <v>136</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316"/>
      <c r="D15" s="316"/>
      <c r="E15" s="316"/>
      <c r="F15" s="316"/>
      <c r="G15" s="316"/>
      <c r="H15" s="316"/>
      <c r="I15" s="316"/>
      <c r="J15" s="316"/>
      <c r="K15" s="316"/>
      <c r="L15" s="316"/>
      <c r="M15" s="317"/>
    </row>
    <row r="16" spans="1:13">
      <c r="A16" s="25" t="s">
        <v>73</v>
      </c>
      <c r="B16" s="26"/>
      <c r="C16" s="379"/>
      <c r="D16" s="379"/>
      <c r="E16" s="379"/>
      <c r="F16" s="379"/>
      <c r="G16" s="379"/>
      <c r="H16" s="379"/>
      <c r="I16" s="379"/>
      <c r="J16" s="379"/>
      <c r="K16" s="379"/>
      <c r="L16" s="379"/>
      <c r="M16" s="380"/>
    </row>
    <row r="17" spans="1:13">
      <c r="A17" s="25"/>
      <c r="B17" s="26"/>
      <c r="C17" s="314"/>
      <c r="D17" s="314"/>
      <c r="E17" s="314"/>
      <c r="F17" s="314"/>
      <c r="G17" s="314"/>
      <c r="H17" s="314"/>
      <c r="I17" s="314"/>
      <c r="J17" s="314"/>
      <c r="K17" s="314"/>
      <c r="L17" s="314"/>
      <c r="M17" s="13"/>
    </row>
    <row r="18" spans="1:13">
      <c r="A18" s="25" t="s">
        <v>74</v>
      </c>
      <c r="B18" s="26"/>
      <c r="C18" s="379"/>
      <c r="D18" s="379"/>
      <c r="E18" s="379"/>
      <c r="F18" s="379"/>
      <c r="G18" s="379"/>
      <c r="H18" s="379"/>
      <c r="I18" s="379"/>
      <c r="J18" s="379"/>
      <c r="K18" s="379"/>
      <c r="L18" s="379"/>
      <c r="M18" s="380"/>
    </row>
    <row r="19" spans="1:13">
      <c r="A19" s="25"/>
      <c r="B19" s="26"/>
      <c r="C19" s="314"/>
      <c r="D19" s="314"/>
      <c r="E19" s="314"/>
      <c r="F19" s="314"/>
      <c r="G19" s="314"/>
      <c r="H19" s="314"/>
      <c r="I19" s="314"/>
      <c r="J19" s="314"/>
      <c r="K19" s="314"/>
      <c r="L19" s="314"/>
      <c r="M19" s="13"/>
    </row>
    <row r="20" spans="1:13" ht="31.5" customHeight="1">
      <c r="A20" s="464" t="s">
        <v>113</v>
      </c>
      <c r="B20" s="465"/>
      <c r="C20" s="379"/>
      <c r="D20" s="379"/>
      <c r="E20" s="379"/>
      <c r="F20" s="379"/>
      <c r="G20" s="379"/>
      <c r="H20" s="379"/>
      <c r="I20" s="379"/>
      <c r="J20" s="379"/>
      <c r="K20" s="379"/>
      <c r="L20" s="379"/>
      <c r="M20" s="380"/>
    </row>
    <row r="21" spans="1:13">
      <c r="A21" s="400"/>
      <c r="B21" s="401"/>
      <c r="C21" s="314"/>
      <c r="D21" s="314"/>
      <c r="E21" s="314"/>
      <c r="F21" s="314"/>
      <c r="G21" s="314"/>
      <c r="H21" s="314"/>
      <c r="I21" s="314"/>
      <c r="J21" s="314"/>
      <c r="K21" s="314"/>
      <c r="L21" s="314"/>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306" t="s">
        <v>78</v>
      </c>
      <c r="K25" s="408" t="s">
        <v>79</v>
      </c>
      <c r="L25" s="409"/>
      <c r="M25" s="31" t="s">
        <v>80</v>
      </c>
    </row>
    <row r="26" spans="1:13" ht="15.75" thickBot="1">
      <c r="A26" s="33"/>
      <c r="B26" s="391" t="s">
        <v>387</v>
      </c>
      <c r="C26" s="392"/>
      <c r="D26" s="392"/>
      <c r="E26" s="392"/>
      <c r="F26" s="392"/>
      <c r="G26" s="392"/>
      <c r="H26" s="392"/>
      <c r="I26" s="393"/>
      <c r="J26" s="305">
        <v>1</v>
      </c>
      <c r="K26" s="391" t="s">
        <v>10</v>
      </c>
      <c r="L26" s="393"/>
      <c r="M26" s="35"/>
    </row>
    <row r="27" spans="1:13">
      <c r="A27" s="30"/>
      <c r="B27" s="19"/>
      <c r="C27" s="19"/>
      <c r="D27" s="19"/>
      <c r="E27" s="19"/>
      <c r="F27" s="19"/>
      <c r="G27" s="19"/>
      <c r="H27" s="19"/>
      <c r="I27" s="19"/>
      <c r="J27" s="19"/>
      <c r="K27" s="19"/>
      <c r="L27" s="19"/>
      <c r="M27" s="24"/>
    </row>
    <row r="28" spans="1:13">
      <c r="A28" s="36" t="s">
        <v>81</v>
      </c>
      <c r="B28" s="37"/>
      <c r="C28" s="37"/>
      <c r="D28" s="37"/>
      <c r="E28" s="37"/>
      <c r="F28" s="37"/>
      <c r="G28" s="37"/>
      <c r="H28" s="37"/>
      <c r="I28" s="37"/>
      <c r="J28" s="37"/>
      <c r="K28" s="37"/>
      <c r="L28" s="37"/>
      <c r="M28" s="38"/>
    </row>
    <row r="29" spans="1:13" ht="15.75" thickBot="1">
      <c r="A29" s="39"/>
      <c r="B29" s="40"/>
      <c r="C29" s="40"/>
      <c r="D29" s="40"/>
      <c r="E29" s="40"/>
      <c r="F29" s="40"/>
      <c r="G29" s="40"/>
      <c r="H29" s="41"/>
      <c r="I29" s="41"/>
      <c r="J29" s="40"/>
      <c r="K29" s="40"/>
      <c r="L29" s="40"/>
      <c r="M29" s="42"/>
    </row>
    <row r="30" spans="1:13">
      <c r="A30" s="408" t="s">
        <v>77</v>
      </c>
      <c r="B30" s="419"/>
      <c r="C30" s="419"/>
      <c r="D30" s="419"/>
      <c r="E30" s="420"/>
      <c r="F30" s="421" t="s">
        <v>79</v>
      </c>
      <c r="G30" s="419"/>
      <c r="H30" s="422" t="s">
        <v>82</v>
      </c>
      <c r="I30" s="423"/>
      <c r="J30" s="311" t="s">
        <v>83</v>
      </c>
      <c r="K30" s="421" t="s">
        <v>84</v>
      </c>
      <c r="L30" s="424"/>
      <c r="M30" s="44" t="s">
        <v>85</v>
      </c>
    </row>
    <row r="31" spans="1:13">
      <c r="A31" s="425" t="s">
        <v>134</v>
      </c>
      <c r="B31" s="426"/>
      <c r="C31" s="426"/>
      <c r="D31" s="426"/>
      <c r="E31" s="427"/>
      <c r="F31" s="428" t="s">
        <v>123</v>
      </c>
      <c r="G31" s="429"/>
      <c r="H31" s="430" t="s">
        <v>86</v>
      </c>
      <c r="I31" s="427"/>
      <c r="J31" s="72">
        <v>70067</v>
      </c>
      <c r="K31" s="428">
        <v>2</v>
      </c>
      <c r="L31" s="429"/>
      <c r="M31" s="46">
        <f>J31/K31</f>
        <v>35033.5</v>
      </c>
    </row>
    <row r="32" spans="1:13" ht="15.75" thickBot="1">
      <c r="A32" s="410"/>
      <c r="B32" s="411"/>
      <c r="C32" s="411"/>
      <c r="D32" s="411"/>
      <c r="E32" s="412"/>
      <c r="F32" s="413"/>
      <c r="G32" s="412"/>
      <c r="H32" s="413"/>
      <c r="I32" s="412"/>
      <c r="J32" s="47"/>
      <c r="K32" s="414"/>
      <c r="L32" s="415"/>
      <c r="M32" s="48"/>
    </row>
    <row r="33" spans="1:13" ht="15.75" thickBot="1">
      <c r="A33" s="416" t="s">
        <v>87</v>
      </c>
      <c r="B33" s="417"/>
      <c r="C33" s="417"/>
      <c r="D33" s="417"/>
      <c r="E33" s="417"/>
      <c r="F33" s="417"/>
      <c r="G33" s="417"/>
      <c r="H33" s="417"/>
      <c r="I33" s="417"/>
      <c r="J33" s="417"/>
      <c r="K33" s="417"/>
      <c r="L33" s="418"/>
      <c r="M33" s="49">
        <f>SUM(M31:M32)</f>
        <v>35033.5</v>
      </c>
    </row>
    <row r="34" spans="1:13">
      <c r="A34" s="50"/>
      <c r="B34" s="19"/>
      <c r="C34" s="19"/>
      <c r="D34" s="19"/>
      <c r="E34" s="19"/>
      <c r="F34" s="19"/>
      <c r="G34" s="19"/>
      <c r="H34" s="19"/>
      <c r="I34" s="19"/>
      <c r="J34" s="19"/>
      <c r="K34" s="19"/>
      <c r="L34" s="19"/>
      <c r="M34" s="24"/>
    </row>
    <row r="35" spans="1:13">
      <c r="A35" s="51" t="s">
        <v>88</v>
      </c>
      <c r="B35" s="52"/>
      <c r="C35" s="52"/>
      <c r="D35" s="52"/>
      <c r="E35" s="52"/>
      <c r="F35" s="52"/>
      <c r="G35" s="52"/>
      <c r="H35" s="52"/>
      <c r="I35" s="52"/>
      <c r="J35" s="52"/>
      <c r="K35" s="52"/>
      <c r="L35" s="52"/>
      <c r="M35" s="53"/>
    </row>
    <row r="36" spans="1:13" ht="15.75" thickBot="1">
      <c r="A36" s="14"/>
      <c r="B36" s="15"/>
      <c r="C36" s="15"/>
      <c r="D36" s="15"/>
      <c r="E36" s="15"/>
      <c r="F36" s="15"/>
      <c r="G36" s="15"/>
      <c r="H36" s="15"/>
      <c r="I36" s="19"/>
      <c r="J36" s="19"/>
      <c r="K36" s="19"/>
      <c r="L36" s="19"/>
      <c r="M36" s="24"/>
    </row>
    <row r="37" spans="1:13">
      <c r="A37" s="408" t="s">
        <v>77</v>
      </c>
      <c r="B37" s="431"/>
      <c r="C37" s="431"/>
      <c r="D37" s="431"/>
      <c r="E37" s="431"/>
      <c r="F37" s="431"/>
      <c r="G37" s="431"/>
      <c r="H37" s="424"/>
      <c r="I37" s="307" t="s">
        <v>79</v>
      </c>
      <c r="J37" s="311" t="s">
        <v>80</v>
      </c>
      <c r="K37" s="421" t="s">
        <v>89</v>
      </c>
      <c r="L37" s="424"/>
      <c r="M37" s="44" t="s">
        <v>85</v>
      </c>
    </row>
    <row r="38" spans="1:13">
      <c r="A38" s="425"/>
      <c r="B38" s="426"/>
      <c r="C38" s="426"/>
      <c r="D38" s="426"/>
      <c r="E38" s="426"/>
      <c r="F38" s="426"/>
      <c r="G38" s="426"/>
      <c r="H38" s="427"/>
      <c r="I38" s="73"/>
      <c r="J38" s="45"/>
      <c r="K38" s="456"/>
      <c r="L38" s="457"/>
      <c r="M38" s="56"/>
    </row>
    <row r="39" spans="1:13">
      <c r="A39" s="425"/>
      <c r="B39" s="426"/>
      <c r="C39" s="426"/>
      <c r="D39" s="426"/>
      <c r="E39" s="426"/>
      <c r="F39" s="426"/>
      <c r="G39" s="426"/>
      <c r="H39" s="427"/>
      <c r="I39" s="73"/>
      <c r="J39" s="45"/>
      <c r="K39" s="456"/>
      <c r="L39" s="457"/>
      <c r="M39" s="56"/>
    </row>
    <row r="40" spans="1:13">
      <c r="A40" s="425"/>
      <c r="B40" s="426"/>
      <c r="C40" s="426"/>
      <c r="D40" s="426"/>
      <c r="E40" s="426"/>
      <c r="F40" s="426"/>
      <c r="G40" s="426"/>
      <c r="H40" s="427"/>
      <c r="I40" s="73"/>
      <c r="J40" s="45"/>
      <c r="K40" s="456"/>
      <c r="L40" s="457"/>
      <c r="M40" s="56"/>
    </row>
    <row r="41" spans="1:13">
      <c r="A41" s="425"/>
      <c r="B41" s="426"/>
      <c r="C41" s="426"/>
      <c r="D41" s="426"/>
      <c r="E41" s="426"/>
      <c r="F41" s="426"/>
      <c r="G41" s="426"/>
      <c r="H41" s="427"/>
      <c r="I41" s="73"/>
      <c r="J41" s="45"/>
      <c r="K41" s="456"/>
      <c r="L41" s="457"/>
      <c r="M41" s="56"/>
    </row>
    <row r="42" spans="1:13" ht="15.75" thickBot="1">
      <c r="A42" s="410"/>
      <c r="B42" s="411"/>
      <c r="C42" s="411"/>
      <c r="D42" s="411"/>
      <c r="E42" s="411"/>
      <c r="F42" s="411"/>
      <c r="G42" s="411"/>
      <c r="H42" s="412"/>
      <c r="I42" s="74"/>
      <c r="J42" s="57"/>
      <c r="K42" s="466"/>
      <c r="L42" s="467"/>
      <c r="M42" s="75"/>
    </row>
    <row r="43" spans="1:13" ht="15.75" thickBot="1">
      <c r="A43" s="416" t="s">
        <v>87</v>
      </c>
      <c r="B43" s="417"/>
      <c r="C43" s="417"/>
      <c r="D43" s="417"/>
      <c r="E43" s="417"/>
      <c r="F43" s="417"/>
      <c r="G43" s="417"/>
      <c r="H43" s="417"/>
      <c r="I43" s="417"/>
      <c r="J43" s="417"/>
      <c r="K43" s="417"/>
      <c r="L43" s="418"/>
      <c r="M43" s="58">
        <f>SUM(M38:M42)</f>
        <v>0</v>
      </c>
    </row>
    <row r="44" spans="1:13">
      <c r="A44" s="30"/>
      <c r="B44" s="19"/>
      <c r="C44" s="19"/>
      <c r="D44" s="19"/>
      <c r="E44" s="19"/>
      <c r="F44" s="19"/>
      <c r="G44" s="19"/>
      <c r="H44" s="19"/>
      <c r="I44" s="19"/>
      <c r="J44" s="19"/>
      <c r="K44" s="19"/>
      <c r="L44" s="19"/>
      <c r="M44" s="24"/>
    </row>
    <row r="45" spans="1:13">
      <c r="A45" s="51" t="s">
        <v>90</v>
      </c>
      <c r="B45" s="52"/>
      <c r="C45" s="52"/>
      <c r="D45" s="52"/>
      <c r="E45" s="52"/>
      <c r="F45" s="52"/>
      <c r="G45" s="52"/>
      <c r="H45" s="52"/>
      <c r="I45" s="52"/>
      <c r="J45" s="52"/>
      <c r="K45" s="52"/>
      <c r="L45" s="52"/>
      <c r="M45" s="53"/>
    </row>
    <row r="46" spans="1:13" ht="15.75" thickBot="1">
      <c r="A46" s="30"/>
      <c r="B46" s="19"/>
      <c r="C46" s="19"/>
      <c r="D46" s="19"/>
      <c r="E46" s="19"/>
      <c r="F46" s="19"/>
      <c r="G46" s="19"/>
      <c r="H46" s="19"/>
      <c r="I46" s="19"/>
      <c r="J46" s="19"/>
      <c r="K46" s="19"/>
      <c r="L46" s="19"/>
      <c r="M46" s="24"/>
    </row>
    <row r="47" spans="1:13">
      <c r="A47" s="408" t="s">
        <v>91</v>
      </c>
      <c r="B47" s="431"/>
      <c r="C47" s="431"/>
      <c r="D47" s="431"/>
      <c r="E47" s="431"/>
      <c r="F47" s="431"/>
      <c r="G47" s="431"/>
      <c r="H47" s="311" t="s">
        <v>92</v>
      </c>
      <c r="I47" s="308" t="s">
        <v>93</v>
      </c>
      <c r="J47" s="60" t="s">
        <v>94</v>
      </c>
      <c r="K47" s="421" t="s">
        <v>95</v>
      </c>
      <c r="L47" s="424"/>
      <c r="M47" s="44" t="s">
        <v>85</v>
      </c>
    </row>
    <row r="48" spans="1:13">
      <c r="A48" s="425"/>
      <c r="B48" s="426"/>
      <c r="C48" s="426"/>
      <c r="D48" s="426"/>
      <c r="E48" s="426"/>
      <c r="F48" s="426"/>
      <c r="G48" s="426"/>
      <c r="H48" s="61"/>
      <c r="I48" s="55"/>
      <c r="J48" s="61"/>
      <c r="K48" s="428"/>
      <c r="L48" s="429"/>
      <c r="M48" s="62"/>
    </row>
    <row r="49" spans="1:13" ht="15.75" thickBot="1">
      <c r="A49" s="410"/>
      <c r="B49" s="411"/>
      <c r="C49" s="411"/>
      <c r="D49" s="411"/>
      <c r="E49" s="411"/>
      <c r="F49" s="411"/>
      <c r="G49" s="411"/>
      <c r="H49" s="47"/>
      <c r="I49" s="15"/>
      <c r="J49" s="47"/>
      <c r="K49" s="414"/>
      <c r="L49" s="415"/>
      <c r="M49" s="48"/>
    </row>
    <row r="50" spans="1:13" ht="15.75" thickBot="1">
      <c r="A50" s="416" t="s">
        <v>87</v>
      </c>
      <c r="B50" s="417"/>
      <c r="C50" s="417"/>
      <c r="D50" s="417"/>
      <c r="E50" s="417"/>
      <c r="F50" s="417"/>
      <c r="G50" s="417"/>
      <c r="H50" s="417"/>
      <c r="I50" s="417"/>
      <c r="J50" s="417"/>
      <c r="K50" s="417"/>
      <c r="L50" s="418"/>
      <c r="M50" s="63">
        <f>SUM(M48:M49)</f>
        <v>0</v>
      </c>
    </row>
    <row r="51" spans="1:13">
      <c r="A51" s="30"/>
      <c r="B51" s="19"/>
      <c r="C51" s="19"/>
      <c r="D51" s="19"/>
      <c r="E51" s="19"/>
      <c r="F51" s="19"/>
      <c r="G51" s="19"/>
      <c r="H51" s="19"/>
      <c r="I51" s="19"/>
      <c r="J51" s="19"/>
      <c r="K51" s="19"/>
      <c r="L51" s="19"/>
      <c r="M51" s="24"/>
    </row>
    <row r="52" spans="1:13">
      <c r="A52" s="51" t="s">
        <v>96</v>
      </c>
      <c r="B52" s="52"/>
      <c r="C52" s="52"/>
      <c r="D52" s="52"/>
      <c r="E52" s="52"/>
      <c r="F52" s="52"/>
      <c r="G52" s="52"/>
      <c r="H52" s="52"/>
      <c r="I52" s="52"/>
      <c r="J52" s="52"/>
      <c r="K52" s="52"/>
      <c r="L52" s="52"/>
      <c r="M52" s="53"/>
    </row>
    <row r="53" spans="1:13" ht="15.75" thickBot="1">
      <c r="A53" s="30"/>
      <c r="B53" s="19"/>
      <c r="C53" s="19"/>
      <c r="D53" s="19"/>
      <c r="E53" s="19"/>
      <c r="F53" s="19"/>
      <c r="G53" s="19"/>
      <c r="H53" s="19"/>
      <c r="I53" s="19"/>
      <c r="J53" s="19"/>
      <c r="K53" s="19"/>
      <c r="L53" s="19"/>
      <c r="M53" s="24"/>
    </row>
    <row r="54" spans="1:13" ht="26.25">
      <c r="A54" s="453" t="s">
        <v>97</v>
      </c>
      <c r="B54" s="454"/>
      <c r="C54" s="454"/>
      <c r="D54" s="454"/>
      <c r="E54" s="454"/>
      <c r="F54" s="454"/>
      <c r="G54" s="454"/>
      <c r="H54" s="311" t="s">
        <v>98</v>
      </c>
      <c r="I54" s="312" t="s">
        <v>99</v>
      </c>
      <c r="J54" s="312" t="s">
        <v>100</v>
      </c>
      <c r="K54" s="455" t="s">
        <v>84</v>
      </c>
      <c r="L54" s="455"/>
      <c r="M54" s="65" t="s">
        <v>85</v>
      </c>
    </row>
    <row r="55" spans="1:13" ht="15.75" thickBot="1">
      <c r="A55" s="432" t="s">
        <v>122</v>
      </c>
      <c r="B55" s="433"/>
      <c r="C55" s="433"/>
      <c r="D55" s="433"/>
      <c r="E55" s="433"/>
      <c r="F55" s="433"/>
      <c r="G55" s="433"/>
      <c r="H55" s="3">
        <v>85839.318181818162</v>
      </c>
      <c r="I55" s="4">
        <v>2.2000000000000002</v>
      </c>
      <c r="J55" s="67">
        <f>(I55*H55)</f>
        <v>188846.49999999997</v>
      </c>
      <c r="K55" s="434">
        <v>10</v>
      </c>
      <c r="L55" s="434"/>
      <c r="M55" s="68">
        <f>J55/K55</f>
        <v>18884.649999999998</v>
      </c>
    </row>
    <row r="56" spans="1:13" ht="15.75" thickBot="1">
      <c r="A56" s="435" t="s">
        <v>87</v>
      </c>
      <c r="B56" s="436"/>
      <c r="C56" s="436"/>
      <c r="D56" s="436"/>
      <c r="E56" s="436"/>
      <c r="F56" s="436"/>
      <c r="G56" s="436"/>
      <c r="H56" s="436"/>
      <c r="I56" s="436"/>
      <c r="J56" s="436"/>
      <c r="K56" s="436"/>
      <c r="L56" s="437"/>
      <c r="M56" s="69">
        <f>SUM(M55:M55)</f>
        <v>18884.649999999998</v>
      </c>
    </row>
    <row r="57" spans="1:13" ht="15.75" thickBot="1">
      <c r="A57" s="30"/>
      <c r="B57" s="19"/>
      <c r="C57" s="19"/>
      <c r="D57" s="19"/>
      <c r="E57" s="19"/>
      <c r="F57" s="19"/>
      <c r="G57" s="19"/>
      <c r="H57" s="19"/>
      <c r="I57" s="19"/>
      <c r="J57" s="19"/>
      <c r="K57" s="19"/>
      <c r="L57" s="19"/>
      <c r="M57" s="24"/>
    </row>
    <row r="58" spans="1:13" ht="15.75" thickBot="1">
      <c r="A58" s="416" t="s">
        <v>101</v>
      </c>
      <c r="B58" s="417"/>
      <c r="C58" s="417"/>
      <c r="D58" s="417"/>
      <c r="E58" s="417"/>
      <c r="F58" s="417"/>
      <c r="G58" s="417"/>
      <c r="H58" s="417"/>
      <c r="I58" s="417"/>
      <c r="J58" s="417"/>
      <c r="K58" s="417"/>
      <c r="L58" s="418"/>
      <c r="M58" s="70">
        <f>ROUND(M56+M50+M43+M33,0)</f>
        <v>53918</v>
      </c>
    </row>
    <row r="59" spans="1:13">
      <c r="A59" s="30"/>
      <c r="B59" s="19"/>
      <c r="C59" s="19"/>
      <c r="D59" s="19"/>
      <c r="E59" s="19"/>
      <c r="F59" s="19"/>
      <c r="G59" s="19"/>
      <c r="H59" s="19"/>
      <c r="I59" s="19"/>
      <c r="J59" s="19"/>
      <c r="K59" s="19"/>
      <c r="L59" s="19"/>
      <c r="M59" s="24"/>
    </row>
    <row r="60" spans="1:13">
      <c r="A60" s="51" t="s">
        <v>102</v>
      </c>
      <c r="B60" s="52"/>
      <c r="C60" s="52"/>
      <c r="D60" s="52"/>
      <c r="E60" s="52"/>
      <c r="F60" s="52"/>
      <c r="G60" s="52"/>
      <c r="H60" s="52"/>
      <c r="I60" s="52"/>
      <c r="J60" s="52"/>
      <c r="K60" s="52"/>
      <c r="L60" s="52"/>
      <c r="M60" s="53"/>
    </row>
    <row r="61" spans="1:13" ht="15.75" thickBot="1">
      <c r="A61" s="30"/>
      <c r="B61" s="19"/>
      <c r="C61" s="19"/>
      <c r="D61" s="19"/>
      <c r="E61" s="19"/>
      <c r="F61" s="19"/>
      <c r="G61" s="19"/>
      <c r="H61" s="19"/>
      <c r="I61" s="19"/>
      <c r="J61" s="19"/>
      <c r="K61" s="19"/>
      <c r="L61" s="19"/>
      <c r="M61" s="24"/>
    </row>
    <row r="62" spans="1:13" ht="15.75" thickBot="1">
      <c r="A62" s="438" t="s">
        <v>103</v>
      </c>
      <c r="B62" s="439"/>
      <c r="C62" s="439"/>
      <c r="D62" s="439"/>
      <c r="E62" s="439"/>
      <c r="F62" s="439"/>
      <c r="G62" s="439"/>
      <c r="H62" s="309"/>
      <c r="I62" s="310"/>
      <c r="J62" s="81" t="s">
        <v>104</v>
      </c>
      <c r="K62" s="440" t="s">
        <v>105</v>
      </c>
      <c r="L62" s="441"/>
      <c r="M62" s="82"/>
    </row>
    <row r="63" spans="1:13">
      <c r="A63" s="442" t="s">
        <v>106</v>
      </c>
      <c r="B63" s="443"/>
      <c r="C63" s="443"/>
      <c r="D63" s="443"/>
      <c r="E63" s="443"/>
      <c r="F63" s="443"/>
      <c r="G63" s="443"/>
      <c r="H63" s="83"/>
      <c r="I63" s="84"/>
      <c r="J63" s="85">
        <v>0.19</v>
      </c>
      <c r="K63" s="444">
        <f>M58*J63</f>
        <v>10244.42</v>
      </c>
      <c r="L63" s="444"/>
      <c r="M63" s="86"/>
    </row>
    <row r="64" spans="1:13">
      <c r="A64" s="447" t="s">
        <v>107</v>
      </c>
      <c r="B64" s="448"/>
      <c r="C64" s="448"/>
      <c r="D64" s="448"/>
      <c r="E64" s="448"/>
      <c r="F64" s="448"/>
      <c r="G64" s="449"/>
      <c r="H64" s="77"/>
      <c r="I64" s="78"/>
      <c r="J64" s="5">
        <v>0.01</v>
      </c>
      <c r="K64" s="445">
        <f>M58*J64</f>
        <v>539.18000000000006</v>
      </c>
      <c r="L64" s="445"/>
      <c r="M64" s="6"/>
    </row>
    <row r="65" spans="1:13">
      <c r="A65" s="447" t="s">
        <v>108</v>
      </c>
      <c r="B65" s="448"/>
      <c r="C65" s="448"/>
      <c r="D65" s="448"/>
      <c r="E65" s="448"/>
      <c r="F65" s="448"/>
      <c r="G65" s="449"/>
      <c r="H65" s="77"/>
      <c r="I65" s="78"/>
      <c r="J65" s="5">
        <v>0.05</v>
      </c>
      <c r="K65" s="445">
        <f>M58*J65</f>
        <v>2695.9</v>
      </c>
      <c r="L65" s="445"/>
      <c r="M65" s="6"/>
    </row>
    <row r="66" spans="1:13" ht="15.75" thickBot="1">
      <c r="A66" s="450" t="s">
        <v>117</v>
      </c>
      <c r="B66" s="451"/>
      <c r="C66" s="451"/>
      <c r="D66" s="451"/>
      <c r="E66" s="451"/>
      <c r="F66" s="451"/>
      <c r="G66" s="452"/>
      <c r="H66" s="87"/>
      <c r="I66" s="88"/>
      <c r="J66" s="89">
        <v>0.19</v>
      </c>
      <c r="K66" s="446">
        <f>K65*J66</f>
        <v>512.221</v>
      </c>
      <c r="L66" s="446"/>
      <c r="M66" s="90"/>
    </row>
    <row r="67" spans="1:13" ht="15.75" thickBot="1">
      <c r="A67" s="435" t="s">
        <v>87</v>
      </c>
      <c r="B67" s="436"/>
      <c r="C67" s="436"/>
      <c r="D67" s="436"/>
      <c r="E67" s="436"/>
      <c r="F67" s="436"/>
      <c r="G67" s="436"/>
      <c r="H67" s="436"/>
      <c r="I67" s="436"/>
      <c r="J67" s="436"/>
      <c r="K67" s="436"/>
      <c r="L67" s="437"/>
      <c r="M67" s="76">
        <f>SUM(K63:L66)</f>
        <v>13991.721</v>
      </c>
    </row>
    <row r="68" spans="1:13" ht="15.75" thickBot="1">
      <c r="A68" s="30"/>
      <c r="B68" s="19"/>
      <c r="C68" s="19"/>
      <c r="D68" s="19"/>
      <c r="E68" s="19"/>
      <c r="F68" s="19"/>
      <c r="G68" s="19"/>
      <c r="H68" s="19"/>
      <c r="I68" s="19"/>
      <c r="J68" s="19"/>
      <c r="K68" s="19"/>
      <c r="L68" s="19"/>
      <c r="M68" s="24"/>
    </row>
    <row r="69" spans="1:13" ht="15.75" thickBot="1">
      <c r="A69" s="416" t="s">
        <v>109</v>
      </c>
      <c r="B69" s="417"/>
      <c r="C69" s="417"/>
      <c r="D69" s="417"/>
      <c r="E69" s="417"/>
      <c r="F69" s="417"/>
      <c r="G69" s="417"/>
      <c r="H69" s="417"/>
      <c r="I69" s="417"/>
      <c r="J69" s="417"/>
      <c r="K69" s="417"/>
      <c r="L69" s="418"/>
      <c r="M69" s="71">
        <f>ROUND(M58+M67,0)</f>
        <v>67910</v>
      </c>
    </row>
  </sheetData>
  <mergeCells count="71">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7:H37"/>
    <mergeCell ref="K37:L37"/>
    <mergeCell ref="A30:E30"/>
    <mergeCell ref="F30:G30"/>
    <mergeCell ref="H30:I30"/>
    <mergeCell ref="K30:L30"/>
    <mergeCell ref="A31:E31"/>
    <mergeCell ref="F31:G31"/>
    <mergeCell ref="H31:I31"/>
    <mergeCell ref="K31:L31"/>
    <mergeCell ref="A32:E32"/>
    <mergeCell ref="F32:G32"/>
    <mergeCell ref="H32:I32"/>
    <mergeCell ref="K32:L32"/>
    <mergeCell ref="A33:L33"/>
    <mergeCell ref="A38:H38"/>
    <mergeCell ref="K38:L38"/>
    <mergeCell ref="A39:H39"/>
    <mergeCell ref="K39:L39"/>
    <mergeCell ref="A40:H40"/>
    <mergeCell ref="K40:L40"/>
    <mergeCell ref="A54:G54"/>
    <mergeCell ref="K54:L54"/>
    <mergeCell ref="A41:H41"/>
    <mergeCell ref="K41:L41"/>
    <mergeCell ref="A42:H42"/>
    <mergeCell ref="K42:L42"/>
    <mergeCell ref="A43:L43"/>
    <mergeCell ref="A47:G47"/>
    <mergeCell ref="K47:L47"/>
    <mergeCell ref="A48:G48"/>
    <mergeCell ref="K48:L48"/>
    <mergeCell ref="A49:G49"/>
    <mergeCell ref="K49:L49"/>
    <mergeCell ref="A50:L50"/>
    <mergeCell ref="A55:G55"/>
    <mergeCell ref="K55:L55"/>
    <mergeCell ref="A56:L56"/>
    <mergeCell ref="A58:L58"/>
    <mergeCell ref="A62:G62"/>
    <mergeCell ref="K62:L62"/>
    <mergeCell ref="A66:G66"/>
    <mergeCell ref="K66:L66"/>
    <mergeCell ref="A67:L67"/>
    <mergeCell ref="A69:L69"/>
    <mergeCell ref="A63:G63"/>
    <mergeCell ref="K63:L63"/>
    <mergeCell ref="A64:G64"/>
    <mergeCell ref="K64:L64"/>
    <mergeCell ref="A65:G65"/>
    <mergeCell ref="K65:L65"/>
  </mergeCells>
  <pageMargins left="0.7" right="0.7" top="0.75" bottom="0.75" header="0.3" footer="0.3"/>
  <pageSetup scale="57"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view="pageBreakPreview" topLeftCell="A53" zoomScale="80" zoomScaleNormal="100" zoomScaleSheetLayoutView="80" workbookViewId="0">
      <selection activeCell="M65" sqref="M65"/>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361"/>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362" t="s">
        <v>71</v>
      </c>
      <c r="H12" s="394"/>
      <c r="I12" s="394"/>
      <c r="J12" s="23"/>
      <c r="K12" s="23"/>
      <c r="L12" s="23"/>
      <c r="M12" s="24"/>
    </row>
    <row r="13" spans="1:13">
      <c r="A13" s="25" t="s">
        <v>72</v>
      </c>
      <c r="B13" s="26"/>
      <c r="C13" s="395" t="s">
        <v>136</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365"/>
      <c r="D15" s="365"/>
      <c r="E15" s="365"/>
      <c r="F15" s="365"/>
      <c r="G15" s="365"/>
      <c r="H15" s="365"/>
      <c r="I15" s="365"/>
      <c r="J15" s="365"/>
      <c r="K15" s="365"/>
      <c r="L15" s="365"/>
      <c r="M15" s="366"/>
    </row>
    <row r="16" spans="1:13">
      <c r="A16" s="25" t="s">
        <v>73</v>
      </c>
      <c r="B16" s="26"/>
      <c r="C16" s="379"/>
      <c r="D16" s="379"/>
      <c r="E16" s="379"/>
      <c r="F16" s="379"/>
      <c r="G16" s="379"/>
      <c r="H16" s="379"/>
      <c r="I16" s="379"/>
      <c r="J16" s="379"/>
      <c r="K16" s="379"/>
      <c r="L16" s="379"/>
      <c r="M16" s="380"/>
    </row>
    <row r="17" spans="1:13">
      <c r="A17" s="25"/>
      <c r="B17" s="26"/>
      <c r="C17" s="362"/>
      <c r="D17" s="362"/>
      <c r="E17" s="362"/>
      <c r="F17" s="362"/>
      <c r="G17" s="362"/>
      <c r="H17" s="362"/>
      <c r="I17" s="362"/>
      <c r="J17" s="362"/>
      <c r="K17" s="362"/>
      <c r="L17" s="362"/>
      <c r="M17" s="13"/>
    </row>
    <row r="18" spans="1:13">
      <c r="A18" s="25" t="s">
        <v>74</v>
      </c>
      <c r="B18" s="26"/>
      <c r="C18" s="379"/>
      <c r="D18" s="379"/>
      <c r="E18" s="379"/>
      <c r="F18" s="379"/>
      <c r="G18" s="379"/>
      <c r="H18" s="379"/>
      <c r="I18" s="379"/>
      <c r="J18" s="379"/>
      <c r="K18" s="379"/>
      <c r="L18" s="379"/>
      <c r="M18" s="380"/>
    </row>
    <row r="19" spans="1:13">
      <c r="A19" s="25"/>
      <c r="B19" s="26"/>
      <c r="C19" s="362"/>
      <c r="D19" s="362"/>
      <c r="E19" s="362"/>
      <c r="F19" s="362"/>
      <c r="G19" s="362"/>
      <c r="H19" s="362"/>
      <c r="I19" s="362"/>
      <c r="J19" s="362"/>
      <c r="K19" s="362"/>
      <c r="L19" s="362"/>
      <c r="M19" s="13"/>
    </row>
    <row r="20" spans="1:13" ht="31.5" customHeight="1">
      <c r="A20" s="464" t="s">
        <v>113</v>
      </c>
      <c r="B20" s="465"/>
      <c r="C20" s="379"/>
      <c r="D20" s="379"/>
      <c r="E20" s="379"/>
      <c r="F20" s="379"/>
      <c r="G20" s="379"/>
      <c r="H20" s="379"/>
      <c r="I20" s="379"/>
      <c r="J20" s="379"/>
      <c r="K20" s="379"/>
      <c r="L20" s="379"/>
      <c r="M20" s="380"/>
    </row>
    <row r="21" spans="1:13">
      <c r="A21" s="400"/>
      <c r="B21" s="401"/>
      <c r="C21" s="362"/>
      <c r="D21" s="362"/>
      <c r="E21" s="362"/>
      <c r="F21" s="362"/>
      <c r="G21" s="362"/>
      <c r="H21" s="362"/>
      <c r="I21" s="362"/>
      <c r="J21" s="362"/>
      <c r="K21" s="362"/>
      <c r="L21" s="362"/>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354" t="s">
        <v>78</v>
      </c>
      <c r="K25" s="408" t="s">
        <v>79</v>
      </c>
      <c r="L25" s="409"/>
      <c r="M25" s="31" t="s">
        <v>80</v>
      </c>
    </row>
    <row r="26" spans="1:13" ht="35.25" customHeight="1" thickBot="1">
      <c r="A26" s="227"/>
      <c r="B26" s="505" t="s">
        <v>453</v>
      </c>
      <c r="C26" s="528"/>
      <c r="D26" s="528"/>
      <c r="E26" s="528"/>
      <c r="F26" s="528"/>
      <c r="G26" s="528"/>
      <c r="H26" s="528"/>
      <c r="I26" s="529"/>
      <c r="J26" s="364">
        <v>1</v>
      </c>
      <c r="K26" s="508" t="s">
        <v>8</v>
      </c>
      <c r="L26" s="507"/>
      <c r="M26" s="228"/>
    </row>
    <row r="27" spans="1:13">
      <c r="A27" s="30"/>
      <c r="B27" s="367"/>
      <c r="C27" s="367"/>
      <c r="D27" s="367"/>
      <c r="E27" s="367"/>
      <c r="F27" s="367"/>
      <c r="G27" s="367"/>
      <c r="H27" s="367"/>
      <c r="I27" s="367"/>
      <c r="J27" s="367"/>
      <c r="K27" s="367"/>
      <c r="L27" s="367"/>
      <c r="M27" s="24"/>
    </row>
    <row r="28" spans="1:13">
      <c r="A28" s="36" t="s">
        <v>81</v>
      </c>
      <c r="B28" s="37"/>
      <c r="C28" s="37"/>
      <c r="D28" s="37"/>
      <c r="E28" s="37"/>
      <c r="F28" s="37"/>
      <c r="G28" s="37"/>
      <c r="H28" s="37"/>
      <c r="I28" s="37"/>
      <c r="J28" s="37"/>
      <c r="K28" s="37"/>
      <c r="L28" s="37"/>
      <c r="M28" s="38"/>
    </row>
    <row r="29" spans="1:13" ht="15.75" thickBot="1">
      <c r="A29" s="50"/>
      <c r="B29" s="367"/>
      <c r="C29" s="367"/>
      <c r="D29" s="367"/>
      <c r="E29" s="367"/>
      <c r="F29" s="367"/>
      <c r="G29" s="367"/>
      <c r="H29" s="15"/>
      <c r="I29" s="15"/>
      <c r="J29" s="367"/>
      <c r="K29" s="367"/>
      <c r="L29" s="367"/>
      <c r="M29" s="24"/>
    </row>
    <row r="30" spans="1:13">
      <c r="A30" s="408" t="s">
        <v>77</v>
      </c>
      <c r="B30" s="419"/>
      <c r="C30" s="419"/>
      <c r="D30" s="419"/>
      <c r="E30" s="420"/>
      <c r="F30" s="421" t="s">
        <v>79</v>
      </c>
      <c r="G30" s="419"/>
      <c r="H30" s="422" t="s">
        <v>82</v>
      </c>
      <c r="I30" s="423"/>
      <c r="J30" s="359" t="s">
        <v>83</v>
      </c>
      <c r="K30" s="421" t="s">
        <v>84</v>
      </c>
      <c r="L30" s="424"/>
      <c r="M30" s="44" t="s">
        <v>85</v>
      </c>
    </row>
    <row r="31" spans="1:13">
      <c r="A31" s="539" t="s">
        <v>124</v>
      </c>
      <c r="B31" s="540"/>
      <c r="C31" s="540"/>
      <c r="D31" s="540"/>
      <c r="E31" s="541"/>
      <c r="F31" s="428" t="s">
        <v>125</v>
      </c>
      <c r="G31" s="429"/>
      <c r="H31" s="542" t="s">
        <v>86</v>
      </c>
      <c r="I31" s="541"/>
      <c r="J31" s="72">
        <v>705.89</v>
      </c>
      <c r="K31" s="428">
        <v>0.4</v>
      </c>
      <c r="L31" s="429"/>
      <c r="M31" s="231">
        <f>J31/K31</f>
        <v>1764.7249999999999</v>
      </c>
    </row>
    <row r="32" spans="1:13">
      <c r="A32" s="539"/>
      <c r="B32" s="540"/>
      <c r="C32" s="540"/>
      <c r="D32" s="540"/>
      <c r="E32" s="541"/>
      <c r="F32" s="428"/>
      <c r="G32" s="429"/>
      <c r="H32" s="542"/>
      <c r="I32" s="541"/>
      <c r="J32" s="72"/>
      <c r="K32" s="428"/>
      <c r="L32" s="429"/>
      <c r="M32" s="209">
        <f>J32*K32</f>
        <v>0</v>
      </c>
    </row>
    <row r="33" spans="1:13" ht="15.75" thickBot="1">
      <c r="A33" s="543"/>
      <c r="B33" s="544"/>
      <c r="C33" s="544"/>
      <c r="D33" s="544"/>
      <c r="E33" s="545"/>
      <c r="F33" s="414"/>
      <c r="G33" s="415"/>
      <c r="H33" s="546"/>
      <c r="I33" s="545"/>
      <c r="J33" s="91"/>
      <c r="K33" s="414"/>
      <c r="L33" s="415"/>
      <c r="M33" s="46"/>
    </row>
    <row r="34" spans="1:13" ht="15.75" thickBot="1">
      <c r="A34" s="416" t="s">
        <v>87</v>
      </c>
      <c r="B34" s="417"/>
      <c r="C34" s="417"/>
      <c r="D34" s="417"/>
      <c r="E34" s="417"/>
      <c r="F34" s="417"/>
      <c r="G34" s="417"/>
      <c r="H34" s="417"/>
      <c r="I34" s="417"/>
      <c r="J34" s="417"/>
      <c r="K34" s="417"/>
      <c r="L34" s="418"/>
      <c r="M34" s="232">
        <f>SUM(M31:M33)</f>
        <v>1764.7249999999999</v>
      </c>
    </row>
    <row r="35" spans="1:13">
      <c r="A35" s="50"/>
      <c r="B35" s="367"/>
      <c r="C35" s="367"/>
      <c r="D35" s="367"/>
      <c r="E35" s="367"/>
      <c r="F35" s="367"/>
      <c r="G35" s="367"/>
      <c r="H35" s="367"/>
      <c r="I35" s="367"/>
      <c r="J35" s="367"/>
      <c r="K35" s="367"/>
      <c r="L35" s="367"/>
      <c r="M35" s="24"/>
    </row>
    <row r="36" spans="1:13">
      <c r="A36" s="51" t="s">
        <v>88</v>
      </c>
      <c r="B36" s="52"/>
      <c r="C36" s="52"/>
      <c r="D36" s="52"/>
      <c r="E36" s="52"/>
      <c r="F36" s="52"/>
      <c r="G36" s="52"/>
      <c r="H36" s="52"/>
      <c r="I36" s="52"/>
      <c r="J36" s="52"/>
      <c r="K36" s="52"/>
      <c r="L36" s="52"/>
      <c r="M36" s="53"/>
    </row>
    <row r="37" spans="1:13" ht="15.75" thickBot="1">
      <c r="A37" s="14"/>
      <c r="B37" s="15"/>
      <c r="C37" s="15"/>
      <c r="D37" s="15"/>
      <c r="E37" s="15"/>
      <c r="F37" s="15"/>
      <c r="G37" s="15"/>
      <c r="H37" s="15"/>
      <c r="I37" s="367"/>
      <c r="J37" s="367"/>
      <c r="K37" s="367"/>
      <c r="L37" s="367"/>
      <c r="M37" s="24"/>
    </row>
    <row r="38" spans="1:13">
      <c r="A38" s="408" t="s">
        <v>77</v>
      </c>
      <c r="B38" s="431"/>
      <c r="C38" s="431"/>
      <c r="D38" s="431"/>
      <c r="E38" s="431"/>
      <c r="F38" s="431"/>
      <c r="G38" s="431"/>
      <c r="H38" s="424"/>
      <c r="I38" s="355" t="s">
        <v>79</v>
      </c>
      <c r="J38" s="359" t="s">
        <v>80</v>
      </c>
      <c r="K38" s="421" t="s">
        <v>89</v>
      </c>
      <c r="L38" s="424"/>
      <c r="M38" s="44" t="s">
        <v>85</v>
      </c>
    </row>
    <row r="39" spans="1:13">
      <c r="A39" s="484" t="s">
        <v>454</v>
      </c>
      <c r="B39" s="485"/>
      <c r="C39" s="485"/>
      <c r="D39" s="485"/>
      <c r="E39" s="485"/>
      <c r="F39" s="485"/>
      <c r="G39" s="485"/>
      <c r="H39" s="486"/>
      <c r="I39" s="73" t="s">
        <v>8</v>
      </c>
      <c r="J39" s="92">
        <v>2</v>
      </c>
      <c r="K39" s="487">
        <v>142491</v>
      </c>
      <c r="L39" s="488"/>
      <c r="M39" s="56">
        <f>K39*J39</f>
        <v>284982</v>
      </c>
    </row>
    <row r="40" spans="1:13">
      <c r="A40" s="484" t="s">
        <v>455</v>
      </c>
      <c r="B40" s="485"/>
      <c r="C40" s="485"/>
      <c r="D40" s="485"/>
      <c r="E40" s="485"/>
      <c r="F40" s="485"/>
      <c r="G40" s="485"/>
      <c r="H40" s="486"/>
      <c r="I40" s="73" t="s">
        <v>11</v>
      </c>
      <c r="J40" s="93">
        <v>1</v>
      </c>
      <c r="K40" s="487">
        <v>60000</v>
      </c>
      <c r="L40" s="488"/>
      <c r="M40" s="56">
        <f t="shared" ref="M40:M43" si="0">K40*J40</f>
        <v>60000</v>
      </c>
    </row>
    <row r="41" spans="1:13">
      <c r="A41" s="484"/>
      <c r="B41" s="485"/>
      <c r="C41" s="485"/>
      <c r="D41" s="485"/>
      <c r="E41" s="485"/>
      <c r="F41" s="485"/>
      <c r="G41" s="485"/>
      <c r="H41" s="486"/>
      <c r="I41" s="73"/>
      <c r="J41" s="93"/>
      <c r="K41" s="487">
        <v>0</v>
      </c>
      <c r="L41" s="488"/>
      <c r="M41" s="56">
        <f t="shared" si="0"/>
        <v>0</v>
      </c>
    </row>
    <row r="42" spans="1:13">
      <c r="A42" s="539"/>
      <c r="B42" s="540"/>
      <c r="C42" s="540"/>
      <c r="D42" s="540"/>
      <c r="E42" s="540"/>
      <c r="F42" s="540"/>
      <c r="G42" s="540"/>
      <c r="H42" s="541"/>
      <c r="I42" s="73"/>
      <c r="J42" s="363"/>
      <c r="K42" s="456">
        <v>0</v>
      </c>
      <c r="L42" s="457"/>
      <c r="M42" s="56">
        <f t="shared" si="0"/>
        <v>0</v>
      </c>
    </row>
    <row r="43" spans="1:13">
      <c r="A43" s="539"/>
      <c r="B43" s="540"/>
      <c r="C43" s="540"/>
      <c r="D43" s="540"/>
      <c r="E43" s="540"/>
      <c r="F43" s="540"/>
      <c r="G43" s="540"/>
      <c r="H43" s="541"/>
      <c r="I43" s="73"/>
      <c r="J43" s="363"/>
      <c r="K43" s="456">
        <v>0</v>
      </c>
      <c r="L43" s="457"/>
      <c r="M43" s="56">
        <f t="shared" si="0"/>
        <v>0</v>
      </c>
    </row>
    <row r="44" spans="1:13">
      <c r="A44" s="539"/>
      <c r="B44" s="540"/>
      <c r="C44" s="540"/>
      <c r="D44" s="540"/>
      <c r="E44" s="540"/>
      <c r="F44" s="540"/>
      <c r="G44" s="540"/>
      <c r="H44" s="541"/>
      <c r="I44" s="73"/>
      <c r="J44" s="363"/>
      <c r="K44" s="456"/>
      <c r="L44" s="457"/>
      <c r="M44" s="56"/>
    </row>
    <row r="45" spans="1:13">
      <c r="A45" s="539"/>
      <c r="B45" s="540"/>
      <c r="C45" s="540"/>
      <c r="D45" s="540"/>
      <c r="E45" s="540"/>
      <c r="F45" s="540"/>
      <c r="G45" s="540"/>
      <c r="H45" s="541"/>
      <c r="I45" s="73"/>
      <c r="J45" s="363"/>
      <c r="K45" s="456"/>
      <c r="L45" s="457"/>
      <c r="M45" s="56"/>
    </row>
    <row r="46" spans="1:13">
      <c r="A46" s="539"/>
      <c r="B46" s="540"/>
      <c r="C46" s="540"/>
      <c r="D46" s="540"/>
      <c r="E46" s="540"/>
      <c r="F46" s="540"/>
      <c r="G46" s="540"/>
      <c r="H46" s="541"/>
      <c r="I46" s="73"/>
      <c r="J46" s="363"/>
      <c r="K46" s="456"/>
      <c r="L46" s="457"/>
      <c r="M46" s="56"/>
    </row>
    <row r="47" spans="1:13" ht="15.75" thickBot="1">
      <c r="A47" s="543"/>
      <c r="B47" s="544"/>
      <c r="C47" s="544"/>
      <c r="D47" s="544"/>
      <c r="E47" s="544"/>
      <c r="F47" s="544"/>
      <c r="G47" s="544"/>
      <c r="H47" s="545"/>
      <c r="I47" s="74"/>
      <c r="J47" s="211"/>
      <c r="K47" s="466"/>
      <c r="L47" s="467"/>
      <c r="M47" s="75"/>
    </row>
    <row r="48" spans="1:13" ht="15.75" thickBot="1">
      <c r="A48" s="416" t="s">
        <v>87</v>
      </c>
      <c r="B48" s="417"/>
      <c r="C48" s="417"/>
      <c r="D48" s="417"/>
      <c r="E48" s="417"/>
      <c r="F48" s="417"/>
      <c r="G48" s="417"/>
      <c r="H48" s="417"/>
      <c r="I48" s="417"/>
      <c r="J48" s="417"/>
      <c r="K48" s="417"/>
      <c r="L48" s="418"/>
      <c r="M48" s="58">
        <f>SUM(M39:M47)</f>
        <v>344982</v>
      </c>
    </row>
    <row r="49" spans="1:13">
      <c r="A49" s="30"/>
      <c r="B49" s="367"/>
      <c r="C49" s="367"/>
      <c r="D49" s="367"/>
      <c r="E49" s="367"/>
      <c r="F49" s="367"/>
      <c r="G49" s="367"/>
      <c r="H49" s="367"/>
      <c r="I49" s="367"/>
      <c r="J49" s="367"/>
      <c r="K49" s="367"/>
      <c r="L49" s="367"/>
      <c r="M49" s="24"/>
    </row>
    <row r="50" spans="1:13">
      <c r="A50" s="51" t="s">
        <v>90</v>
      </c>
      <c r="B50" s="52"/>
      <c r="C50" s="52"/>
      <c r="D50" s="52"/>
      <c r="E50" s="52"/>
      <c r="F50" s="52"/>
      <c r="G50" s="52"/>
      <c r="H50" s="52"/>
      <c r="I50" s="52"/>
      <c r="J50" s="52"/>
      <c r="K50" s="52"/>
      <c r="L50" s="52"/>
      <c r="M50" s="53"/>
    </row>
    <row r="51" spans="1:13" ht="15.75" thickBot="1">
      <c r="A51" s="30"/>
      <c r="B51" s="367"/>
      <c r="C51" s="367"/>
      <c r="D51" s="367"/>
      <c r="E51" s="367"/>
      <c r="F51" s="367"/>
      <c r="G51" s="367"/>
      <c r="H51" s="367"/>
      <c r="I51" s="367"/>
      <c r="J51" s="367"/>
      <c r="K51" s="367"/>
      <c r="L51" s="367"/>
      <c r="M51" s="24"/>
    </row>
    <row r="52" spans="1:13">
      <c r="A52" s="408" t="s">
        <v>91</v>
      </c>
      <c r="B52" s="431"/>
      <c r="C52" s="431"/>
      <c r="D52" s="431"/>
      <c r="E52" s="431"/>
      <c r="F52" s="431"/>
      <c r="G52" s="431"/>
      <c r="H52" s="359" t="s">
        <v>92</v>
      </c>
      <c r="I52" s="356" t="s">
        <v>93</v>
      </c>
      <c r="J52" s="369" t="s">
        <v>94</v>
      </c>
      <c r="K52" s="421" t="s">
        <v>95</v>
      </c>
      <c r="L52" s="424"/>
      <c r="M52" s="44" t="s">
        <v>85</v>
      </c>
    </row>
    <row r="53" spans="1:13">
      <c r="A53" s="539"/>
      <c r="B53" s="540"/>
      <c r="C53" s="540"/>
      <c r="D53" s="540"/>
      <c r="E53" s="540"/>
      <c r="F53" s="540"/>
      <c r="G53" s="540"/>
      <c r="H53" s="370"/>
      <c r="I53" s="368"/>
      <c r="J53" s="370"/>
      <c r="K53" s="428"/>
      <c r="L53" s="429"/>
    </row>
    <row r="54" spans="1:13" ht="15.75" thickBot="1">
      <c r="A54" s="543"/>
      <c r="B54" s="544"/>
      <c r="C54" s="544"/>
      <c r="D54" s="544"/>
      <c r="E54" s="544"/>
      <c r="F54" s="544"/>
      <c r="G54" s="544"/>
      <c r="H54" s="47"/>
      <c r="I54" s="15"/>
      <c r="J54" s="47"/>
      <c r="K54" s="414"/>
      <c r="L54" s="415"/>
      <c r="M54" s="62"/>
    </row>
    <row r="55" spans="1:13" ht="15.75" thickBot="1">
      <c r="A55" s="416" t="s">
        <v>87</v>
      </c>
      <c r="B55" s="417"/>
      <c r="C55" s="417"/>
      <c r="D55" s="417"/>
      <c r="E55" s="417"/>
      <c r="F55" s="417"/>
      <c r="G55" s="417"/>
      <c r="H55" s="417"/>
      <c r="I55" s="417"/>
      <c r="J55" s="417"/>
      <c r="K55" s="417"/>
      <c r="L55" s="418"/>
      <c r="M55" s="63">
        <f>SUM(M54:M54)</f>
        <v>0</v>
      </c>
    </row>
    <row r="56" spans="1:13">
      <c r="A56" s="30"/>
      <c r="B56" s="367"/>
      <c r="C56" s="367"/>
      <c r="D56" s="367"/>
      <c r="E56" s="367"/>
      <c r="F56" s="367"/>
      <c r="G56" s="367"/>
      <c r="H56" s="367"/>
      <c r="I56" s="367"/>
      <c r="J56" s="367"/>
      <c r="K56" s="367"/>
      <c r="L56" s="367"/>
      <c r="M56" s="24"/>
    </row>
    <row r="57" spans="1:13">
      <c r="A57" s="51" t="s">
        <v>96</v>
      </c>
      <c r="B57" s="52"/>
      <c r="C57" s="52"/>
      <c r="D57" s="52"/>
      <c r="E57" s="52"/>
      <c r="F57" s="52"/>
      <c r="G57" s="52"/>
      <c r="H57" s="52"/>
      <c r="I57" s="52"/>
      <c r="J57" s="52"/>
      <c r="K57" s="52"/>
      <c r="L57" s="52"/>
      <c r="M57" s="53"/>
    </row>
    <row r="58" spans="1:13" ht="15.75" thickBot="1">
      <c r="A58" s="30"/>
      <c r="B58" s="367"/>
      <c r="C58" s="367"/>
      <c r="D58" s="367"/>
      <c r="E58" s="367"/>
      <c r="F58" s="367"/>
      <c r="G58" s="367"/>
      <c r="H58" s="367"/>
      <c r="I58" s="367"/>
      <c r="J58" s="367"/>
      <c r="K58" s="367"/>
      <c r="L58" s="367"/>
      <c r="M58" s="24"/>
    </row>
    <row r="59" spans="1:13" ht="26.25">
      <c r="A59" s="453" t="s">
        <v>97</v>
      </c>
      <c r="B59" s="454"/>
      <c r="C59" s="454"/>
      <c r="D59" s="454"/>
      <c r="E59" s="454"/>
      <c r="F59" s="454"/>
      <c r="G59" s="454"/>
      <c r="H59" s="359" t="s">
        <v>98</v>
      </c>
      <c r="I59" s="360" t="s">
        <v>99</v>
      </c>
      <c r="J59" s="360" t="s">
        <v>100</v>
      </c>
      <c r="K59" s="455" t="s">
        <v>84</v>
      </c>
      <c r="L59" s="455"/>
      <c r="M59" s="65" t="s">
        <v>85</v>
      </c>
    </row>
    <row r="60" spans="1:13">
      <c r="A60" s="549" t="s">
        <v>273</v>
      </c>
      <c r="B60" s="550"/>
      <c r="C60" s="550"/>
      <c r="D60" s="550"/>
      <c r="E60" s="550"/>
      <c r="F60" s="550"/>
      <c r="G60" s="550"/>
      <c r="H60" s="1">
        <v>144138.45454545453</v>
      </c>
      <c r="I60" s="2">
        <v>2.2000000000000002</v>
      </c>
      <c r="J60" s="66">
        <f>(I60*H60)</f>
        <v>317104.59999999998</v>
      </c>
      <c r="K60" s="473">
        <v>3</v>
      </c>
      <c r="L60" s="473"/>
      <c r="M60" s="56">
        <f>J60/K60</f>
        <v>105701.53333333333</v>
      </c>
    </row>
    <row r="61" spans="1:13">
      <c r="A61" s="549"/>
      <c r="B61" s="550"/>
      <c r="C61" s="550"/>
      <c r="D61" s="550"/>
      <c r="E61" s="550"/>
      <c r="F61" s="550"/>
      <c r="G61" s="550"/>
      <c r="H61" s="1"/>
      <c r="I61" s="2"/>
      <c r="J61" s="66"/>
      <c r="K61" s="473"/>
      <c r="L61" s="473"/>
      <c r="M61" s="56"/>
    </row>
    <row r="62" spans="1:13" ht="15.75" thickBot="1">
      <c r="A62" s="551"/>
      <c r="B62" s="552"/>
      <c r="C62" s="552"/>
      <c r="D62" s="552"/>
      <c r="E62" s="552"/>
      <c r="F62" s="552"/>
      <c r="G62" s="552"/>
      <c r="H62" s="3"/>
      <c r="I62" s="4"/>
      <c r="J62" s="67"/>
      <c r="K62" s="434"/>
      <c r="L62" s="434"/>
      <c r="M62" s="68"/>
    </row>
    <row r="63" spans="1:13" ht="15.75" thickBot="1">
      <c r="A63" s="435" t="s">
        <v>87</v>
      </c>
      <c r="B63" s="436"/>
      <c r="C63" s="436"/>
      <c r="D63" s="436"/>
      <c r="E63" s="436"/>
      <c r="F63" s="436"/>
      <c r="G63" s="436"/>
      <c r="H63" s="436"/>
      <c r="I63" s="436"/>
      <c r="J63" s="436"/>
      <c r="K63" s="436"/>
      <c r="L63" s="437"/>
      <c r="M63" s="69">
        <f>SUM(M60:M62)</f>
        <v>105701.53333333333</v>
      </c>
    </row>
    <row r="64" spans="1:13" ht="15.75" thickBot="1">
      <c r="A64" s="30"/>
      <c r="B64" s="367"/>
      <c r="C64" s="367"/>
      <c r="D64" s="367"/>
      <c r="E64" s="367"/>
      <c r="F64" s="367"/>
      <c r="G64" s="367"/>
      <c r="H64" s="367"/>
      <c r="I64" s="367"/>
      <c r="J64" s="367"/>
      <c r="K64" s="367"/>
      <c r="L64" s="367"/>
      <c r="M64" s="24"/>
    </row>
    <row r="65" spans="1:13" ht="15.75" thickBot="1">
      <c r="A65" s="416" t="s">
        <v>101</v>
      </c>
      <c r="B65" s="417"/>
      <c r="C65" s="417"/>
      <c r="D65" s="417"/>
      <c r="E65" s="417"/>
      <c r="F65" s="417"/>
      <c r="G65" s="417"/>
      <c r="H65" s="417"/>
      <c r="I65" s="417"/>
      <c r="J65" s="417"/>
      <c r="K65" s="417"/>
      <c r="L65" s="418"/>
      <c r="M65" s="58">
        <f>ROUND(M63+M55+M48+M34,0)</f>
        <v>452448</v>
      </c>
    </row>
    <row r="66" spans="1:13">
      <c r="A66" s="30"/>
      <c r="B66" s="367"/>
      <c r="C66" s="367"/>
      <c r="D66" s="367"/>
      <c r="E66" s="367"/>
      <c r="F66" s="367"/>
      <c r="G66" s="367"/>
      <c r="H66" s="367"/>
      <c r="I66" s="367"/>
      <c r="J66" s="367"/>
      <c r="K66" s="367"/>
      <c r="L66" s="367"/>
      <c r="M66" s="24"/>
    </row>
    <row r="67" spans="1:13">
      <c r="A67" s="51" t="s">
        <v>102</v>
      </c>
      <c r="B67" s="52"/>
      <c r="C67" s="52"/>
      <c r="D67" s="52"/>
      <c r="E67" s="52"/>
      <c r="F67" s="52"/>
      <c r="G67" s="52"/>
      <c r="H67" s="52"/>
      <c r="I67" s="52"/>
      <c r="J67" s="52"/>
      <c r="K67" s="52"/>
      <c r="L67" s="52"/>
      <c r="M67" s="53"/>
    </row>
    <row r="68" spans="1:13" ht="15.75" thickBot="1">
      <c r="A68" s="30"/>
      <c r="B68" s="367"/>
      <c r="C68" s="367"/>
      <c r="D68" s="367"/>
      <c r="E68" s="367"/>
      <c r="F68" s="367"/>
      <c r="G68" s="367"/>
      <c r="H68" s="367"/>
      <c r="I68" s="367"/>
      <c r="J68" s="367"/>
      <c r="K68" s="367"/>
      <c r="L68" s="367"/>
      <c r="M68" s="24"/>
    </row>
    <row r="69" spans="1:13" ht="15.75" thickBot="1">
      <c r="A69" s="438" t="s">
        <v>103</v>
      </c>
      <c r="B69" s="439"/>
      <c r="C69" s="439"/>
      <c r="D69" s="439"/>
      <c r="E69" s="439"/>
      <c r="F69" s="439"/>
      <c r="G69" s="439"/>
      <c r="H69" s="357"/>
      <c r="I69" s="358"/>
      <c r="J69" s="81" t="s">
        <v>104</v>
      </c>
      <c r="K69" s="440" t="s">
        <v>105</v>
      </c>
      <c r="L69" s="441"/>
      <c r="M69" s="82"/>
    </row>
    <row r="70" spans="1:13">
      <c r="A70" s="553" t="s">
        <v>106</v>
      </c>
      <c r="B70" s="554"/>
      <c r="C70" s="554"/>
      <c r="D70" s="554"/>
      <c r="E70" s="554"/>
      <c r="F70" s="554"/>
      <c r="G70" s="554"/>
      <c r="H70" s="83"/>
      <c r="I70" s="84"/>
      <c r="J70" s="84">
        <v>0.19</v>
      </c>
      <c r="K70" s="444">
        <f>M65*J70</f>
        <v>85965.119999999995</v>
      </c>
      <c r="L70" s="444"/>
      <c r="M70" s="86"/>
    </row>
    <row r="71" spans="1:13">
      <c r="A71" s="447" t="s">
        <v>107</v>
      </c>
      <c r="B71" s="448"/>
      <c r="C71" s="448"/>
      <c r="D71" s="448"/>
      <c r="E71" s="448"/>
      <c r="F71" s="448"/>
      <c r="G71" s="449"/>
      <c r="H71" s="77"/>
      <c r="I71" s="78"/>
      <c r="J71" s="78">
        <v>0.01</v>
      </c>
      <c r="K71" s="445">
        <f>M65*J71</f>
        <v>4524.4800000000005</v>
      </c>
      <c r="L71" s="445"/>
      <c r="M71" s="6"/>
    </row>
    <row r="72" spans="1:13">
      <c r="A72" s="447" t="s">
        <v>108</v>
      </c>
      <c r="B72" s="448"/>
      <c r="C72" s="448"/>
      <c r="D72" s="448"/>
      <c r="E72" s="448"/>
      <c r="F72" s="448"/>
      <c r="G72" s="449"/>
      <c r="H72" s="77"/>
      <c r="I72" s="78"/>
      <c r="J72" s="78">
        <v>0.05</v>
      </c>
      <c r="K72" s="445">
        <f>M65*J72</f>
        <v>22622.400000000001</v>
      </c>
      <c r="L72" s="445"/>
      <c r="M72" s="6"/>
    </row>
    <row r="73" spans="1:13" ht="15.75" thickBot="1">
      <c r="A73" s="450" t="s">
        <v>117</v>
      </c>
      <c r="B73" s="451"/>
      <c r="C73" s="451"/>
      <c r="D73" s="451"/>
      <c r="E73" s="451"/>
      <c r="F73" s="451"/>
      <c r="G73" s="452"/>
      <c r="H73" s="87"/>
      <c r="I73" s="88"/>
      <c r="J73" s="88">
        <v>0.19</v>
      </c>
      <c r="K73" s="446">
        <f>K72*J73</f>
        <v>4298.2560000000003</v>
      </c>
      <c r="L73" s="446"/>
      <c r="M73" s="90"/>
    </row>
    <row r="74" spans="1:13" ht="15.75" thickBot="1">
      <c r="A74" s="435" t="s">
        <v>87</v>
      </c>
      <c r="B74" s="436"/>
      <c r="C74" s="436"/>
      <c r="D74" s="436"/>
      <c r="E74" s="436"/>
      <c r="F74" s="436"/>
      <c r="G74" s="436"/>
      <c r="H74" s="436"/>
      <c r="I74" s="436"/>
      <c r="J74" s="436"/>
      <c r="K74" s="436"/>
      <c r="L74" s="437"/>
      <c r="M74" s="76">
        <f>SUM(K70:L73)</f>
        <v>117410.25599999999</v>
      </c>
    </row>
    <row r="75" spans="1:13" ht="15.75" thickBot="1">
      <c r="A75" s="30"/>
      <c r="B75" s="367"/>
      <c r="C75" s="367"/>
      <c r="D75" s="367"/>
      <c r="E75" s="367"/>
      <c r="F75" s="367"/>
      <c r="G75" s="367"/>
      <c r="H75" s="367"/>
      <c r="I75" s="367"/>
      <c r="J75" s="367"/>
      <c r="K75" s="367"/>
      <c r="L75" s="367"/>
      <c r="M75" s="24"/>
    </row>
    <row r="76" spans="1:13" ht="15.75" thickBot="1">
      <c r="A76" s="416" t="s">
        <v>109</v>
      </c>
      <c r="B76" s="417"/>
      <c r="C76" s="417"/>
      <c r="D76" s="417"/>
      <c r="E76" s="417"/>
      <c r="F76" s="417"/>
      <c r="G76" s="417"/>
      <c r="H76" s="417"/>
      <c r="I76" s="417"/>
      <c r="J76" s="417"/>
      <c r="K76" s="417"/>
      <c r="L76" s="418"/>
      <c r="M76" s="71">
        <f>ROUND(M65+M74,0)</f>
        <v>569858</v>
      </c>
    </row>
  </sheetData>
  <mergeCells count="87">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2:E32"/>
    <mergeCell ref="F32:G32"/>
    <mergeCell ref="H32:I32"/>
    <mergeCell ref="K32:L32"/>
    <mergeCell ref="A30:E30"/>
    <mergeCell ref="F30:G30"/>
    <mergeCell ref="H30:I30"/>
    <mergeCell ref="K30:L30"/>
    <mergeCell ref="A31:E31"/>
    <mergeCell ref="F31:G31"/>
    <mergeCell ref="H31:I31"/>
    <mergeCell ref="K31:L31"/>
    <mergeCell ref="A41:H41"/>
    <mergeCell ref="K41:L41"/>
    <mergeCell ref="A42:H42"/>
    <mergeCell ref="K42:L42"/>
    <mergeCell ref="K47:L47"/>
    <mergeCell ref="K43:L43"/>
    <mergeCell ref="A44:H44"/>
    <mergeCell ref="K44:L44"/>
    <mergeCell ref="A43:H43"/>
    <mergeCell ref="A45:H45"/>
    <mergeCell ref="K45:L45"/>
    <mergeCell ref="A46:H46"/>
    <mergeCell ref="K46:L46"/>
    <mergeCell ref="A47:H47"/>
    <mergeCell ref="A63:L63"/>
    <mergeCell ref="A65:L65"/>
    <mergeCell ref="A62:G62"/>
    <mergeCell ref="K62:L62"/>
    <mergeCell ref="A61:G61"/>
    <mergeCell ref="K61:L61"/>
    <mergeCell ref="A33:E33"/>
    <mergeCell ref="F33:G33"/>
    <mergeCell ref="H33:I33"/>
    <mergeCell ref="K33:L33"/>
    <mergeCell ref="A34:L34"/>
    <mergeCell ref="A38:H38"/>
    <mergeCell ref="K38:L38"/>
    <mergeCell ref="A39:H39"/>
    <mergeCell ref="K39:L39"/>
    <mergeCell ref="A40:H40"/>
    <mergeCell ref="K40:L40"/>
    <mergeCell ref="A48:L48"/>
    <mergeCell ref="A60:G60"/>
    <mergeCell ref="K60:L60"/>
    <mergeCell ref="A54:G54"/>
    <mergeCell ref="K54:L54"/>
    <mergeCell ref="K53:L53"/>
    <mergeCell ref="A55:L55"/>
    <mergeCell ref="A59:G59"/>
    <mergeCell ref="K59:L59"/>
    <mergeCell ref="A52:G52"/>
    <mergeCell ref="K52:L52"/>
    <mergeCell ref="A53:G53"/>
    <mergeCell ref="A76:L76"/>
    <mergeCell ref="A69:G69"/>
    <mergeCell ref="K69:L69"/>
    <mergeCell ref="A70:G70"/>
    <mergeCell ref="K70:L70"/>
    <mergeCell ref="A71:G71"/>
    <mergeCell ref="K71:L71"/>
    <mergeCell ref="A72:G72"/>
    <mergeCell ref="K72:L72"/>
    <mergeCell ref="A73:G73"/>
    <mergeCell ref="K73:L73"/>
    <mergeCell ref="A74:L74"/>
  </mergeCells>
  <pageMargins left="0.7" right="0.7" top="0.75" bottom="0.75" header="0.3" footer="0.3"/>
  <pageSetup scale="57"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view="pageBreakPreview" topLeftCell="A46" zoomScale="80" zoomScaleNormal="100" zoomScaleSheetLayoutView="80" workbookViewId="0">
      <selection activeCell="M65" sqref="M65"/>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361"/>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362" t="s">
        <v>71</v>
      </c>
      <c r="H12" s="394"/>
      <c r="I12" s="394"/>
      <c r="J12" s="23"/>
      <c r="K12" s="23"/>
      <c r="L12" s="23"/>
      <c r="M12" s="24"/>
    </row>
    <row r="13" spans="1:13">
      <c r="A13" s="25" t="s">
        <v>72</v>
      </c>
      <c r="B13" s="26"/>
      <c r="C13" s="395" t="s">
        <v>136</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365"/>
      <c r="D15" s="365"/>
      <c r="E15" s="365"/>
      <c r="F15" s="365"/>
      <c r="G15" s="365"/>
      <c r="H15" s="365"/>
      <c r="I15" s="365"/>
      <c r="J15" s="365"/>
      <c r="K15" s="365"/>
      <c r="L15" s="365"/>
      <c r="M15" s="366"/>
    </row>
    <row r="16" spans="1:13">
      <c r="A16" s="25" t="s">
        <v>73</v>
      </c>
      <c r="B16" s="26"/>
      <c r="C16" s="379"/>
      <c r="D16" s="379"/>
      <c r="E16" s="379"/>
      <c r="F16" s="379"/>
      <c r="G16" s="379"/>
      <c r="H16" s="379"/>
      <c r="I16" s="379"/>
      <c r="J16" s="379"/>
      <c r="K16" s="379"/>
      <c r="L16" s="379"/>
      <c r="M16" s="380"/>
    </row>
    <row r="17" spans="1:13">
      <c r="A17" s="25"/>
      <c r="B17" s="26"/>
      <c r="C17" s="362"/>
      <c r="D17" s="362"/>
      <c r="E17" s="362"/>
      <c r="F17" s="362"/>
      <c r="G17" s="362"/>
      <c r="H17" s="362"/>
      <c r="I17" s="362"/>
      <c r="J17" s="362"/>
      <c r="K17" s="362"/>
      <c r="L17" s="362"/>
      <c r="M17" s="13"/>
    </row>
    <row r="18" spans="1:13">
      <c r="A18" s="25" t="s">
        <v>74</v>
      </c>
      <c r="B18" s="26"/>
      <c r="C18" s="379"/>
      <c r="D18" s="379"/>
      <c r="E18" s="379"/>
      <c r="F18" s="379"/>
      <c r="G18" s="379"/>
      <c r="H18" s="379"/>
      <c r="I18" s="379"/>
      <c r="J18" s="379"/>
      <c r="K18" s="379"/>
      <c r="L18" s="379"/>
      <c r="M18" s="380"/>
    </row>
    <row r="19" spans="1:13">
      <c r="A19" s="25"/>
      <c r="B19" s="26"/>
      <c r="C19" s="362"/>
      <c r="D19" s="362"/>
      <c r="E19" s="362"/>
      <c r="F19" s="362"/>
      <c r="G19" s="362"/>
      <c r="H19" s="362"/>
      <c r="I19" s="362"/>
      <c r="J19" s="362"/>
      <c r="K19" s="362"/>
      <c r="L19" s="362"/>
      <c r="M19" s="13"/>
    </row>
    <row r="20" spans="1:13" ht="31.5" customHeight="1">
      <c r="A20" s="464" t="s">
        <v>113</v>
      </c>
      <c r="B20" s="465"/>
      <c r="C20" s="379"/>
      <c r="D20" s="379"/>
      <c r="E20" s="379"/>
      <c r="F20" s="379"/>
      <c r="G20" s="379"/>
      <c r="H20" s="379"/>
      <c r="I20" s="379"/>
      <c r="J20" s="379"/>
      <c r="K20" s="379"/>
      <c r="L20" s="379"/>
      <c r="M20" s="380"/>
    </row>
    <row r="21" spans="1:13">
      <c r="A21" s="400"/>
      <c r="B21" s="401"/>
      <c r="C21" s="362"/>
      <c r="D21" s="362"/>
      <c r="E21" s="362"/>
      <c r="F21" s="362"/>
      <c r="G21" s="362"/>
      <c r="H21" s="362"/>
      <c r="I21" s="362"/>
      <c r="J21" s="362"/>
      <c r="K21" s="362"/>
      <c r="L21" s="362"/>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354" t="s">
        <v>78</v>
      </c>
      <c r="K25" s="408" t="s">
        <v>79</v>
      </c>
      <c r="L25" s="409"/>
      <c r="M25" s="31" t="s">
        <v>80</v>
      </c>
    </row>
    <row r="26" spans="1:13" ht="35.25" customHeight="1" thickBot="1">
      <c r="A26" s="227"/>
      <c r="B26" s="505" t="s">
        <v>457</v>
      </c>
      <c r="C26" s="528"/>
      <c r="D26" s="528"/>
      <c r="E26" s="528"/>
      <c r="F26" s="528"/>
      <c r="G26" s="528"/>
      <c r="H26" s="528"/>
      <c r="I26" s="529"/>
      <c r="J26" s="364">
        <v>1</v>
      </c>
      <c r="K26" s="508" t="s">
        <v>9</v>
      </c>
      <c r="L26" s="507"/>
      <c r="M26" s="228"/>
    </row>
    <row r="27" spans="1:13">
      <c r="A27" s="30"/>
      <c r="B27" s="367"/>
      <c r="C27" s="367"/>
      <c r="D27" s="367"/>
      <c r="E27" s="367"/>
      <c r="F27" s="367"/>
      <c r="G27" s="367"/>
      <c r="H27" s="367"/>
      <c r="I27" s="367"/>
      <c r="J27" s="367"/>
      <c r="K27" s="367"/>
      <c r="L27" s="367"/>
      <c r="M27" s="24"/>
    </row>
    <row r="28" spans="1:13">
      <c r="A28" s="36" t="s">
        <v>81</v>
      </c>
      <c r="B28" s="37"/>
      <c r="C28" s="37"/>
      <c r="D28" s="37"/>
      <c r="E28" s="37"/>
      <c r="F28" s="37"/>
      <c r="G28" s="37"/>
      <c r="H28" s="37"/>
      <c r="I28" s="37"/>
      <c r="J28" s="37"/>
      <c r="K28" s="37"/>
      <c r="L28" s="37"/>
      <c r="M28" s="38"/>
    </row>
    <row r="29" spans="1:13" ht="15.75" thickBot="1">
      <c r="A29" s="50"/>
      <c r="B29" s="367"/>
      <c r="C29" s="367"/>
      <c r="D29" s="367"/>
      <c r="E29" s="367"/>
      <c r="F29" s="367"/>
      <c r="G29" s="367"/>
      <c r="H29" s="15"/>
      <c r="I29" s="15"/>
      <c r="J29" s="367"/>
      <c r="K29" s="367"/>
      <c r="L29" s="367"/>
      <c r="M29" s="24"/>
    </row>
    <row r="30" spans="1:13">
      <c r="A30" s="408" t="s">
        <v>77</v>
      </c>
      <c r="B30" s="419"/>
      <c r="C30" s="419"/>
      <c r="D30" s="419"/>
      <c r="E30" s="420"/>
      <c r="F30" s="421" t="s">
        <v>79</v>
      </c>
      <c r="G30" s="419"/>
      <c r="H30" s="422" t="s">
        <v>82</v>
      </c>
      <c r="I30" s="423"/>
      <c r="J30" s="359" t="s">
        <v>83</v>
      </c>
      <c r="K30" s="421" t="s">
        <v>84</v>
      </c>
      <c r="L30" s="424"/>
      <c r="M30" s="44" t="s">
        <v>85</v>
      </c>
    </row>
    <row r="31" spans="1:13">
      <c r="A31" s="539" t="s">
        <v>124</v>
      </c>
      <c r="B31" s="540"/>
      <c r="C31" s="540"/>
      <c r="D31" s="540"/>
      <c r="E31" s="541"/>
      <c r="F31" s="428" t="s">
        <v>125</v>
      </c>
      <c r="G31" s="429"/>
      <c r="H31" s="542" t="s">
        <v>86</v>
      </c>
      <c r="I31" s="541"/>
      <c r="J31" s="72">
        <v>705.89</v>
      </c>
      <c r="K31" s="428">
        <v>0.4</v>
      </c>
      <c r="L31" s="429"/>
      <c r="M31" s="231">
        <f>J31/K31</f>
        <v>1764.7249999999999</v>
      </c>
    </row>
    <row r="32" spans="1:13">
      <c r="A32" s="539"/>
      <c r="B32" s="540"/>
      <c r="C32" s="540"/>
      <c r="D32" s="540"/>
      <c r="E32" s="541"/>
      <c r="F32" s="428"/>
      <c r="G32" s="429"/>
      <c r="H32" s="542"/>
      <c r="I32" s="541"/>
      <c r="J32" s="72"/>
      <c r="K32" s="428"/>
      <c r="L32" s="429"/>
      <c r="M32" s="209">
        <f>J32*K32</f>
        <v>0</v>
      </c>
    </row>
    <row r="33" spans="1:13" ht="15.75" thickBot="1">
      <c r="A33" s="543"/>
      <c r="B33" s="544"/>
      <c r="C33" s="544"/>
      <c r="D33" s="544"/>
      <c r="E33" s="545"/>
      <c r="F33" s="414"/>
      <c r="G33" s="415"/>
      <c r="H33" s="546"/>
      <c r="I33" s="545"/>
      <c r="J33" s="91"/>
      <c r="K33" s="414"/>
      <c r="L33" s="415"/>
      <c r="M33" s="46"/>
    </row>
    <row r="34" spans="1:13" ht="15.75" thickBot="1">
      <c r="A34" s="416" t="s">
        <v>87</v>
      </c>
      <c r="B34" s="417"/>
      <c r="C34" s="417"/>
      <c r="D34" s="417"/>
      <c r="E34" s="417"/>
      <c r="F34" s="417"/>
      <c r="G34" s="417"/>
      <c r="H34" s="417"/>
      <c r="I34" s="417"/>
      <c r="J34" s="417"/>
      <c r="K34" s="417"/>
      <c r="L34" s="418"/>
      <c r="M34" s="232">
        <f>SUM(M31:M33)</f>
        <v>1764.7249999999999</v>
      </c>
    </row>
    <row r="35" spans="1:13">
      <c r="A35" s="50"/>
      <c r="B35" s="367"/>
      <c r="C35" s="367"/>
      <c r="D35" s="367"/>
      <c r="E35" s="367"/>
      <c r="F35" s="367"/>
      <c r="G35" s="367"/>
      <c r="H35" s="367"/>
      <c r="I35" s="367"/>
      <c r="J35" s="367"/>
      <c r="K35" s="367"/>
      <c r="L35" s="367"/>
      <c r="M35" s="24"/>
    </row>
    <row r="36" spans="1:13">
      <c r="A36" s="51" t="s">
        <v>88</v>
      </c>
      <c r="B36" s="52"/>
      <c r="C36" s="52"/>
      <c r="D36" s="52"/>
      <c r="E36" s="52"/>
      <c r="F36" s="52"/>
      <c r="G36" s="52"/>
      <c r="H36" s="52"/>
      <c r="I36" s="52"/>
      <c r="J36" s="52"/>
      <c r="K36" s="52"/>
      <c r="L36" s="52"/>
      <c r="M36" s="53"/>
    </row>
    <row r="37" spans="1:13" ht="15.75" thickBot="1">
      <c r="A37" s="14"/>
      <c r="B37" s="15"/>
      <c r="C37" s="15"/>
      <c r="D37" s="15"/>
      <c r="E37" s="15"/>
      <c r="F37" s="15"/>
      <c r="G37" s="15"/>
      <c r="H37" s="15"/>
      <c r="I37" s="367"/>
      <c r="J37" s="367"/>
      <c r="K37" s="367"/>
      <c r="L37" s="367"/>
      <c r="M37" s="24"/>
    </row>
    <row r="38" spans="1:13">
      <c r="A38" s="408" t="s">
        <v>77</v>
      </c>
      <c r="B38" s="431"/>
      <c r="C38" s="431"/>
      <c r="D38" s="431"/>
      <c r="E38" s="431"/>
      <c r="F38" s="431"/>
      <c r="G38" s="431"/>
      <c r="H38" s="424"/>
      <c r="I38" s="355" t="s">
        <v>79</v>
      </c>
      <c r="J38" s="359" t="s">
        <v>80</v>
      </c>
      <c r="K38" s="421" t="s">
        <v>89</v>
      </c>
      <c r="L38" s="424"/>
      <c r="M38" s="44" t="s">
        <v>85</v>
      </c>
    </row>
    <row r="39" spans="1:13" ht="15" customHeight="1">
      <c r="A39" s="539" t="s">
        <v>224</v>
      </c>
      <c r="B39" s="540"/>
      <c r="C39" s="540"/>
      <c r="D39" s="540"/>
      <c r="E39" s="540"/>
      <c r="F39" s="540"/>
      <c r="G39" s="540"/>
      <c r="H39" s="541"/>
      <c r="I39" s="73" t="s">
        <v>11</v>
      </c>
      <c r="J39" s="45">
        <v>1.3</v>
      </c>
      <c r="K39" s="456">
        <v>849</v>
      </c>
      <c r="L39" s="457"/>
      <c r="M39" s="56">
        <f>K39*J39</f>
        <v>1103.7</v>
      </c>
    </row>
    <row r="40" spans="1:13" ht="15" customHeight="1">
      <c r="A40" s="484" t="s">
        <v>456</v>
      </c>
      <c r="B40" s="485"/>
      <c r="C40" s="485"/>
      <c r="D40" s="485"/>
      <c r="E40" s="485"/>
      <c r="F40" s="485"/>
      <c r="G40" s="485"/>
      <c r="H40" s="486"/>
      <c r="I40" s="73" t="s">
        <v>9</v>
      </c>
      <c r="J40" s="93">
        <v>1</v>
      </c>
      <c r="K40" s="487">
        <v>72586</v>
      </c>
      <c r="L40" s="488"/>
      <c r="M40" s="56">
        <f t="shared" ref="M40:M43" si="0">K40*J40</f>
        <v>72586</v>
      </c>
    </row>
    <row r="41" spans="1:13">
      <c r="A41" s="484"/>
      <c r="B41" s="485"/>
      <c r="C41" s="485"/>
      <c r="D41" s="485"/>
      <c r="E41" s="485"/>
      <c r="F41" s="485"/>
      <c r="G41" s="485"/>
      <c r="H41" s="486"/>
      <c r="I41" s="73"/>
      <c r="J41" s="93"/>
      <c r="K41" s="487">
        <v>0</v>
      </c>
      <c r="L41" s="488"/>
      <c r="M41" s="56">
        <f t="shared" si="0"/>
        <v>0</v>
      </c>
    </row>
    <row r="42" spans="1:13">
      <c r="A42" s="539"/>
      <c r="B42" s="540"/>
      <c r="C42" s="540"/>
      <c r="D42" s="540"/>
      <c r="E42" s="540"/>
      <c r="F42" s="540"/>
      <c r="G42" s="540"/>
      <c r="H42" s="541"/>
      <c r="I42" s="73"/>
      <c r="J42" s="363"/>
      <c r="K42" s="456">
        <v>0</v>
      </c>
      <c r="L42" s="457"/>
      <c r="M42" s="56">
        <f t="shared" si="0"/>
        <v>0</v>
      </c>
    </row>
    <row r="43" spans="1:13">
      <c r="A43" s="539"/>
      <c r="B43" s="540"/>
      <c r="C43" s="540"/>
      <c r="D43" s="540"/>
      <c r="E43" s="540"/>
      <c r="F43" s="540"/>
      <c r="G43" s="540"/>
      <c r="H43" s="541"/>
      <c r="I43" s="73"/>
      <c r="J43" s="363"/>
      <c r="K43" s="456">
        <v>0</v>
      </c>
      <c r="L43" s="457"/>
      <c r="M43" s="56">
        <f t="shared" si="0"/>
        <v>0</v>
      </c>
    </row>
    <row r="44" spans="1:13">
      <c r="A44" s="539"/>
      <c r="B44" s="540"/>
      <c r="C44" s="540"/>
      <c r="D44" s="540"/>
      <c r="E44" s="540"/>
      <c r="F44" s="540"/>
      <c r="G44" s="540"/>
      <c r="H44" s="541"/>
      <c r="I44" s="73"/>
      <c r="J44" s="363"/>
      <c r="K44" s="456"/>
      <c r="L44" s="457"/>
      <c r="M44" s="56"/>
    </row>
    <row r="45" spans="1:13">
      <c r="A45" s="539"/>
      <c r="B45" s="540"/>
      <c r="C45" s="540"/>
      <c r="D45" s="540"/>
      <c r="E45" s="540"/>
      <c r="F45" s="540"/>
      <c r="G45" s="540"/>
      <c r="H45" s="541"/>
      <c r="I45" s="73"/>
      <c r="J45" s="363"/>
      <c r="K45" s="456"/>
      <c r="L45" s="457"/>
      <c r="M45" s="56"/>
    </row>
    <row r="46" spans="1:13">
      <c r="A46" s="539"/>
      <c r="B46" s="540"/>
      <c r="C46" s="540"/>
      <c r="D46" s="540"/>
      <c r="E46" s="540"/>
      <c r="F46" s="540"/>
      <c r="G46" s="540"/>
      <c r="H46" s="541"/>
      <c r="I46" s="73"/>
      <c r="J46" s="363"/>
      <c r="K46" s="456"/>
      <c r="L46" s="457"/>
      <c r="M46" s="56"/>
    </row>
    <row r="47" spans="1:13" ht="15.75" thickBot="1">
      <c r="A47" s="543"/>
      <c r="B47" s="544"/>
      <c r="C47" s="544"/>
      <c r="D47" s="544"/>
      <c r="E47" s="544"/>
      <c r="F47" s="544"/>
      <c r="G47" s="544"/>
      <c r="H47" s="545"/>
      <c r="I47" s="74"/>
      <c r="J47" s="211"/>
      <c r="K47" s="466"/>
      <c r="L47" s="467"/>
      <c r="M47" s="75"/>
    </row>
    <row r="48" spans="1:13" ht="15.75" thickBot="1">
      <c r="A48" s="416" t="s">
        <v>87</v>
      </c>
      <c r="B48" s="417"/>
      <c r="C48" s="417"/>
      <c r="D48" s="417"/>
      <c r="E48" s="417"/>
      <c r="F48" s="417"/>
      <c r="G48" s="417"/>
      <c r="H48" s="417"/>
      <c r="I48" s="417"/>
      <c r="J48" s="417"/>
      <c r="K48" s="417"/>
      <c r="L48" s="418"/>
      <c r="M48" s="58">
        <f>SUM(M39:M47)</f>
        <v>73689.7</v>
      </c>
    </row>
    <row r="49" spans="1:13">
      <c r="A49" s="30"/>
      <c r="B49" s="367"/>
      <c r="C49" s="367"/>
      <c r="D49" s="367"/>
      <c r="E49" s="367"/>
      <c r="F49" s="367"/>
      <c r="G49" s="367"/>
      <c r="H49" s="367"/>
      <c r="I49" s="367"/>
      <c r="J49" s="367"/>
      <c r="K49" s="367"/>
      <c r="L49" s="367"/>
      <c r="M49" s="24"/>
    </row>
    <row r="50" spans="1:13">
      <c r="A50" s="51" t="s">
        <v>90</v>
      </c>
      <c r="B50" s="52"/>
      <c r="C50" s="52"/>
      <c r="D50" s="52"/>
      <c r="E50" s="52"/>
      <c r="F50" s="52"/>
      <c r="G50" s="52"/>
      <c r="H50" s="52"/>
      <c r="I50" s="52"/>
      <c r="J50" s="52"/>
      <c r="K50" s="52"/>
      <c r="L50" s="52"/>
      <c r="M50" s="53"/>
    </row>
    <row r="51" spans="1:13" ht="15.75" thickBot="1">
      <c r="A51" s="30"/>
      <c r="B51" s="367"/>
      <c r="C51" s="367"/>
      <c r="D51" s="367"/>
      <c r="E51" s="367"/>
      <c r="F51" s="367"/>
      <c r="G51" s="367"/>
      <c r="H51" s="367"/>
      <c r="I51" s="367"/>
      <c r="J51" s="367"/>
      <c r="K51" s="367"/>
      <c r="L51" s="367"/>
      <c r="M51" s="24"/>
    </row>
    <row r="52" spans="1:13">
      <c r="A52" s="408" t="s">
        <v>91</v>
      </c>
      <c r="B52" s="431"/>
      <c r="C52" s="431"/>
      <c r="D52" s="431"/>
      <c r="E52" s="431"/>
      <c r="F52" s="431"/>
      <c r="G52" s="431"/>
      <c r="H52" s="359" t="s">
        <v>92</v>
      </c>
      <c r="I52" s="356" t="s">
        <v>93</v>
      </c>
      <c r="J52" s="369" t="s">
        <v>94</v>
      </c>
      <c r="K52" s="421" t="s">
        <v>95</v>
      </c>
      <c r="L52" s="424"/>
      <c r="M52" s="44" t="s">
        <v>85</v>
      </c>
    </row>
    <row r="53" spans="1:13">
      <c r="A53" s="539"/>
      <c r="B53" s="540"/>
      <c r="C53" s="540"/>
      <c r="D53" s="540"/>
      <c r="E53" s="540"/>
      <c r="F53" s="540"/>
      <c r="G53" s="540"/>
      <c r="H53" s="370"/>
      <c r="I53" s="368"/>
      <c r="J53" s="370"/>
      <c r="K53" s="428"/>
      <c r="L53" s="429"/>
    </row>
    <row r="54" spans="1:13" ht="15.75" thickBot="1">
      <c r="A54" s="543"/>
      <c r="B54" s="544"/>
      <c r="C54" s="544"/>
      <c r="D54" s="544"/>
      <c r="E54" s="544"/>
      <c r="F54" s="544"/>
      <c r="G54" s="544"/>
      <c r="H54" s="47"/>
      <c r="I54" s="15"/>
      <c r="J54" s="47"/>
      <c r="K54" s="414"/>
      <c r="L54" s="415"/>
      <c r="M54" s="62"/>
    </row>
    <row r="55" spans="1:13" ht="15.75" thickBot="1">
      <c r="A55" s="416" t="s">
        <v>87</v>
      </c>
      <c r="B55" s="417"/>
      <c r="C55" s="417"/>
      <c r="D55" s="417"/>
      <c r="E55" s="417"/>
      <c r="F55" s="417"/>
      <c r="G55" s="417"/>
      <c r="H55" s="417"/>
      <c r="I55" s="417"/>
      <c r="J55" s="417"/>
      <c r="K55" s="417"/>
      <c r="L55" s="418"/>
      <c r="M55" s="63">
        <f>SUM(M54:M54)</f>
        <v>0</v>
      </c>
    </row>
    <row r="56" spans="1:13">
      <c r="A56" s="30"/>
      <c r="B56" s="367"/>
      <c r="C56" s="367"/>
      <c r="D56" s="367"/>
      <c r="E56" s="367"/>
      <c r="F56" s="367"/>
      <c r="G56" s="367"/>
      <c r="H56" s="367"/>
      <c r="I56" s="367"/>
      <c r="J56" s="367"/>
      <c r="K56" s="367"/>
      <c r="L56" s="367"/>
      <c r="M56" s="24"/>
    </row>
    <row r="57" spans="1:13">
      <c r="A57" s="51" t="s">
        <v>96</v>
      </c>
      <c r="B57" s="52"/>
      <c r="C57" s="52"/>
      <c r="D57" s="52"/>
      <c r="E57" s="52"/>
      <c r="F57" s="52"/>
      <c r="G57" s="52"/>
      <c r="H57" s="52"/>
      <c r="I57" s="52"/>
      <c r="J57" s="52"/>
      <c r="K57" s="52"/>
      <c r="L57" s="52"/>
      <c r="M57" s="53"/>
    </row>
    <row r="58" spans="1:13" ht="15.75" thickBot="1">
      <c r="A58" s="30"/>
      <c r="B58" s="367"/>
      <c r="C58" s="367"/>
      <c r="D58" s="367"/>
      <c r="E58" s="367"/>
      <c r="F58" s="367"/>
      <c r="G58" s="367"/>
      <c r="H58" s="367"/>
      <c r="I58" s="367"/>
      <c r="J58" s="367"/>
      <c r="K58" s="367"/>
      <c r="L58" s="367"/>
      <c r="M58" s="24"/>
    </row>
    <row r="59" spans="1:13" ht="26.25">
      <c r="A59" s="453" t="s">
        <v>97</v>
      </c>
      <c r="B59" s="454"/>
      <c r="C59" s="454"/>
      <c r="D59" s="454"/>
      <c r="E59" s="454"/>
      <c r="F59" s="454"/>
      <c r="G59" s="454"/>
      <c r="H59" s="359" t="s">
        <v>98</v>
      </c>
      <c r="I59" s="360" t="s">
        <v>99</v>
      </c>
      <c r="J59" s="360" t="s">
        <v>100</v>
      </c>
      <c r="K59" s="455" t="s">
        <v>84</v>
      </c>
      <c r="L59" s="455"/>
      <c r="M59" s="65" t="s">
        <v>85</v>
      </c>
    </row>
    <row r="60" spans="1:13">
      <c r="A60" s="549" t="s">
        <v>126</v>
      </c>
      <c r="B60" s="550"/>
      <c r="C60" s="550"/>
      <c r="D60" s="550"/>
      <c r="E60" s="550"/>
      <c r="F60" s="550"/>
      <c r="G60" s="550"/>
      <c r="H60" s="1">
        <v>112923.49999999999</v>
      </c>
      <c r="I60" s="2">
        <v>2.2000000000000002</v>
      </c>
      <c r="J60" s="66">
        <f>(I60*H60)</f>
        <v>248431.69999999998</v>
      </c>
      <c r="K60" s="473">
        <v>12</v>
      </c>
      <c r="L60" s="473"/>
      <c r="M60" s="56">
        <f>J60/K60</f>
        <v>20702.641666666666</v>
      </c>
    </row>
    <row r="61" spans="1:13">
      <c r="A61" s="549"/>
      <c r="B61" s="550"/>
      <c r="C61" s="550"/>
      <c r="D61" s="550"/>
      <c r="E61" s="550"/>
      <c r="F61" s="550"/>
      <c r="G61" s="550"/>
      <c r="H61" s="1"/>
      <c r="I61" s="2"/>
      <c r="J61" s="66"/>
      <c r="K61" s="473"/>
      <c r="L61" s="473"/>
      <c r="M61" s="56"/>
    </row>
    <row r="62" spans="1:13" ht="15.75" thickBot="1">
      <c r="A62" s="551"/>
      <c r="B62" s="552"/>
      <c r="C62" s="552"/>
      <c r="D62" s="552"/>
      <c r="E62" s="552"/>
      <c r="F62" s="552"/>
      <c r="G62" s="552"/>
      <c r="H62" s="3"/>
      <c r="I62" s="4"/>
      <c r="J62" s="67"/>
      <c r="K62" s="434"/>
      <c r="L62" s="434"/>
      <c r="M62" s="68"/>
    </row>
    <row r="63" spans="1:13" ht="15.75" thickBot="1">
      <c r="A63" s="435" t="s">
        <v>87</v>
      </c>
      <c r="B63" s="436"/>
      <c r="C63" s="436"/>
      <c r="D63" s="436"/>
      <c r="E63" s="436"/>
      <c r="F63" s="436"/>
      <c r="G63" s="436"/>
      <c r="H63" s="436"/>
      <c r="I63" s="436"/>
      <c r="J63" s="436"/>
      <c r="K63" s="436"/>
      <c r="L63" s="437"/>
      <c r="M63" s="69">
        <f>SUM(M60:M62)</f>
        <v>20702.641666666666</v>
      </c>
    </row>
    <row r="64" spans="1:13" ht="15.75" thickBot="1">
      <c r="A64" s="30"/>
      <c r="B64" s="367"/>
      <c r="C64" s="367"/>
      <c r="D64" s="367"/>
      <c r="E64" s="367"/>
      <c r="F64" s="367"/>
      <c r="G64" s="367"/>
      <c r="H64" s="367"/>
      <c r="I64" s="367"/>
      <c r="J64" s="367"/>
      <c r="K64" s="367"/>
      <c r="L64" s="367"/>
      <c r="M64" s="24"/>
    </row>
    <row r="65" spans="1:13" ht="15.75" thickBot="1">
      <c r="A65" s="416" t="s">
        <v>101</v>
      </c>
      <c r="B65" s="417"/>
      <c r="C65" s="417"/>
      <c r="D65" s="417"/>
      <c r="E65" s="417"/>
      <c r="F65" s="417"/>
      <c r="G65" s="417"/>
      <c r="H65" s="417"/>
      <c r="I65" s="417"/>
      <c r="J65" s="417"/>
      <c r="K65" s="417"/>
      <c r="L65" s="418"/>
      <c r="M65" s="70">
        <f>ROUND(M63+M55+M48+M34,0)</f>
        <v>96157</v>
      </c>
    </row>
    <row r="66" spans="1:13">
      <c r="A66" s="30"/>
      <c r="B66" s="367"/>
      <c r="C66" s="367"/>
      <c r="D66" s="367"/>
      <c r="E66" s="367"/>
      <c r="F66" s="367"/>
      <c r="G66" s="367"/>
      <c r="H66" s="367"/>
      <c r="I66" s="367"/>
      <c r="J66" s="367"/>
      <c r="K66" s="367"/>
      <c r="L66" s="367"/>
      <c r="M66" s="24"/>
    </row>
    <row r="67" spans="1:13">
      <c r="A67" s="51" t="s">
        <v>102</v>
      </c>
      <c r="B67" s="52"/>
      <c r="C67" s="52"/>
      <c r="D67" s="52"/>
      <c r="E67" s="52"/>
      <c r="F67" s="52"/>
      <c r="G67" s="52"/>
      <c r="H67" s="52"/>
      <c r="I67" s="52"/>
      <c r="J67" s="52"/>
      <c r="K67" s="52"/>
      <c r="L67" s="52"/>
      <c r="M67" s="53"/>
    </row>
    <row r="68" spans="1:13" ht="15.75" thickBot="1">
      <c r="A68" s="30"/>
      <c r="B68" s="367"/>
      <c r="C68" s="367"/>
      <c r="D68" s="367"/>
      <c r="E68" s="367"/>
      <c r="F68" s="367"/>
      <c r="G68" s="367"/>
      <c r="H68" s="367"/>
      <c r="I68" s="367"/>
      <c r="J68" s="367"/>
      <c r="K68" s="367"/>
      <c r="L68" s="367"/>
      <c r="M68" s="24"/>
    </row>
    <row r="69" spans="1:13" ht="15.75" thickBot="1">
      <c r="A69" s="438" t="s">
        <v>103</v>
      </c>
      <c r="B69" s="439"/>
      <c r="C69" s="439"/>
      <c r="D69" s="439"/>
      <c r="E69" s="439"/>
      <c r="F69" s="439"/>
      <c r="G69" s="439"/>
      <c r="H69" s="357"/>
      <c r="I69" s="358"/>
      <c r="J69" s="81" t="s">
        <v>104</v>
      </c>
      <c r="K69" s="440" t="s">
        <v>105</v>
      </c>
      <c r="L69" s="441"/>
      <c r="M69" s="82"/>
    </row>
    <row r="70" spans="1:13">
      <c r="A70" s="553" t="s">
        <v>106</v>
      </c>
      <c r="B70" s="554"/>
      <c r="C70" s="554"/>
      <c r="D70" s="554"/>
      <c r="E70" s="554"/>
      <c r="F70" s="554"/>
      <c r="G70" s="554"/>
      <c r="H70" s="83"/>
      <c r="I70" s="84"/>
      <c r="J70" s="84">
        <v>0.19</v>
      </c>
      <c r="K70" s="444">
        <f>M65*J70</f>
        <v>18269.830000000002</v>
      </c>
      <c r="L70" s="444"/>
      <c r="M70" s="86"/>
    </row>
    <row r="71" spans="1:13">
      <c r="A71" s="447" t="s">
        <v>107</v>
      </c>
      <c r="B71" s="448"/>
      <c r="C71" s="448"/>
      <c r="D71" s="448"/>
      <c r="E71" s="448"/>
      <c r="F71" s="448"/>
      <c r="G71" s="449"/>
      <c r="H71" s="77"/>
      <c r="I71" s="78"/>
      <c r="J71" s="78">
        <v>0.01</v>
      </c>
      <c r="K71" s="445">
        <f>M65*J71</f>
        <v>961.57</v>
      </c>
      <c r="L71" s="445"/>
      <c r="M71" s="6"/>
    </row>
    <row r="72" spans="1:13">
      <c r="A72" s="447" t="s">
        <v>108</v>
      </c>
      <c r="B72" s="448"/>
      <c r="C72" s="448"/>
      <c r="D72" s="448"/>
      <c r="E72" s="448"/>
      <c r="F72" s="448"/>
      <c r="G72" s="449"/>
      <c r="H72" s="77"/>
      <c r="I72" s="78"/>
      <c r="J72" s="78">
        <v>0.05</v>
      </c>
      <c r="K72" s="445">
        <f>M65*J72</f>
        <v>4807.8500000000004</v>
      </c>
      <c r="L72" s="445"/>
      <c r="M72" s="6"/>
    </row>
    <row r="73" spans="1:13" ht="15.75" thickBot="1">
      <c r="A73" s="450" t="s">
        <v>117</v>
      </c>
      <c r="B73" s="451"/>
      <c r="C73" s="451"/>
      <c r="D73" s="451"/>
      <c r="E73" s="451"/>
      <c r="F73" s="451"/>
      <c r="G73" s="452"/>
      <c r="H73" s="87"/>
      <c r="I73" s="88"/>
      <c r="J73" s="88">
        <v>0.19</v>
      </c>
      <c r="K73" s="446">
        <f>K72*J73</f>
        <v>913.49150000000009</v>
      </c>
      <c r="L73" s="446"/>
      <c r="M73" s="90"/>
    </row>
    <row r="74" spans="1:13" ht="15.75" thickBot="1">
      <c r="A74" s="435" t="s">
        <v>87</v>
      </c>
      <c r="B74" s="436"/>
      <c r="C74" s="436"/>
      <c r="D74" s="436"/>
      <c r="E74" s="436"/>
      <c r="F74" s="436"/>
      <c r="G74" s="436"/>
      <c r="H74" s="436"/>
      <c r="I74" s="436"/>
      <c r="J74" s="436"/>
      <c r="K74" s="436"/>
      <c r="L74" s="437"/>
      <c r="M74" s="76">
        <f>SUM(K70:L73)</f>
        <v>24952.7415</v>
      </c>
    </row>
    <row r="75" spans="1:13" ht="15.75" thickBot="1">
      <c r="A75" s="30"/>
      <c r="B75" s="367"/>
      <c r="C75" s="367"/>
      <c r="D75" s="367"/>
      <c r="E75" s="367"/>
      <c r="F75" s="367"/>
      <c r="G75" s="367"/>
      <c r="H75" s="367"/>
      <c r="I75" s="367"/>
      <c r="J75" s="367"/>
      <c r="K75" s="367"/>
      <c r="L75" s="367"/>
      <c r="M75" s="24"/>
    </row>
    <row r="76" spans="1:13" ht="15.75" thickBot="1">
      <c r="A76" s="416" t="s">
        <v>109</v>
      </c>
      <c r="B76" s="417"/>
      <c r="C76" s="417"/>
      <c r="D76" s="417"/>
      <c r="E76" s="417"/>
      <c r="F76" s="417"/>
      <c r="G76" s="417"/>
      <c r="H76" s="417"/>
      <c r="I76" s="417"/>
      <c r="J76" s="417"/>
      <c r="K76" s="417"/>
      <c r="L76" s="418"/>
      <c r="M76" s="71">
        <f>ROUND(M65+M74,0)</f>
        <v>121110</v>
      </c>
    </row>
  </sheetData>
  <mergeCells count="87">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A32:E32"/>
    <mergeCell ref="F32:G32"/>
    <mergeCell ref="H32:I32"/>
    <mergeCell ref="K32:L32"/>
    <mergeCell ref="A33:E33"/>
    <mergeCell ref="F33:G33"/>
    <mergeCell ref="H33:I33"/>
    <mergeCell ref="K33:L33"/>
    <mergeCell ref="A34:L34"/>
    <mergeCell ref="A38:H38"/>
    <mergeCell ref="K38:L38"/>
    <mergeCell ref="A39:H39"/>
    <mergeCell ref="K39:L39"/>
    <mergeCell ref="A41:H41"/>
    <mergeCell ref="K41:L41"/>
    <mergeCell ref="A42:H42"/>
    <mergeCell ref="K42:L42"/>
    <mergeCell ref="A43:H43"/>
    <mergeCell ref="K43:L43"/>
    <mergeCell ref="A53:G53"/>
    <mergeCell ref="K53:L53"/>
    <mergeCell ref="A44:H44"/>
    <mergeCell ref="K44:L44"/>
    <mergeCell ref="A45:H45"/>
    <mergeCell ref="K45:L45"/>
    <mergeCell ref="A46:H46"/>
    <mergeCell ref="K46:L46"/>
    <mergeCell ref="A47:H47"/>
    <mergeCell ref="K47:L47"/>
    <mergeCell ref="A48:L48"/>
    <mergeCell ref="A52:G52"/>
    <mergeCell ref="K52:L52"/>
    <mergeCell ref="A65:L65"/>
    <mergeCell ref="A54:G54"/>
    <mergeCell ref="K54:L54"/>
    <mergeCell ref="A55:L55"/>
    <mergeCell ref="A59:G59"/>
    <mergeCell ref="K59:L59"/>
    <mergeCell ref="A60:G60"/>
    <mergeCell ref="K60:L60"/>
    <mergeCell ref="A61:G61"/>
    <mergeCell ref="K61:L61"/>
    <mergeCell ref="A62:G62"/>
    <mergeCell ref="K62:L62"/>
    <mergeCell ref="A63:L63"/>
    <mergeCell ref="A76:L76"/>
    <mergeCell ref="A69:G69"/>
    <mergeCell ref="K69:L69"/>
    <mergeCell ref="A70:G70"/>
    <mergeCell ref="K70:L70"/>
    <mergeCell ref="A71:G71"/>
    <mergeCell ref="K71:L71"/>
    <mergeCell ref="A72:G72"/>
    <mergeCell ref="K72:L72"/>
    <mergeCell ref="A73:G73"/>
    <mergeCell ref="K73:L73"/>
    <mergeCell ref="A74:L74"/>
  </mergeCells>
  <pageMargins left="0.7" right="0.7" top="0.75" bottom="0.75" header="0.3" footer="0.3"/>
  <pageSetup scale="57"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view="pageBreakPreview" topLeftCell="A49" zoomScale="80" zoomScaleNormal="100" zoomScaleSheetLayoutView="80" workbookViewId="0">
      <selection activeCell="M65" sqref="M65"/>
    </sheetView>
  </sheetViews>
  <sheetFormatPr baseColWidth="10" defaultRowHeight="15"/>
  <cols>
    <col min="1" max="1" width="11.42578125" customWidth="1"/>
    <col min="2" max="2" width="15.28515625" customWidth="1"/>
    <col min="8" max="8" width="13.140625" bestFit="1" customWidth="1"/>
    <col min="10" max="10" width="13.42578125" bestFit="1" customWidth="1"/>
    <col min="13" max="13" width="13.5703125" bestFit="1" customWidth="1"/>
  </cols>
  <sheetData>
    <row r="1" spans="1:13" ht="15" customHeight="1">
      <c r="A1" s="458"/>
      <c r="B1" s="459"/>
      <c r="C1" s="459"/>
      <c r="D1" s="387" t="s">
        <v>67</v>
      </c>
      <c r="E1" s="387"/>
      <c r="F1" s="387"/>
      <c r="G1" s="387"/>
      <c r="H1" s="387"/>
      <c r="I1" s="387"/>
      <c r="J1" s="387"/>
      <c r="K1" s="381"/>
      <c r="L1" s="381"/>
      <c r="M1" s="382"/>
    </row>
    <row r="2" spans="1:13">
      <c r="A2" s="460"/>
      <c r="B2" s="389"/>
      <c r="C2" s="389"/>
      <c r="D2" s="388"/>
      <c r="E2" s="388"/>
      <c r="F2" s="388"/>
      <c r="G2" s="388"/>
      <c r="H2" s="388"/>
      <c r="I2" s="388"/>
      <c r="J2" s="388"/>
      <c r="K2" s="383"/>
      <c r="L2" s="383"/>
      <c r="M2" s="384"/>
    </row>
    <row r="3" spans="1:13">
      <c r="A3" s="460"/>
      <c r="B3" s="389"/>
      <c r="C3" s="389"/>
      <c r="D3" s="388"/>
      <c r="E3" s="388"/>
      <c r="F3" s="388"/>
      <c r="G3" s="388"/>
      <c r="H3" s="388"/>
      <c r="I3" s="388"/>
      <c r="J3" s="388"/>
      <c r="K3" s="383"/>
      <c r="L3" s="383"/>
      <c r="M3" s="384"/>
    </row>
    <row r="4" spans="1:13" ht="15" customHeight="1">
      <c r="A4" s="460"/>
      <c r="B4" s="389"/>
      <c r="C4" s="389"/>
      <c r="D4" s="389" t="s">
        <v>112</v>
      </c>
      <c r="E4" s="389"/>
      <c r="F4" s="389"/>
      <c r="G4" s="389"/>
      <c r="H4" s="389"/>
      <c r="I4" s="389"/>
      <c r="J4" s="389"/>
      <c r="K4" s="383"/>
      <c r="L4" s="383"/>
      <c r="M4" s="384"/>
    </row>
    <row r="5" spans="1:13">
      <c r="A5" s="460"/>
      <c r="B5" s="389"/>
      <c r="C5" s="389"/>
      <c r="D5" s="389"/>
      <c r="E5" s="389"/>
      <c r="F5" s="389"/>
      <c r="G5" s="389"/>
      <c r="H5" s="389"/>
      <c r="I5" s="389"/>
      <c r="J5" s="389"/>
      <c r="K5" s="383"/>
      <c r="L5" s="383"/>
      <c r="M5" s="384"/>
    </row>
    <row r="6" spans="1:13">
      <c r="A6" s="460"/>
      <c r="B6" s="389"/>
      <c r="C6" s="389"/>
      <c r="D6" s="389"/>
      <c r="E6" s="389"/>
      <c r="F6" s="389"/>
      <c r="G6" s="389"/>
      <c r="H6" s="389"/>
      <c r="I6" s="389"/>
      <c r="J6" s="389"/>
      <c r="K6" s="383"/>
      <c r="L6" s="383"/>
      <c r="M6" s="384"/>
    </row>
    <row r="7" spans="1:13" ht="15.75" thickBot="1">
      <c r="A7" s="461"/>
      <c r="B7" s="390"/>
      <c r="C7" s="390"/>
      <c r="D7" s="390"/>
      <c r="E7" s="390"/>
      <c r="F7" s="390"/>
      <c r="G7" s="390"/>
      <c r="H7" s="390"/>
      <c r="I7" s="390"/>
      <c r="J7" s="390"/>
      <c r="K7" s="385"/>
      <c r="L7" s="385"/>
      <c r="M7" s="386"/>
    </row>
    <row r="8" spans="1:13">
      <c r="A8" s="361"/>
      <c r="B8" s="8"/>
      <c r="C8" s="8"/>
      <c r="D8" s="8"/>
      <c r="E8" s="8"/>
      <c r="F8" s="8"/>
      <c r="G8" s="8"/>
      <c r="H8" s="8"/>
      <c r="I8" s="8"/>
      <c r="J8" s="8"/>
      <c r="K8" s="9"/>
      <c r="L8" s="9"/>
      <c r="M8" s="10"/>
    </row>
    <row r="9" spans="1:13">
      <c r="A9" s="462" t="s">
        <v>68</v>
      </c>
      <c r="B9" s="463"/>
      <c r="C9" s="379"/>
      <c r="D9" s="379"/>
      <c r="E9" s="379"/>
      <c r="F9" s="379"/>
      <c r="G9" s="379"/>
      <c r="H9" s="379"/>
      <c r="I9" s="11"/>
      <c r="J9" s="11" t="s">
        <v>69</v>
      </c>
      <c r="K9" s="378"/>
      <c r="L9" s="379"/>
      <c r="M9" s="380"/>
    </row>
    <row r="10" spans="1:13" ht="15.75" thickBot="1">
      <c r="A10" s="14"/>
      <c r="B10" s="15"/>
      <c r="C10" s="15"/>
      <c r="D10" s="15"/>
      <c r="E10" s="15"/>
      <c r="F10" s="15"/>
      <c r="G10" s="15"/>
      <c r="H10" s="15"/>
      <c r="I10" s="15"/>
      <c r="J10" s="15"/>
      <c r="K10" s="15"/>
      <c r="L10" s="15"/>
      <c r="M10" s="16"/>
    </row>
    <row r="11" spans="1:13">
      <c r="A11" s="17"/>
      <c r="B11" s="18"/>
      <c r="C11" s="19"/>
      <c r="D11" s="19"/>
      <c r="E11" s="19"/>
      <c r="F11" s="19"/>
      <c r="G11" s="19"/>
      <c r="H11" s="19"/>
      <c r="I11" s="19"/>
      <c r="J11" s="19"/>
      <c r="K11" s="19"/>
      <c r="L11" s="19"/>
      <c r="M11" s="20"/>
    </row>
    <row r="12" spans="1:13">
      <c r="A12" s="21" t="s">
        <v>70</v>
      </c>
      <c r="B12" s="22"/>
      <c r="C12" s="394"/>
      <c r="D12" s="394"/>
      <c r="E12" s="394"/>
      <c r="F12" s="394"/>
      <c r="G12" s="362" t="s">
        <v>71</v>
      </c>
      <c r="H12" s="394"/>
      <c r="I12" s="394"/>
      <c r="J12" s="23"/>
      <c r="K12" s="23"/>
      <c r="L12" s="23"/>
      <c r="M12" s="24"/>
    </row>
    <row r="13" spans="1:13">
      <c r="A13" s="25" t="s">
        <v>72</v>
      </c>
      <c r="B13" s="26"/>
      <c r="C13" s="395" t="s">
        <v>136</v>
      </c>
      <c r="D13" s="396"/>
      <c r="E13" s="396"/>
      <c r="F13" s="396"/>
      <c r="G13" s="396"/>
      <c r="H13" s="396"/>
      <c r="I13" s="396"/>
      <c r="J13" s="396"/>
      <c r="K13" s="396"/>
      <c r="L13" s="396"/>
      <c r="M13" s="397"/>
    </row>
    <row r="14" spans="1:13">
      <c r="A14" s="25"/>
      <c r="B14" s="26"/>
      <c r="C14" s="398"/>
      <c r="D14" s="398"/>
      <c r="E14" s="398"/>
      <c r="F14" s="398"/>
      <c r="G14" s="398"/>
      <c r="H14" s="398"/>
      <c r="I14" s="398"/>
      <c r="J14" s="398"/>
      <c r="K14" s="398"/>
      <c r="L14" s="398"/>
      <c r="M14" s="399"/>
    </row>
    <row r="15" spans="1:13">
      <c r="A15" s="25"/>
      <c r="B15" s="26"/>
      <c r="C15" s="365"/>
      <c r="D15" s="365"/>
      <c r="E15" s="365"/>
      <c r="F15" s="365"/>
      <c r="G15" s="365"/>
      <c r="H15" s="365"/>
      <c r="I15" s="365"/>
      <c r="J15" s="365"/>
      <c r="K15" s="365"/>
      <c r="L15" s="365"/>
      <c r="M15" s="366"/>
    </row>
    <row r="16" spans="1:13">
      <c r="A16" s="25" t="s">
        <v>73</v>
      </c>
      <c r="B16" s="26"/>
      <c r="C16" s="379"/>
      <c r="D16" s="379"/>
      <c r="E16" s="379"/>
      <c r="F16" s="379"/>
      <c r="G16" s="379"/>
      <c r="H16" s="379"/>
      <c r="I16" s="379"/>
      <c r="J16" s="379"/>
      <c r="K16" s="379"/>
      <c r="L16" s="379"/>
      <c r="M16" s="380"/>
    </row>
    <row r="17" spans="1:13">
      <c r="A17" s="25"/>
      <c r="B17" s="26"/>
      <c r="C17" s="362"/>
      <c r="D17" s="362"/>
      <c r="E17" s="362"/>
      <c r="F17" s="362"/>
      <c r="G17" s="362"/>
      <c r="H17" s="362"/>
      <c r="I17" s="362"/>
      <c r="J17" s="362"/>
      <c r="K17" s="362"/>
      <c r="L17" s="362"/>
      <c r="M17" s="13"/>
    </row>
    <row r="18" spans="1:13">
      <c r="A18" s="25" t="s">
        <v>74</v>
      </c>
      <c r="B18" s="26"/>
      <c r="C18" s="379"/>
      <c r="D18" s="379"/>
      <c r="E18" s="379"/>
      <c r="F18" s="379"/>
      <c r="G18" s="379"/>
      <c r="H18" s="379"/>
      <c r="I18" s="379"/>
      <c r="J18" s="379"/>
      <c r="K18" s="379"/>
      <c r="L18" s="379"/>
      <c r="M18" s="380"/>
    </row>
    <row r="19" spans="1:13">
      <c r="A19" s="25"/>
      <c r="B19" s="26"/>
      <c r="C19" s="362"/>
      <c r="D19" s="362"/>
      <c r="E19" s="362"/>
      <c r="F19" s="362"/>
      <c r="G19" s="362"/>
      <c r="H19" s="362"/>
      <c r="I19" s="362"/>
      <c r="J19" s="362"/>
      <c r="K19" s="362"/>
      <c r="L19" s="362"/>
      <c r="M19" s="13"/>
    </row>
    <row r="20" spans="1:13" ht="31.5" customHeight="1">
      <c r="A20" s="464" t="s">
        <v>113</v>
      </c>
      <c r="B20" s="465"/>
      <c r="C20" s="379"/>
      <c r="D20" s="379"/>
      <c r="E20" s="379"/>
      <c r="F20" s="379"/>
      <c r="G20" s="379"/>
      <c r="H20" s="379"/>
      <c r="I20" s="379"/>
      <c r="J20" s="379"/>
      <c r="K20" s="379"/>
      <c r="L20" s="379"/>
      <c r="M20" s="380"/>
    </row>
    <row r="21" spans="1:13">
      <c r="A21" s="400"/>
      <c r="B21" s="401"/>
      <c r="C21" s="362"/>
      <c r="D21" s="362"/>
      <c r="E21" s="362"/>
      <c r="F21" s="362"/>
      <c r="G21" s="362"/>
      <c r="H21" s="362"/>
      <c r="I21" s="362"/>
      <c r="J21" s="362"/>
      <c r="K21" s="362"/>
      <c r="L21" s="362"/>
      <c r="M21" s="13"/>
    </row>
    <row r="22" spans="1:13" ht="15.75" thickBot="1">
      <c r="A22" s="14"/>
      <c r="B22" s="29"/>
      <c r="C22" s="29"/>
      <c r="D22" s="29"/>
      <c r="E22" s="29"/>
      <c r="F22" s="29"/>
      <c r="G22" s="29"/>
      <c r="H22" s="29"/>
      <c r="I22" s="29"/>
      <c r="J22" s="29"/>
      <c r="K22" s="29"/>
      <c r="L22" s="29"/>
      <c r="M22" s="16"/>
    </row>
    <row r="23" spans="1:13">
      <c r="A23" s="402" t="s">
        <v>75</v>
      </c>
      <c r="B23" s="403"/>
      <c r="C23" s="403"/>
      <c r="D23" s="403"/>
      <c r="E23" s="403"/>
      <c r="F23" s="403"/>
      <c r="G23" s="403"/>
      <c r="H23" s="403"/>
      <c r="I23" s="403"/>
      <c r="J23" s="403"/>
      <c r="K23" s="403"/>
      <c r="L23" s="403"/>
      <c r="M23" s="404"/>
    </row>
    <row r="24" spans="1:13" ht="15.75" thickBot="1">
      <c r="A24" s="30"/>
      <c r="B24" s="19"/>
      <c r="C24" s="19"/>
      <c r="D24" s="19"/>
      <c r="E24" s="19"/>
      <c r="F24" s="19"/>
      <c r="G24" s="19"/>
      <c r="H24" s="19"/>
      <c r="I24" s="19"/>
      <c r="J24" s="19"/>
      <c r="K24" s="19"/>
      <c r="L24" s="19"/>
      <c r="M24" s="24"/>
    </row>
    <row r="25" spans="1:13" ht="26.25">
      <c r="A25" s="31" t="s">
        <v>76</v>
      </c>
      <c r="B25" s="405" t="s">
        <v>77</v>
      </c>
      <c r="C25" s="406"/>
      <c r="D25" s="406"/>
      <c r="E25" s="406"/>
      <c r="F25" s="406"/>
      <c r="G25" s="406"/>
      <c r="H25" s="406"/>
      <c r="I25" s="407"/>
      <c r="J25" s="354" t="s">
        <v>78</v>
      </c>
      <c r="K25" s="408" t="s">
        <v>79</v>
      </c>
      <c r="L25" s="409"/>
      <c r="M25" s="31" t="s">
        <v>80</v>
      </c>
    </row>
    <row r="26" spans="1:13" ht="54" customHeight="1" thickBot="1">
      <c r="A26" s="227"/>
      <c r="B26" s="505" t="s">
        <v>458</v>
      </c>
      <c r="C26" s="528"/>
      <c r="D26" s="528"/>
      <c r="E26" s="528"/>
      <c r="F26" s="528"/>
      <c r="G26" s="528"/>
      <c r="H26" s="528"/>
      <c r="I26" s="529"/>
      <c r="J26" s="364">
        <v>1</v>
      </c>
      <c r="K26" s="508" t="s">
        <v>9</v>
      </c>
      <c r="L26" s="507"/>
      <c r="M26" s="228"/>
    </row>
    <row r="27" spans="1:13">
      <c r="A27" s="30"/>
      <c r="B27" s="367"/>
      <c r="C27" s="367"/>
      <c r="D27" s="367"/>
      <c r="E27" s="367"/>
      <c r="F27" s="367"/>
      <c r="G27" s="367"/>
      <c r="H27" s="367"/>
      <c r="I27" s="367"/>
      <c r="J27" s="367"/>
      <c r="K27" s="367"/>
      <c r="L27" s="367"/>
      <c r="M27" s="24"/>
    </row>
    <row r="28" spans="1:13">
      <c r="A28" s="36" t="s">
        <v>81</v>
      </c>
      <c r="B28" s="37"/>
      <c r="C28" s="37"/>
      <c r="D28" s="37"/>
      <c r="E28" s="37"/>
      <c r="F28" s="37"/>
      <c r="G28" s="37"/>
      <c r="H28" s="37"/>
      <c r="I28" s="37"/>
      <c r="J28" s="37"/>
      <c r="K28" s="37"/>
      <c r="L28" s="37"/>
      <c r="M28" s="38"/>
    </row>
    <row r="29" spans="1:13" ht="15.75" thickBot="1">
      <c r="A29" s="50"/>
      <c r="B29" s="367"/>
      <c r="C29" s="367"/>
      <c r="D29" s="367"/>
      <c r="E29" s="367"/>
      <c r="F29" s="367"/>
      <c r="G29" s="367"/>
      <c r="H29" s="15"/>
      <c r="I29" s="15"/>
      <c r="J29" s="367"/>
      <c r="K29" s="367"/>
      <c r="L29" s="367"/>
      <c r="M29" s="24"/>
    </row>
    <row r="30" spans="1:13">
      <c r="A30" s="408" t="s">
        <v>77</v>
      </c>
      <c r="B30" s="419"/>
      <c r="C30" s="419"/>
      <c r="D30" s="419"/>
      <c r="E30" s="420"/>
      <c r="F30" s="421" t="s">
        <v>79</v>
      </c>
      <c r="G30" s="419"/>
      <c r="H30" s="422" t="s">
        <v>82</v>
      </c>
      <c r="I30" s="423"/>
      <c r="J30" s="359" t="s">
        <v>83</v>
      </c>
      <c r="K30" s="421" t="s">
        <v>84</v>
      </c>
      <c r="L30" s="424"/>
      <c r="M30" s="44" t="s">
        <v>85</v>
      </c>
    </row>
    <row r="31" spans="1:13">
      <c r="A31" s="539" t="s">
        <v>124</v>
      </c>
      <c r="B31" s="540"/>
      <c r="C31" s="540"/>
      <c r="D31" s="540"/>
      <c r="E31" s="541"/>
      <c r="F31" s="428" t="s">
        <v>125</v>
      </c>
      <c r="G31" s="429"/>
      <c r="H31" s="542" t="s">
        <v>86</v>
      </c>
      <c r="I31" s="541"/>
      <c r="J31" s="72">
        <v>705.89</v>
      </c>
      <c r="K31" s="428">
        <v>0.4</v>
      </c>
      <c r="L31" s="429"/>
      <c r="M31" s="231">
        <f>J31/K31</f>
        <v>1764.7249999999999</v>
      </c>
    </row>
    <row r="32" spans="1:13">
      <c r="A32" s="539"/>
      <c r="B32" s="540"/>
      <c r="C32" s="540"/>
      <c r="D32" s="540"/>
      <c r="E32" s="541"/>
      <c r="F32" s="428"/>
      <c r="G32" s="429"/>
      <c r="H32" s="542"/>
      <c r="I32" s="541"/>
      <c r="J32" s="72"/>
      <c r="K32" s="428"/>
      <c r="L32" s="429"/>
      <c r="M32" s="209">
        <f>J32*K32</f>
        <v>0</v>
      </c>
    </row>
    <row r="33" spans="1:13" ht="15.75" thickBot="1">
      <c r="A33" s="543"/>
      <c r="B33" s="544"/>
      <c r="C33" s="544"/>
      <c r="D33" s="544"/>
      <c r="E33" s="545"/>
      <c r="F33" s="414"/>
      <c r="G33" s="415"/>
      <c r="H33" s="546"/>
      <c r="I33" s="545"/>
      <c r="J33" s="91"/>
      <c r="K33" s="414"/>
      <c r="L33" s="415"/>
      <c r="M33" s="46"/>
    </row>
    <row r="34" spans="1:13" ht="15.75" thickBot="1">
      <c r="A34" s="416" t="s">
        <v>87</v>
      </c>
      <c r="B34" s="417"/>
      <c r="C34" s="417"/>
      <c r="D34" s="417"/>
      <c r="E34" s="417"/>
      <c r="F34" s="417"/>
      <c r="G34" s="417"/>
      <c r="H34" s="417"/>
      <c r="I34" s="417"/>
      <c r="J34" s="417"/>
      <c r="K34" s="417"/>
      <c r="L34" s="418"/>
      <c r="M34" s="232">
        <f>SUM(M31:M33)</f>
        <v>1764.7249999999999</v>
      </c>
    </row>
    <row r="35" spans="1:13">
      <c r="A35" s="50"/>
      <c r="B35" s="367"/>
      <c r="C35" s="367"/>
      <c r="D35" s="367"/>
      <c r="E35" s="367"/>
      <c r="F35" s="367"/>
      <c r="G35" s="367"/>
      <c r="H35" s="367"/>
      <c r="I35" s="367"/>
      <c r="J35" s="367"/>
      <c r="K35" s="367"/>
      <c r="L35" s="367"/>
      <c r="M35" s="24"/>
    </row>
    <row r="36" spans="1:13">
      <c r="A36" s="51" t="s">
        <v>88</v>
      </c>
      <c r="B36" s="52"/>
      <c r="C36" s="52"/>
      <c r="D36" s="52"/>
      <c r="E36" s="52"/>
      <c r="F36" s="52"/>
      <c r="G36" s="52"/>
      <c r="H36" s="52"/>
      <c r="I36" s="52"/>
      <c r="J36" s="52"/>
      <c r="K36" s="52"/>
      <c r="L36" s="52"/>
      <c r="M36" s="53"/>
    </row>
    <row r="37" spans="1:13" ht="15.75" thickBot="1">
      <c r="A37" s="14"/>
      <c r="B37" s="15"/>
      <c r="C37" s="15"/>
      <c r="D37" s="15"/>
      <c r="E37" s="15"/>
      <c r="F37" s="15"/>
      <c r="G37" s="15"/>
      <c r="H37" s="15"/>
      <c r="I37" s="367"/>
      <c r="J37" s="367"/>
      <c r="K37" s="367"/>
      <c r="L37" s="367"/>
      <c r="M37" s="24"/>
    </row>
    <row r="38" spans="1:13">
      <c r="A38" s="408" t="s">
        <v>77</v>
      </c>
      <c r="B38" s="431"/>
      <c r="C38" s="431"/>
      <c r="D38" s="431"/>
      <c r="E38" s="431"/>
      <c r="F38" s="431"/>
      <c r="G38" s="431"/>
      <c r="H38" s="424"/>
      <c r="I38" s="355" t="s">
        <v>79</v>
      </c>
      <c r="J38" s="359" t="s">
        <v>80</v>
      </c>
      <c r="K38" s="421" t="s">
        <v>89</v>
      </c>
      <c r="L38" s="424"/>
      <c r="M38" s="44" t="s">
        <v>85</v>
      </c>
    </row>
    <row r="39" spans="1:13" ht="15" customHeight="1">
      <c r="A39" s="516" t="s">
        <v>459</v>
      </c>
      <c r="B39" s="559"/>
      <c r="C39" s="559"/>
      <c r="D39" s="559"/>
      <c r="E39" s="559"/>
      <c r="F39" s="559"/>
      <c r="G39" s="559"/>
      <c r="H39" s="560"/>
      <c r="I39" s="73" t="s">
        <v>9</v>
      </c>
      <c r="J39" s="363">
        <v>1</v>
      </c>
      <c r="K39" s="456">
        <v>149364</v>
      </c>
      <c r="L39" s="457"/>
      <c r="M39" s="56">
        <f>K39*J39</f>
        <v>149364</v>
      </c>
    </row>
    <row r="40" spans="1:13" ht="15" customHeight="1">
      <c r="A40" s="539" t="s">
        <v>423</v>
      </c>
      <c r="B40" s="540"/>
      <c r="C40" s="540"/>
      <c r="D40" s="540"/>
      <c r="E40" s="540"/>
      <c r="F40" s="540"/>
      <c r="G40" s="540"/>
      <c r="H40" s="541"/>
      <c r="I40" s="73" t="s">
        <v>9</v>
      </c>
      <c r="J40" s="363">
        <v>1</v>
      </c>
      <c r="K40" s="456">
        <v>283995</v>
      </c>
      <c r="L40" s="457"/>
      <c r="M40" s="56">
        <f t="shared" ref="M40:M43" si="0">K40*J40</f>
        <v>283995</v>
      </c>
    </row>
    <row r="41" spans="1:13">
      <c r="A41" s="539" t="s">
        <v>416</v>
      </c>
      <c r="B41" s="540"/>
      <c r="C41" s="540"/>
      <c r="D41" s="540"/>
      <c r="E41" s="540"/>
      <c r="F41" s="540"/>
      <c r="G41" s="540"/>
      <c r="H41" s="541"/>
      <c r="I41" s="73" t="s">
        <v>11</v>
      </c>
      <c r="J41" s="363">
        <v>0.5</v>
      </c>
      <c r="K41" s="456">
        <v>367821</v>
      </c>
      <c r="L41" s="457"/>
      <c r="M41" s="56">
        <f t="shared" si="0"/>
        <v>183910.5</v>
      </c>
    </row>
    <row r="42" spans="1:13">
      <c r="A42" s="539" t="s">
        <v>460</v>
      </c>
      <c r="B42" s="540"/>
      <c r="C42" s="540"/>
      <c r="D42" s="540"/>
      <c r="E42" s="540"/>
      <c r="F42" s="540"/>
      <c r="G42" s="540"/>
      <c r="H42" s="541"/>
      <c r="I42" s="73"/>
      <c r="J42" s="363">
        <v>0.5</v>
      </c>
      <c r="K42" s="456">
        <v>100900</v>
      </c>
      <c r="L42" s="457"/>
      <c r="M42" s="56">
        <f t="shared" si="0"/>
        <v>50450</v>
      </c>
    </row>
    <row r="43" spans="1:13">
      <c r="A43" s="539"/>
      <c r="B43" s="540"/>
      <c r="C43" s="540"/>
      <c r="D43" s="540"/>
      <c r="E43" s="540"/>
      <c r="F43" s="540"/>
      <c r="G43" s="540"/>
      <c r="H43" s="541"/>
      <c r="I43" s="73"/>
      <c r="J43" s="363"/>
      <c r="K43" s="456">
        <v>0</v>
      </c>
      <c r="L43" s="457"/>
      <c r="M43" s="56">
        <f t="shared" si="0"/>
        <v>0</v>
      </c>
    </row>
    <row r="44" spans="1:13">
      <c r="A44" s="539"/>
      <c r="B44" s="540"/>
      <c r="C44" s="540"/>
      <c r="D44" s="540"/>
      <c r="E44" s="540"/>
      <c r="F44" s="540"/>
      <c r="G44" s="540"/>
      <c r="H44" s="541"/>
      <c r="I44" s="73"/>
      <c r="J44" s="363"/>
      <c r="K44" s="456"/>
      <c r="L44" s="457"/>
      <c r="M44" s="56"/>
    </row>
    <row r="45" spans="1:13">
      <c r="A45" s="539"/>
      <c r="B45" s="540"/>
      <c r="C45" s="540"/>
      <c r="D45" s="540"/>
      <c r="E45" s="540"/>
      <c r="F45" s="540"/>
      <c r="G45" s="540"/>
      <c r="H45" s="541"/>
      <c r="I45" s="73"/>
      <c r="J45" s="363"/>
      <c r="K45" s="456"/>
      <c r="L45" s="457"/>
      <c r="M45" s="56"/>
    </row>
    <row r="46" spans="1:13">
      <c r="A46" s="539"/>
      <c r="B46" s="540"/>
      <c r="C46" s="540"/>
      <c r="D46" s="540"/>
      <c r="E46" s="540"/>
      <c r="F46" s="540"/>
      <c r="G46" s="540"/>
      <c r="H46" s="541"/>
      <c r="I46" s="73"/>
      <c r="J46" s="363"/>
      <c r="K46" s="456"/>
      <c r="L46" s="457"/>
      <c r="M46" s="56"/>
    </row>
    <row r="47" spans="1:13" ht="15.75" thickBot="1">
      <c r="A47" s="543"/>
      <c r="B47" s="544"/>
      <c r="C47" s="544"/>
      <c r="D47" s="544"/>
      <c r="E47" s="544"/>
      <c r="F47" s="544"/>
      <c r="G47" s="544"/>
      <c r="H47" s="545"/>
      <c r="I47" s="74"/>
      <c r="J47" s="211"/>
      <c r="K47" s="466"/>
      <c r="L47" s="467"/>
      <c r="M47" s="75"/>
    </row>
    <row r="48" spans="1:13" ht="15.75" thickBot="1">
      <c r="A48" s="416" t="s">
        <v>87</v>
      </c>
      <c r="B48" s="417"/>
      <c r="C48" s="417"/>
      <c r="D48" s="417"/>
      <c r="E48" s="417"/>
      <c r="F48" s="417"/>
      <c r="G48" s="417"/>
      <c r="H48" s="417"/>
      <c r="I48" s="417"/>
      <c r="J48" s="417"/>
      <c r="K48" s="417"/>
      <c r="L48" s="418"/>
      <c r="M48" s="58">
        <f>SUM(M39:M47)</f>
        <v>667719.5</v>
      </c>
    </row>
    <row r="49" spans="1:13">
      <c r="A49" s="30"/>
      <c r="B49" s="367"/>
      <c r="C49" s="367"/>
      <c r="D49" s="367"/>
      <c r="E49" s="367"/>
      <c r="F49" s="367"/>
      <c r="G49" s="367"/>
      <c r="H49" s="367"/>
      <c r="I49" s="367"/>
      <c r="J49" s="367"/>
      <c r="K49" s="367"/>
      <c r="L49" s="367"/>
      <c r="M49" s="24"/>
    </row>
    <row r="50" spans="1:13">
      <c r="A50" s="51" t="s">
        <v>90</v>
      </c>
      <c r="B50" s="52"/>
      <c r="C50" s="52"/>
      <c r="D50" s="52"/>
      <c r="E50" s="52"/>
      <c r="F50" s="52"/>
      <c r="G50" s="52"/>
      <c r="H50" s="52"/>
      <c r="I50" s="52"/>
      <c r="J50" s="52"/>
      <c r="K50" s="52"/>
      <c r="L50" s="52"/>
      <c r="M50" s="53"/>
    </row>
    <row r="51" spans="1:13" ht="15.75" thickBot="1">
      <c r="A51" s="30"/>
      <c r="B51" s="367"/>
      <c r="C51" s="367"/>
      <c r="D51" s="367"/>
      <c r="E51" s="367"/>
      <c r="F51" s="367"/>
      <c r="G51" s="367"/>
      <c r="H51" s="367"/>
      <c r="I51" s="367"/>
      <c r="J51" s="367"/>
      <c r="K51" s="367"/>
      <c r="L51" s="367"/>
      <c r="M51" s="24"/>
    </row>
    <row r="52" spans="1:13">
      <c r="A52" s="408" t="s">
        <v>91</v>
      </c>
      <c r="B52" s="431"/>
      <c r="C52" s="431"/>
      <c r="D52" s="431"/>
      <c r="E52" s="431"/>
      <c r="F52" s="431"/>
      <c r="G52" s="431"/>
      <c r="H52" s="359" t="s">
        <v>92</v>
      </c>
      <c r="I52" s="356" t="s">
        <v>93</v>
      </c>
      <c r="J52" s="369" t="s">
        <v>94</v>
      </c>
      <c r="K52" s="421" t="s">
        <v>95</v>
      </c>
      <c r="L52" s="424"/>
      <c r="M52" s="44" t="s">
        <v>85</v>
      </c>
    </row>
    <row r="53" spans="1:13">
      <c r="A53" s="539"/>
      <c r="B53" s="540"/>
      <c r="C53" s="540"/>
      <c r="D53" s="540"/>
      <c r="E53" s="540"/>
      <c r="F53" s="540"/>
      <c r="G53" s="540"/>
      <c r="H53" s="370"/>
      <c r="I53" s="368"/>
      <c r="J53" s="370"/>
      <c r="K53" s="428"/>
      <c r="L53" s="429"/>
    </row>
    <row r="54" spans="1:13" ht="15.75" thickBot="1">
      <c r="A54" s="543"/>
      <c r="B54" s="544"/>
      <c r="C54" s="544"/>
      <c r="D54" s="544"/>
      <c r="E54" s="544"/>
      <c r="F54" s="544"/>
      <c r="G54" s="544"/>
      <c r="H54" s="47"/>
      <c r="I54" s="15"/>
      <c r="J54" s="47"/>
      <c r="K54" s="414"/>
      <c r="L54" s="415"/>
      <c r="M54" s="62"/>
    </row>
    <row r="55" spans="1:13" ht="15.75" thickBot="1">
      <c r="A55" s="416" t="s">
        <v>87</v>
      </c>
      <c r="B55" s="417"/>
      <c r="C55" s="417"/>
      <c r="D55" s="417"/>
      <c r="E55" s="417"/>
      <c r="F55" s="417"/>
      <c r="G55" s="417"/>
      <c r="H55" s="417"/>
      <c r="I55" s="417"/>
      <c r="J55" s="417"/>
      <c r="K55" s="417"/>
      <c r="L55" s="418"/>
      <c r="M55" s="63">
        <f>SUM(M54:M54)</f>
        <v>0</v>
      </c>
    </row>
    <row r="56" spans="1:13">
      <c r="A56" s="30"/>
      <c r="B56" s="367"/>
      <c r="C56" s="367"/>
      <c r="D56" s="367"/>
      <c r="E56" s="367"/>
      <c r="F56" s="367"/>
      <c r="G56" s="367"/>
      <c r="H56" s="367"/>
      <c r="I56" s="367"/>
      <c r="J56" s="367"/>
      <c r="K56" s="367"/>
      <c r="L56" s="367"/>
      <c r="M56" s="24"/>
    </row>
    <row r="57" spans="1:13">
      <c r="A57" s="51" t="s">
        <v>96</v>
      </c>
      <c r="B57" s="52"/>
      <c r="C57" s="52"/>
      <c r="D57" s="52"/>
      <c r="E57" s="52"/>
      <c r="F57" s="52"/>
      <c r="G57" s="52"/>
      <c r="H57" s="52"/>
      <c r="I57" s="52"/>
      <c r="J57" s="52"/>
      <c r="K57" s="52"/>
      <c r="L57" s="52"/>
      <c r="M57" s="53"/>
    </row>
    <row r="58" spans="1:13" ht="15.75" thickBot="1">
      <c r="A58" s="30"/>
      <c r="B58" s="367"/>
      <c r="C58" s="367"/>
      <c r="D58" s="367"/>
      <c r="E58" s="367"/>
      <c r="F58" s="367"/>
      <c r="G58" s="367"/>
      <c r="H58" s="367"/>
      <c r="I58" s="367"/>
      <c r="J58" s="367"/>
      <c r="K58" s="367"/>
      <c r="L58" s="367"/>
      <c r="M58" s="24"/>
    </row>
    <row r="59" spans="1:13" ht="26.25">
      <c r="A59" s="453" t="s">
        <v>97</v>
      </c>
      <c r="B59" s="454"/>
      <c r="C59" s="454"/>
      <c r="D59" s="454"/>
      <c r="E59" s="454"/>
      <c r="F59" s="454"/>
      <c r="G59" s="454"/>
      <c r="H59" s="359" t="s">
        <v>98</v>
      </c>
      <c r="I59" s="360" t="s">
        <v>99</v>
      </c>
      <c r="J59" s="360" t="s">
        <v>100</v>
      </c>
      <c r="K59" s="455" t="s">
        <v>84</v>
      </c>
      <c r="L59" s="455"/>
      <c r="M59" s="65" t="s">
        <v>85</v>
      </c>
    </row>
    <row r="60" spans="1:13">
      <c r="A60" s="549" t="s">
        <v>126</v>
      </c>
      <c r="B60" s="550"/>
      <c r="C60" s="550"/>
      <c r="D60" s="550"/>
      <c r="E60" s="550"/>
      <c r="F60" s="550"/>
      <c r="G60" s="550"/>
      <c r="H60" s="1">
        <v>112923.49999999999</v>
      </c>
      <c r="I60" s="2">
        <v>2.2000000000000002</v>
      </c>
      <c r="J60" s="66">
        <f>(I60*H60)</f>
        <v>248431.69999999998</v>
      </c>
      <c r="K60" s="473">
        <v>1.5</v>
      </c>
      <c r="L60" s="473"/>
      <c r="M60" s="56">
        <f>J60/K60</f>
        <v>165621.13333333333</v>
      </c>
    </row>
    <row r="61" spans="1:13">
      <c r="A61" s="549"/>
      <c r="B61" s="550"/>
      <c r="C61" s="550"/>
      <c r="D61" s="550"/>
      <c r="E61" s="550"/>
      <c r="F61" s="550"/>
      <c r="G61" s="550"/>
      <c r="H61" s="1"/>
      <c r="I61" s="2"/>
      <c r="J61" s="66"/>
      <c r="K61" s="473"/>
      <c r="L61" s="473"/>
      <c r="M61" s="56"/>
    </row>
    <row r="62" spans="1:13" ht="15.75" thickBot="1">
      <c r="A62" s="551"/>
      <c r="B62" s="552"/>
      <c r="C62" s="552"/>
      <c r="D62" s="552"/>
      <c r="E62" s="552"/>
      <c r="F62" s="552"/>
      <c r="G62" s="552"/>
      <c r="H62" s="3"/>
      <c r="I62" s="4"/>
      <c r="J62" s="67"/>
      <c r="K62" s="434"/>
      <c r="L62" s="434"/>
      <c r="M62" s="68"/>
    </row>
    <row r="63" spans="1:13" ht="15.75" thickBot="1">
      <c r="A63" s="435" t="s">
        <v>87</v>
      </c>
      <c r="B63" s="436"/>
      <c r="C63" s="436"/>
      <c r="D63" s="436"/>
      <c r="E63" s="436"/>
      <c r="F63" s="436"/>
      <c r="G63" s="436"/>
      <c r="H63" s="436"/>
      <c r="I63" s="436"/>
      <c r="J63" s="436"/>
      <c r="K63" s="436"/>
      <c r="L63" s="437"/>
      <c r="M63" s="69">
        <f>SUM(M60:M62)</f>
        <v>165621.13333333333</v>
      </c>
    </row>
    <row r="64" spans="1:13" ht="15.75" thickBot="1">
      <c r="A64" s="30"/>
      <c r="B64" s="367"/>
      <c r="C64" s="367"/>
      <c r="D64" s="367"/>
      <c r="E64" s="367"/>
      <c r="F64" s="367"/>
      <c r="G64" s="367"/>
      <c r="H64" s="367"/>
      <c r="I64" s="367"/>
      <c r="J64" s="367"/>
      <c r="K64" s="367"/>
      <c r="L64" s="367"/>
      <c r="M64" s="24"/>
    </row>
    <row r="65" spans="1:13" ht="15.75" thickBot="1">
      <c r="A65" s="416" t="s">
        <v>101</v>
      </c>
      <c r="B65" s="417"/>
      <c r="C65" s="417"/>
      <c r="D65" s="417"/>
      <c r="E65" s="417"/>
      <c r="F65" s="417"/>
      <c r="G65" s="417"/>
      <c r="H65" s="417"/>
      <c r="I65" s="417"/>
      <c r="J65" s="417"/>
      <c r="K65" s="417"/>
      <c r="L65" s="418"/>
      <c r="M65" s="70">
        <f>ROUND(M63+M55+M48+M34,0)</f>
        <v>835105</v>
      </c>
    </row>
    <row r="66" spans="1:13">
      <c r="A66" s="30"/>
      <c r="B66" s="367"/>
      <c r="C66" s="367"/>
      <c r="D66" s="367"/>
      <c r="E66" s="367"/>
      <c r="F66" s="367"/>
      <c r="G66" s="367"/>
      <c r="H66" s="367"/>
      <c r="I66" s="367"/>
      <c r="J66" s="367"/>
      <c r="K66" s="367"/>
      <c r="L66" s="367"/>
      <c r="M66" s="24"/>
    </row>
    <row r="67" spans="1:13">
      <c r="A67" s="51" t="s">
        <v>102</v>
      </c>
      <c r="B67" s="52"/>
      <c r="C67" s="52"/>
      <c r="D67" s="52"/>
      <c r="E67" s="52"/>
      <c r="F67" s="52"/>
      <c r="G67" s="52"/>
      <c r="H67" s="52"/>
      <c r="I67" s="52"/>
      <c r="J67" s="52"/>
      <c r="K67" s="52"/>
      <c r="L67" s="52"/>
      <c r="M67" s="53"/>
    </row>
    <row r="68" spans="1:13" ht="15.75" thickBot="1">
      <c r="A68" s="30"/>
      <c r="B68" s="367"/>
      <c r="C68" s="367"/>
      <c r="D68" s="367"/>
      <c r="E68" s="367"/>
      <c r="F68" s="367"/>
      <c r="G68" s="367"/>
      <c r="H68" s="367"/>
      <c r="I68" s="367"/>
      <c r="J68" s="367"/>
      <c r="K68" s="367"/>
      <c r="L68" s="367"/>
      <c r="M68" s="24"/>
    </row>
    <row r="69" spans="1:13" ht="15.75" thickBot="1">
      <c r="A69" s="438" t="s">
        <v>103</v>
      </c>
      <c r="B69" s="439"/>
      <c r="C69" s="439"/>
      <c r="D69" s="439"/>
      <c r="E69" s="439"/>
      <c r="F69" s="439"/>
      <c r="G69" s="439"/>
      <c r="H69" s="357"/>
      <c r="I69" s="358"/>
      <c r="J69" s="81" t="s">
        <v>104</v>
      </c>
      <c r="K69" s="440" t="s">
        <v>105</v>
      </c>
      <c r="L69" s="441"/>
      <c r="M69" s="82"/>
    </row>
    <row r="70" spans="1:13">
      <c r="A70" s="553" t="s">
        <v>106</v>
      </c>
      <c r="B70" s="554"/>
      <c r="C70" s="554"/>
      <c r="D70" s="554"/>
      <c r="E70" s="554"/>
      <c r="F70" s="554"/>
      <c r="G70" s="554"/>
      <c r="H70" s="83"/>
      <c r="I70" s="84"/>
      <c r="J70" s="84">
        <v>0.19</v>
      </c>
      <c r="K70" s="444">
        <f>M65*J70</f>
        <v>158669.95000000001</v>
      </c>
      <c r="L70" s="444"/>
      <c r="M70" s="86"/>
    </row>
    <row r="71" spans="1:13">
      <c r="A71" s="447" t="s">
        <v>107</v>
      </c>
      <c r="B71" s="448"/>
      <c r="C71" s="448"/>
      <c r="D71" s="448"/>
      <c r="E71" s="448"/>
      <c r="F71" s="448"/>
      <c r="G71" s="449"/>
      <c r="H71" s="77"/>
      <c r="I71" s="78"/>
      <c r="J71" s="78">
        <v>0.01</v>
      </c>
      <c r="K71" s="445">
        <f>M65*J71</f>
        <v>8351.0499999999993</v>
      </c>
      <c r="L71" s="445"/>
      <c r="M71" s="6"/>
    </row>
    <row r="72" spans="1:13">
      <c r="A72" s="447" t="s">
        <v>108</v>
      </c>
      <c r="B72" s="448"/>
      <c r="C72" s="448"/>
      <c r="D72" s="448"/>
      <c r="E72" s="448"/>
      <c r="F72" s="448"/>
      <c r="G72" s="449"/>
      <c r="H72" s="77"/>
      <c r="I72" s="78"/>
      <c r="J72" s="78">
        <v>0.05</v>
      </c>
      <c r="K72" s="445">
        <f>M65*J72</f>
        <v>41755.25</v>
      </c>
      <c r="L72" s="445"/>
      <c r="M72" s="6"/>
    </row>
    <row r="73" spans="1:13" ht="15.75" thickBot="1">
      <c r="A73" s="450" t="s">
        <v>117</v>
      </c>
      <c r="B73" s="451"/>
      <c r="C73" s="451"/>
      <c r="D73" s="451"/>
      <c r="E73" s="451"/>
      <c r="F73" s="451"/>
      <c r="G73" s="452"/>
      <c r="H73" s="87"/>
      <c r="I73" s="88"/>
      <c r="J73" s="88">
        <v>0.19</v>
      </c>
      <c r="K73" s="446">
        <f>K72*J73</f>
        <v>7933.4975000000004</v>
      </c>
      <c r="L73" s="446"/>
      <c r="M73" s="90"/>
    </row>
    <row r="74" spans="1:13" ht="15.75" thickBot="1">
      <c r="A74" s="435" t="s">
        <v>87</v>
      </c>
      <c r="B74" s="436"/>
      <c r="C74" s="436"/>
      <c r="D74" s="436"/>
      <c r="E74" s="436"/>
      <c r="F74" s="436"/>
      <c r="G74" s="436"/>
      <c r="H74" s="436"/>
      <c r="I74" s="436"/>
      <c r="J74" s="436"/>
      <c r="K74" s="436"/>
      <c r="L74" s="437"/>
      <c r="M74" s="76">
        <f>SUM(K70:L73)</f>
        <v>216709.7475</v>
      </c>
    </row>
    <row r="75" spans="1:13" ht="15.75" thickBot="1">
      <c r="A75" s="30"/>
      <c r="B75" s="367"/>
      <c r="C75" s="367"/>
      <c r="D75" s="367"/>
      <c r="E75" s="367"/>
      <c r="F75" s="367"/>
      <c r="G75" s="367"/>
      <c r="H75" s="367"/>
      <c r="I75" s="367"/>
      <c r="J75" s="367"/>
      <c r="K75" s="367"/>
      <c r="L75" s="367"/>
      <c r="M75" s="24"/>
    </row>
    <row r="76" spans="1:13" ht="15.75" thickBot="1">
      <c r="A76" s="416" t="s">
        <v>109</v>
      </c>
      <c r="B76" s="417"/>
      <c r="C76" s="417"/>
      <c r="D76" s="417"/>
      <c r="E76" s="417"/>
      <c r="F76" s="417"/>
      <c r="G76" s="417"/>
      <c r="H76" s="417"/>
      <c r="I76" s="417"/>
      <c r="J76" s="417"/>
      <c r="K76" s="417"/>
      <c r="L76" s="418"/>
      <c r="M76" s="71">
        <f>ROUND(M65+M74,0)</f>
        <v>1051815</v>
      </c>
    </row>
  </sheetData>
  <mergeCells count="87">
    <mergeCell ref="A20:B20"/>
    <mergeCell ref="C20:M20"/>
    <mergeCell ref="A1:C7"/>
    <mergeCell ref="D1:J3"/>
    <mergeCell ref="K1:M7"/>
    <mergeCell ref="D4:J7"/>
    <mergeCell ref="A9:B9"/>
    <mergeCell ref="C9:H9"/>
    <mergeCell ref="K9:M9"/>
    <mergeCell ref="C12:F12"/>
    <mergeCell ref="H12:I12"/>
    <mergeCell ref="C13:M14"/>
    <mergeCell ref="C16:M16"/>
    <mergeCell ref="C18:M18"/>
    <mergeCell ref="A21:B21"/>
    <mergeCell ref="A23:M23"/>
    <mergeCell ref="B25:I25"/>
    <mergeCell ref="K25:L25"/>
    <mergeCell ref="B26:I26"/>
    <mergeCell ref="K26:L26"/>
    <mergeCell ref="A30:E30"/>
    <mergeCell ref="F30:G30"/>
    <mergeCell ref="H30:I30"/>
    <mergeCell ref="K30:L30"/>
    <mergeCell ref="A31:E31"/>
    <mergeCell ref="F31:G31"/>
    <mergeCell ref="H31:I31"/>
    <mergeCell ref="K31:L31"/>
    <mergeCell ref="A40:H40"/>
    <mergeCell ref="K40:L40"/>
    <mergeCell ref="A32:E32"/>
    <mergeCell ref="F32:G32"/>
    <mergeCell ref="H32:I32"/>
    <mergeCell ref="K32:L32"/>
    <mergeCell ref="A33:E33"/>
    <mergeCell ref="F33:G33"/>
    <mergeCell ref="H33:I33"/>
    <mergeCell ref="K33:L33"/>
    <mergeCell ref="A34:L34"/>
    <mergeCell ref="A38:H38"/>
    <mergeCell ref="K38:L38"/>
    <mergeCell ref="A39:H39"/>
    <mergeCell ref="K39:L39"/>
    <mergeCell ref="A41:H41"/>
    <mergeCell ref="K41:L41"/>
    <mergeCell ref="A42:H42"/>
    <mergeCell ref="K42:L42"/>
    <mergeCell ref="A43:H43"/>
    <mergeCell ref="K43:L43"/>
    <mergeCell ref="A53:G53"/>
    <mergeCell ref="K53:L53"/>
    <mergeCell ref="A44:H44"/>
    <mergeCell ref="K44:L44"/>
    <mergeCell ref="A45:H45"/>
    <mergeCell ref="K45:L45"/>
    <mergeCell ref="A46:H46"/>
    <mergeCell ref="K46:L46"/>
    <mergeCell ref="A47:H47"/>
    <mergeCell ref="K47:L47"/>
    <mergeCell ref="A48:L48"/>
    <mergeCell ref="A52:G52"/>
    <mergeCell ref="K52:L52"/>
    <mergeCell ref="A65:L65"/>
    <mergeCell ref="A54:G54"/>
    <mergeCell ref="K54:L54"/>
    <mergeCell ref="A55:L55"/>
    <mergeCell ref="A59:G59"/>
    <mergeCell ref="K59:L59"/>
    <mergeCell ref="A60:G60"/>
    <mergeCell ref="K60:L60"/>
    <mergeCell ref="A61:G61"/>
    <mergeCell ref="K61:L61"/>
    <mergeCell ref="A62:G62"/>
    <mergeCell ref="K62:L62"/>
    <mergeCell ref="A63:L63"/>
    <mergeCell ref="A76:L76"/>
    <mergeCell ref="A69:G69"/>
    <mergeCell ref="K69:L69"/>
    <mergeCell ref="A70:G70"/>
    <mergeCell ref="K70:L70"/>
    <mergeCell ref="A71:G71"/>
    <mergeCell ref="K71:L71"/>
    <mergeCell ref="A72:G72"/>
    <mergeCell ref="K72:L72"/>
    <mergeCell ref="A73:G73"/>
    <mergeCell ref="K73:L73"/>
    <mergeCell ref="A74:L74"/>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93</vt:i4>
      </vt:variant>
      <vt:variant>
        <vt:lpstr>Rangos con nombre</vt:lpstr>
      </vt:variant>
      <vt:variant>
        <vt:i4>93</vt:i4>
      </vt:variant>
    </vt:vector>
  </HeadingPairs>
  <TitlesOfParts>
    <vt:vector size="186" baseType="lpstr">
      <vt:lpstr>NUEVO DISEÑO</vt:lpstr>
      <vt:lpstr>ITEM_1.1</vt:lpstr>
      <vt:lpstr>ITEM_1.2</vt:lpstr>
      <vt:lpstr>ITEM_1.3</vt:lpstr>
      <vt:lpstr>ITEM_1.4</vt:lpstr>
      <vt:lpstr>ITEM_1.5</vt:lpstr>
      <vt:lpstr>ITEM_1.6</vt:lpstr>
      <vt:lpstr>ITEM_1.7</vt:lpstr>
      <vt:lpstr>ITEM_1.8</vt:lpstr>
      <vt:lpstr>ITEM_1.9</vt:lpstr>
      <vt:lpstr>ITEM_1.10</vt:lpstr>
      <vt:lpstr>ITEM_1.11</vt:lpstr>
      <vt:lpstr>ITEM_1.12</vt:lpstr>
      <vt:lpstr>ITEM_1.13</vt:lpstr>
      <vt:lpstr>ITEM_1.14</vt:lpstr>
      <vt:lpstr>ITEM_1.15</vt:lpstr>
      <vt:lpstr>ITEM_1.16</vt:lpstr>
      <vt:lpstr>ITEM_1.18</vt:lpstr>
      <vt:lpstr>ITEM_2.1</vt:lpstr>
      <vt:lpstr>ITEM_2.2</vt:lpstr>
      <vt:lpstr>ITEM_2.3</vt:lpstr>
      <vt:lpstr>ITEM_2.4</vt:lpstr>
      <vt:lpstr>ITEM_2.5</vt:lpstr>
      <vt:lpstr>ITEM_2.6</vt:lpstr>
      <vt:lpstr>ITEM_2.7</vt:lpstr>
      <vt:lpstr>ITEM_2.8</vt:lpstr>
      <vt:lpstr>ITEM_2.9</vt:lpstr>
      <vt:lpstr>ITEM_2.10</vt:lpstr>
      <vt:lpstr>ITEM_2.11</vt:lpstr>
      <vt:lpstr>ITEM_2.12</vt:lpstr>
      <vt:lpstr>ITEM_2.13</vt:lpstr>
      <vt:lpstr>ITEM_2.14</vt:lpstr>
      <vt:lpstr>ITEM_2.15</vt:lpstr>
      <vt:lpstr>ITEM_3,1</vt:lpstr>
      <vt:lpstr>ITEM_3,2</vt:lpstr>
      <vt:lpstr>ITEM_3,3</vt:lpstr>
      <vt:lpstr>ITEM_3,4</vt:lpstr>
      <vt:lpstr>ITEM_3,5</vt:lpstr>
      <vt:lpstr>ITEM_3,6</vt:lpstr>
      <vt:lpstr>ITEM_3,7</vt:lpstr>
      <vt:lpstr>ITEM_3,8</vt:lpstr>
      <vt:lpstr>ITEM_3,9</vt:lpstr>
      <vt:lpstr>ITEM_4,1</vt:lpstr>
      <vt:lpstr>ITEM_4,2</vt:lpstr>
      <vt:lpstr>ITEM_4,3</vt:lpstr>
      <vt:lpstr>ITEM_4,4</vt:lpstr>
      <vt:lpstr>ITEM_4,5</vt:lpstr>
      <vt:lpstr>ITEM_4,6</vt:lpstr>
      <vt:lpstr>ITEM_5.1</vt:lpstr>
      <vt:lpstr>ITEM_5.2</vt:lpstr>
      <vt:lpstr>ITEM_5.3</vt:lpstr>
      <vt:lpstr>ITEM_5.4</vt:lpstr>
      <vt:lpstr>ITEM_6,1</vt:lpstr>
      <vt:lpstr>ITEM_6,2</vt:lpstr>
      <vt:lpstr>ITEM_6,3</vt:lpstr>
      <vt:lpstr>ITEM_6,4</vt:lpstr>
      <vt:lpstr>ITEM_6,5</vt:lpstr>
      <vt:lpstr>ITEM_6,6</vt:lpstr>
      <vt:lpstr>ITEM_6,7</vt:lpstr>
      <vt:lpstr>ITEM_6,8</vt:lpstr>
      <vt:lpstr>ITEM_6,9</vt:lpstr>
      <vt:lpstr>ITEM_6,10</vt:lpstr>
      <vt:lpstr>ITEM_6,11</vt:lpstr>
      <vt:lpstr>ITEM_6,12</vt:lpstr>
      <vt:lpstr>ITEM_6,13</vt:lpstr>
      <vt:lpstr>ITEM_6,14</vt:lpstr>
      <vt:lpstr>ITEM_6,25</vt:lpstr>
      <vt:lpstr>ITEM_9,1</vt:lpstr>
      <vt:lpstr>ITEM_9,2</vt:lpstr>
      <vt:lpstr>ITEM_10,1</vt:lpstr>
      <vt:lpstr>ITEM_10.2</vt:lpstr>
      <vt:lpstr>ITEM_10,3</vt:lpstr>
      <vt:lpstr>ITEM_10,4</vt:lpstr>
      <vt:lpstr>ITEM_10,5</vt:lpstr>
      <vt:lpstr>ITEM_10,6</vt:lpstr>
      <vt:lpstr>ITEM_10,9</vt:lpstr>
      <vt:lpstr>ITEM_12,1 </vt:lpstr>
      <vt:lpstr>ITEM_12,2</vt:lpstr>
      <vt:lpstr>ITEM_12,3</vt:lpstr>
      <vt:lpstr>ITEM_12,4</vt:lpstr>
      <vt:lpstr>ITEM_12,5</vt:lpstr>
      <vt:lpstr>ITEM_12,6</vt:lpstr>
      <vt:lpstr>ITEM_12,7</vt:lpstr>
      <vt:lpstr>ITEM_12,8</vt:lpstr>
      <vt:lpstr>ITEM_12,9</vt:lpstr>
      <vt:lpstr>ITEM_12,10</vt:lpstr>
      <vt:lpstr>ITEM_13,1</vt:lpstr>
      <vt:lpstr>ITEM_13,2</vt:lpstr>
      <vt:lpstr>ITEM_14,1</vt:lpstr>
      <vt:lpstr>ITEM_14.2</vt:lpstr>
      <vt:lpstr>APU BARANDA</vt:lpstr>
      <vt:lpstr>APU TERMO ACUSTICA</vt:lpstr>
      <vt:lpstr>PUERTA ALUMINIO</vt:lpstr>
      <vt:lpstr>'APU BARANDA'!Área_de_impresión</vt:lpstr>
      <vt:lpstr>'APU TERMO ACUSTICA'!Área_de_impresión</vt:lpstr>
      <vt:lpstr>ITEM_1.1!Área_de_impresión</vt:lpstr>
      <vt:lpstr>ITEM_1.10!Área_de_impresión</vt:lpstr>
      <vt:lpstr>ITEM_1.11!Área_de_impresión</vt:lpstr>
      <vt:lpstr>ITEM_1.12!Área_de_impresión</vt:lpstr>
      <vt:lpstr>ITEM_1.13!Área_de_impresión</vt:lpstr>
      <vt:lpstr>ITEM_1.14!Área_de_impresión</vt:lpstr>
      <vt:lpstr>ITEM_1.15!Área_de_impresión</vt:lpstr>
      <vt:lpstr>ITEM_1.16!Área_de_impresión</vt:lpstr>
      <vt:lpstr>ITEM_1.18!Área_de_impresión</vt:lpstr>
      <vt:lpstr>ITEM_1.2!Área_de_impresión</vt:lpstr>
      <vt:lpstr>ITEM_1.3!Área_de_impresión</vt:lpstr>
      <vt:lpstr>ITEM_1.4!Área_de_impresión</vt:lpstr>
      <vt:lpstr>ITEM_1.5!Área_de_impresión</vt:lpstr>
      <vt:lpstr>ITEM_1.6!Área_de_impresión</vt:lpstr>
      <vt:lpstr>ITEM_1.7!Área_de_impresión</vt:lpstr>
      <vt:lpstr>ITEM_1.8!Área_de_impresión</vt:lpstr>
      <vt:lpstr>ITEM_1.9!Área_de_impresión</vt:lpstr>
      <vt:lpstr>'ITEM_10,1'!Área_de_impresión</vt:lpstr>
      <vt:lpstr>'ITEM_10,3'!Área_de_impresión</vt:lpstr>
      <vt:lpstr>'ITEM_10,4'!Área_de_impresión</vt:lpstr>
      <vt:lpstr>'ITEM_10,5'!Área_de_impresión</vt:lpstr>
      <vt:lpstr>'ITEM_10,6'!Área_de_impresión</vt:lpstr>
      <vt:lpstr>'ITEM_10,9'!Área_de_impresión</vt:lpstr>
      <vt:lpstr>ITEM_10.2!Área_de_impresión</vt:lpstr>
      <vt:lpstr>'ITEM_12,1 '!Área_de_impresión</vt:lpstr>
      <vt:lpstr>'ITEM_12,10'!Área_de_impresión</vt:lpstr>
      <vt:lpstr>'ITEM_12,2'!Área_de_impresión</vt:lpstr>
      <vt:lpstr>'ITEM_12,3'!Área_de_impresión</vt:lpstr>
      <vt:lpstr>'ITEM_12,4'!Área_de_impresión</vt:lpstr>
      <vt:lpstr>'ITEM_12,5'!Área_de_impresión</vt:lpstr>
      <vt:lpstr>'ITEM_12,6'!Área_de_impresión</vt:lpstr>
      <vt:lpstr>'ITEM_12,7'!Área_de_impresión</vt:lpstr>
      <vt:lpstr>'ITEM_12,8'!Área_de_impresión</vt:lpstr>
      <vt:lpstr>'ITEM_12,9'!Área_de_impresión</vt:lpstr>
      <vt:lpstr>'ITEM_13,1'!Área_de_impresión</vt:lpstr>
      <vt:lpstr>'ITEM_13,2'!Área_de_impresión</vt:lpstr>
      <vt:lpstr>'ITEM_14,1'!Área_de_impresión</vt:lpstr>
      <vt:lpstr>ITEM_14.2!Área_de_impresión</vt:lpstr>
      <vt:lpstr>ITEM_2.1!Área_de_impresión</vt:lpstr>
      <vt:lpstr>ITEM_2.10!Área_de_impresión</vt:lpstr>
      <vt:lpstr>ITEM_2.11!Área_de_impresión</vt:lpstr>
      <vt:lpstr>ITEM_2.12!Área_de_impresión</vt:lpstr>
      <vt:lpstr>ITEM_2.13!Área_de_impresión</vt:lpstr>
      <vt:lpstr>ITEM_2.14!Área_de_impresión</vt:lpstr>
      <vt:lpstr>ITEM_2.15!Área_de_impresión</vt:lpstr>
      <vt:lpstr>ITEM_2.2!Área_de_impresión</vt:lpstr>
      <vt:lpstr>ITEM_2.3!Área_de_impresión</vt:lpstr>
      <vt:lpstr>ITEM_2.4!Área_de_impresión</vt:lpstr>
      <vt:lpstr>ITEM_2.5!Área_de_impresión</vt:lpstr>
      <vt:lpstr>ITEM_2.6!Área_de_impresión</vt:lpstr>
      <vt:lpstr>ITEM_2.7!Área_de_impresión</vt:lpstr>
      <vt:lpstr>ITEM_2.8!Área_de_impresión</vt:lpstr>
      <vt:lpstr>ITEM_2.9!Área_de_impresión</vt:lpstr>
      <vt:lpstr>'ITEM_3,1'!Área_de_impresión</vt:lpstr>
      <vt:lpstr>'ITEM_3,2'!Área_de_impresión</vt:lpstr>
      <vt:lpstr>'ITEM_3,3'!Área_de_impresión</vt:lpstr>
      <vt:lpstr>'ITEM_3,4'!Área_de_impresión</vt:lpstr>
      <vt:lpstr>'ITEM_3,5'!Área_de_impresión</vt:lpstr>
      <vt:lpstr>'ITEM_3,6'!Área_de_impresión</vt:lpstr>
      <vt:lpstr>'ITEM_3,7'!Área_de_impresión</vt:lpstr>
      <vt:lpstr>'ITEM_3,8'!Área_de_impresión</vt:lpstr>
      <vt:lpstr>'ITEM_3,9'!Área_de_impresión</vt:lpstr>
      <vt:lpstr>'ITEM_4,1'!Área_de_impresión</vt:lpstr>
      <vt:lpstr>'ITEM_4,2'!Área_de_impresión</vt:lpstr>
      <vt:lpstr>'ITEM_4,3'!Área_de_impresión</vt:lpstr>
      <vt:lpstr>'ITEM_4,4'!Área_de_impresión</vt:lpstr>
      <vt:lpstr>'ITEM_4,5'!Área_de_impresión</vt:lpstr>
      <vt:lpstr>'ITEM_4,6'!Área_de_impresión</vt:lpstr>
      <vt:lpstr>ITEM_5.1!Área_de_impresión</vt:lpstr>
      <vt:lpstr>ITEM_5.2!Área_de_impresión</vt:lpstr>
      <vt:lpstr>ITEM_5.3!Área_de_impresión</vt:lpstr>
      <vt:lpstr>ITEM_5.4!Área_de_impresión</vt:lpstr>
      <vt:lpstr>'ITEM_6,1'!Área_de_impresión</vt:lpstr>
      <vt:lpstr>'ITEM_6,10'!Área_de_impresión</vt:lpstr>
      <vt:lpstr>'ITEM_6,11'!Área_de_impresión</vt:lpstr>
      <vt:lpstr>'ITEM_6,12'!Área_de_impresión</vt:lpstr>
      <vt:lpstr>'ITEM_6,13'!Área_de_impresión</vt:lpstr>
      <vt:lpstr>'ITEM_6,14'!Área_de_impresión</vt:lpstr>
      <vt:lpstr>'ITEM_6,2'!Área_de_impresión</vt:lpstr>
      <vt:lpstr>'ITEM_6,25'!Área_de_impresión</vt:lpstr>
      <vt:lpstr>'ITEM_6,3'!Área_de_impresión</vt:lpstr>
      <vt:lpstr>'ITEM_6,4'!Área_de_impresión</vt:lpstr>
      <vt:lpstr>'ITEM_6,5'!Área_de_impresión</vt:lpstr>
      <vt:lpstr>'ITEM_6,6'!Área_de_impresión</vt:lpstr>
      <vt:lpstr>'ITEM_6,7'!Área_de_impresión</vt:lpstr>
      <vt:lpstr>'ITEM_6,8'!Área_de_impresión</vt:lpstr>
      <vt:lpstr>'ITEM_6,9'!Área_de_impresión</vt:lpstr>
      <vt:lpstr>'ITEM_9,1'!Área_de_impresión</vt:lpstr>
      <vt:lpstr>'ITEM_9,2'!Área_de_impresión</vt:lpstr>
      <vt:lpstr>'NUEVO DISEÑO'!Área_de_impresión</vt:lpstr>
      <vt:lpstr>'PUERTA ALUMINIO'!Área_de_impresión</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JAIME ELDER ACOSTA RAMIREZ</dc:creator>
  <cp:lastModifiedBy>Monica Maritza Sotelo Mora</cp:lastModifiedBy>
  <cp:revision/>
  <cp:lastPrinted>2022-06-10T22:40:43Z</cp:lastPrinted>
  <dcterms:created xsi:type="dcterms:W3CDTF">2017-04-28T13:22:52Z</dcterms:created>
  <dcterms:modified xsi:type="dcterms:W3CDTF">2022-11-29T18:18:34Z</dcterms:modified>
</cp:coreProperties>
</file>